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40" firstSheet="1" activeTab="17"/>
  </bookViews>
  <sheets>
    <sheet name="А18" sheetId="6" r:id="rId1"/>
    <sheet name="А25" sheetId="9" r:id="rId2"/>
    <sheet name="В4" sheetId="8" r:id="rId3"/>
    <sheet name="В10" sheetId="11" r:id="rId4"/>
    <sheet name="В12" sheetId="12" r:id="rId5"/>
    <sheet name="В13" sheetId="10" r:id="rId6"/>
    <sheet name="В16" sheetId="2" r:id="rId7"/>
    <sheet name="В17" sheetId="44" r:id="rId8"/>
    <sheet name="В18" sheetId="43" r:id="rId9"/>
    <sheet name="В19" sheetId="42" r:id="rId10"/>
    <sheet name="В20" sheetId="41" r:id="rId11"/>
    <sheet name="В21" sheetId="40" r:id="rId12"/>
    <sheet name="В22" sheetId="39" r:id="rId13"/>
    <sheet name="В23" sheetId="45" r:id="rId14"/>
    <sheet name="В24" sheetId="53" r:id="rId15"/>
    <sheet name="В25" sheetId="52" r:id="rId16"/>
    <sheet name="В26" sheetId="51" r:id="rId17"/>
    <sheet name="В27" sheetId="50" r:id="rId18"/>
    <sheet name="В28" sheetId="49" r:id="rId19"/>
    <sheet name="В30" sheetId="48" r:id="rId20"/>
    <sheet name="В32" sheetId="47" r:id="rId21"/>
    <sheet name="В34" sheetId="46" r:id="rId22"/>
    <sheet name="В36" sheetId="38" r:id="rId23"/>
    <sheet name="М1" sheetId="3" r:id="rId24"/>
    <sheet name="М18" sheetId="62" r:id="rId25"/>
    <sheet name="М19" sheetId="17" r:id="rId26"/>
    <sheet name="М28" sheetId="18" r:id="rId27"/>
    <sheet name="М30" sheetId="20" r:id="rId28"/>
    <sheet name="М39" sheetId="19" r:id="rId29"/>
    <sheet name="М41" sheetId="16" r:id="rId30"/>
    <sheet name="М43" sheetId="15" r:id="rId31"/>
    <sheet name="М45" sheetId="14" r:id="rId32"/>
    <sheet name="М47" sheetId="13" r:id="rId33"/>
    <sheet name="Т3" sheetId="4" r:id="rId34"/>
    <sheet name="Т4" sheetId="32" r:id="rId35"/>
    <sheet name="Т7" sheetId="31" r:id="rId36"/>
    <sheet name="Т8" sheetId="30" r:id="rId37"/>
    <sheet name="Т9" sheetId="29" r:id="rId38"/>
    <sheet name="Т10" sheetId="28" r:id="rId39"/>
    <sheet name="Т12" sheetId="27" r:id="rId40"/>
    <sheet name="Т13" sheetId="26" r:id="rId41"/>
    <sheet name="Т14" sheetId="25" r:id="rId42"/>
    <sheet name="Т15" sheetId="24" r:id="rId43"/>
    <sheet name="Т16" sheetId="23" r:id="rId44"/>
    <sheet name="Т171" sheetId="33" r:id="rId45"/>
    <sheet name="Т172" sheetId="34" r:id="rId46"/>
    <sheet name="т18" sheetId="35" r:id="rId47"/>
    <sheet name="Т21" sheetId="37" r:id="rId48"/>
    <sheet name="Т23" sheetId="36" r:id="rId49"/>
    <sheet name="Т27" sheetId="22" r:id="rId50"/>
    <sheet name="П100" sheetId="54" r:id="rId51"/>
    <sheet name="П179а" sheetId="5" r:id="rId52"/>
    <sheet name="П181" sheetId="55" r:id="rId53"/>
    <sheet name="П181а" sheetId="56" r:id="rId54"/>
    <sheet name="П183" sheetId="57" r:id="rId55"/>
    <sheet name="П185" sheetId="58" r:id="rId56"/>
    <sheet name="П187" sheetId="60" r:id="rId57"/>
    <sheet name="П191" sheetId="61" r:id="rId58"/>
    <sheet name="ВЛКСМ10" sheetId="59" r:id="rId59"/>
  </sheets>
  <calcPr calcId="144525"/>
</workbook>
</file>

<file path=xl/calcChain.xml><?xml version="1.0" encoding="utf-8"?>
<calcChain xmlns="http://schemas.openxmlformats.org/spreadsheetml/2006/main">
  <c r="D47" i="2" l="1"/>
  <c r="D44" i="2"/>
  <c r="E38" i="2"/>
  <c r="E37" i="2" s="1"/>
  <c r="D37" i="2"/>
  <c r="D36" i="2"/>
  <c r="D34" i="2"/>
  <c r="D32" i="2"/>
  <c r="E27" i="2"/>
  <c r="E26" i="2" s="1"/>
  <c r="D26" i="2"/>
  <c r="E23" i="2"/>
  <c r="E22" i="2"/>
  <c r="E21" i="2"/>
  <c r="E20" i="2" s="1"/>
  <c r="E19" i="2" s="1"/>
  <c r="D20" i="2"/>
  <c r="D19" i="2" s="1"/>
  <c r="D17" i="2"/>
  <c r="D41" i="2" s="1"/>
  <c r="D9" i="2"/>
  <c r="F39" i="59"/>
  <c r="F38" i="59" s="1"/>
  <c r="E38" i="59"/>
  <c r="F26" i="59"/>
  <c r="F25" i="59" s="1"/>
  <c r="E25" i="59"/>
  <c r="F23" i="59"/>
  <c r="F22" i="59"/>
  <c r="F21" i="59"/>
  <c r="F20" i="59" s="1"/>
  <c r="F19" i="59" s="1"/>
  <c r="E20" i="59"/>
  <c r="E19" i="59"/>
  <c r="E16" i="59"/>
  <c r="D47" i="61"/>
  <c r="E39" i="61"/>
  <c r="E38" i="61" s="1"/>
  <c r="D38" i="61"/>
  <c r="E27" i="61"/>
  <c r="E26" i="61" s="1"/>
  <c r="D26" i="61"/>
  <c r="E22" i="61"/>
  <c r="E21" i="61" s="1"/>
  <c r="E20" i="61" s="1"/>
  <c r="D21" i="61"/>
  <c r="D20" i="61" s="1"/>
  <c r="D17" i="61"/>
  <c r="D31" i="61" s="1"/>
  <c r="D30" i="61" s="1"/>
  <c r="E39" i="60"/>
  <c r="E38" i="60" s="1"/>
  <c r="D38" i="60"/>
  <c r="D37" i="60"/>
  <c r="D33" i="60"/>
  <c r="D28" i="60"/>
  <c r="E26" i="60"/>
  <c r="E25" i="60" s="1"/>
  <c r="D25" i="60"/>
  <c r="E21" i="60"/>
  <c r="E20" i="60" s="1"/>
  <c r="E19" i="60" s="1"/>
  <c r="D20" i="60"/>
  <c r="D19" i="60" s="1"/>
  <c r="D15" i="60"/>
  <c r="D16" i="60" s="1"/>
  <c r="E39" i="58"/>
  <c r="E38" i="58" s="1"/>
  <c r="D38" i="58"/>
  <c r="D37" i="58"/>
  <c r="D33" i="58"/>
  <c r="E27" i="58"/>
  <c r="E26" i="58" s="1"/>
  <c r="D26" i="58"/>
  <c r="E22" i="58"/>
  <c r="E21" i="58" s="1"/>
  <c r="E20" i="58" s="1"/>
  <c r="D21" i="58"/>
  <c r="D20" i="58" s="1"/>
  <c r="D17" i="58"/>
  <c r="E39" i="57"/>
  <c r="E38" i="57" s="1"/>
  <c r="D38" i="57"/>
  <c r="D36" i="57"/>
  <c r="D34" i="57"/>
  <c r="D31" i="57"/>
  <c r="E25" i="57"/>
  <c r="E24" i="57" s="1"/>
  <c r="D24" i="57"/>
  <c r="E20" i="57"/>
  <c r="E19" i="57" s="1"/>
  <c r="E18" i="57" s="1"/>
  <c r="D19" i="57"/>
  <c r="D18" i="57"/>
  <c r="D14" i="57"/>
  <c r="D15" i="57" s="1"/>
  <c r="D47" i="56"/>
  <c r="E38" i="56"/>
  <c r="E37" i="56" s="1"/>
  <c r="D37" i="56"/>
  <c r="D36" i="56"/>
  <c r="D33" i="56"/>
  <c r="E27" i="56"/>
  <c r="E26" i="56" s="1"/>
  <c r="D26" i="56"/>
  <c r="E24" i="56"/>
  <c r="E23" i="56"/>
  <c r="E22" i="56"/>
  <c r="E21" i="56" s="1"/>
  <c r="E20" i="56" s="1"/>
  <c r="D21" i="56"/>
  <c r="D20" i="56"/>
  <c r="D16" i="56"/>
  <c r="D17" i="56" s="1"/>
  <c r="E38" i="55"/>
  <c r="E37" i="55" s="1"/>
  <c r="D37" i="55"/>
  <c r="D36" i="55"/>
  <c r="D32" i="55"/>
  <c r="E26" i="55"/>
  <c r="E25" i="55" s="1"/>
  <c r="D25" i="55"/>
  <c r="E21" i="55"/>
  <c r="E20" i="55" s="1"/>
  <c r="E19" i="55" s="1"/>
  <c r="D20" i="55"/>
  <c r="D19" i="55"/>
  <c r="D16" i="55"/>
  <c r="D46" i="5"/>
  <c r="E36" i="5"/>
  <c r="E35" i="5" s="1"/>
  <c r="D35" i="5"/>
  <c r="D34" i="5"/>
  <c r="D33" i="5"/>
  <c r="D31" i="5"/>
  <c r="E26" i="5"/>
  <c r="E25" i="5" s="1"/>
  <c r="D25" i="5"/>
  <c r="E21" i="5"/>
  <c r="E20" i="5" s="1"/>
  <c r="E19" i="5" s="1"/>
  <c r="D20" i="5"/>
  <c r="D19" i="5"/>
  <c r="D16" i="5"/>
  <c r="D39" i="5" s="1"/>
  <c r="D11" i="5"/>
  <c r="D47" i="54"/>
  <c r="E39" i="54"/>
  <c r="E38" i="54" s="1"/>
  <c r="D38" i="54"/>
  <c r="D37" i="54"/>
  <c r="D35" i="54"/>
  <c r="D34" i="54"/>
  <c r="E29" i="54"/>
  <c r="E28" i="54" s="1"/>
  <c r="D28" i="54"/>
  <c r="E26" i="54"/>
  <c r="E25" i="54"/>
  <c r="E24" i="54"/>
  <c r="E23" i="54" s="1"/>
  <c r="E22" i="54" s="1"/>
  <c r="D23" i="54"/>
  <c r="D22" i="54"/>
  <c r="D19" i="54"/>
  <c r="D42" i="54" s="1"/>
  <c r="D47" i="22"/>
  <c r="E39" i="22"/>
  <c r="E38" i="22" s="1"/>
  <c r="D38" i="22"/>
  <c r="D37" i="22"/>
  <c r="D33" i="22"/>
  <c r="E28" i="22"/>
  <c r="E27" i="22" s="1"/>
  <c r="D27" i="22"/>
  <c r="E24" i="22"/>
  <c r="E23" i="22"/>
  <c r="E22" i="22"/>
  <c r="E21" i="22" s="1"/>
  <c r="E20" i="22" s="1"/>
  <c r="D21" i="22"/>
  <c r="D20" i="22"/>
  <c r="D16" i="22"/>
  <c r="D14" i="22"/>
  <c r="D17" i="22" s="1"/>
  <c r="E40" i="36"/>
  <c r="E39" i="36" s="1"/>
  <c r="D39" i="36"/>
  <c r="D38" i="36"/>
  <c r="D35" i="36"/>
  <c r="E27" i="36"/>
  <c r="E26" i="36" s="1"/>
  <c r="D26" i="36"/>
  <c r="E23" i="36"/>
  <c r="E22" i="36"/>
  <c r="E21" i="36"/>
  <c r="D20" i="36"/>
  <c r="D19" i="36"/>
  <c r="D15" i="36"/>
  <c r="D14" i="36"/>
  <c r="D16" i="36" s="1"/>
  <c r="D47" i="37"/>
  <c r="E39" i="37"/>
  <c r="E38" i="37" s="1"/>
  <c r="D38" i="37"/>
  <c r="D37" i="37"/>
  <c r="D34" i="37"/>
  <c r="E28" i="37"/>
  <c r="E27" i="37" s="1"/>
  <c r="D27" i="37"/>
  <c r="E23" i="37"/>
  <c r="E22" i="37" s="1"/>
  <c r="E21" i="37" s="1"/>
  <c r="D22" i="37"/>
  <c r="D21" i="37"/>
  <c r="D18" i="37"/>
  <c r="D32" i="37" s="1"/>
  <c r="D31" i="37" s="1"/>
  <c r="D46" i="35"/>
  <c r="E38" i="35"/>
  <c r="E37" i="35" s="1"/>
  <c r="D37" i="35"/>
  <c r="D36" i="35"/>
  <c r="D34" i="35"/>
  <c r="D32" i="35"/>
  <c r="E27" i="35"/>
  <c r="E26" i="35" s="1"/>
  <c r="D26" i="35"/>
  <c r="E22" i="35"/>
  <c r="E21" i="35" s="1"/>
  <c r="E20" i="35" s="1"/>
  <c r="D21" i="35"/>
  <c r="D20" i="35"/>
  <c r="D16" i="35"/>
  <c r="D17" i="35" s="1"/>
  <c r="D41" i="35" s="1"/>
  <c r="D11" i="35"/>
  <c r="E39" i="34"/>
  <c r="E38" i="34" s="1"/>
  <c r="D38" i="34"/>
  <c r="D37" i="34"/>
  <c r="D34" i="34"/>
  <c r="E27" i="34"/>
  <c r="E26" i="34" s="1"/>
  <c r="D26" i="34"/>
  <c r="E23" i="34"/>
  <c r="E22" i="34"/>
  <c r="E21" i="34"/>
  <c r="E20" i="34" s="1"/>
  <c r="E19" i="34" s="1"/>
  <c r="D20" i="34"/>
  <c r="D19" i="34"/>
  <c r="D16" i="34"/>
  <c r="D31" i="34" s="1"/>
  <c r="D30" i="34" s="1"/>
  <c r="D46" i="33"/>
  <c r="D47" i="33" s="1"/>
  <c r="E38" i="33"/>
  <c r="E37" i="33" s="1"/>
  <c r="D37" i="33"/>
  <c r="D36" i="33"/>
  <c r="D35" i="33"/>
  <c r="D33" i="33"/>
  <c r="E26" i="33"/>
  <c r="E25" i="33" s="1"/>
  <c r="D25" i="33"/>
  <c r="E22" i="33"/>
  <c r="E21" i="33"/>
  <c r="E20" i="33" s="1"/>
  <c r="E19" i="33" s="1"/>
  <c r="D20" i="33"/>
  <c r="D19" i="33"/>
  <c r="D16" i="33"/>
  <c r="D41" i="33" s="1"/>
  <c r="E37" i="23"/>
  <c r="E36" i="23" s="1"/>
  <c r="D36" i="23"/>
  <c r="D35" i="23"/>
  <c r="D32" i="23"/>
  <c r="E27" i="23"/>
  <c r="E26" i="23" s="1"/>
  <c r="D26" i="23"/>
  <c r="E22" i="23"/>
  <c r="E21" i="23" s="1"/>
  <c r="E20" i="23" s="1"/>
  <c r="D21" i="23"/>
  <c r="D20" i="23"/>
  <c r="D17" i="23"/>
  <c r="E38" i="24"/>
  <c r="E37" i="24" s="1"/>
  <c r="D37" i="24"/>
  <c r="D36" i="24"/>
  <c r="D33" i="24"/>
  <c r="E27" i="24"/>
  <c r="E26" i="24" s="1"/>
  <c r="D26" i="24"/>
  <c r="E22" i="24"/>
  <c r="E21" i="24" s="1"/>
  <c r="E20" i="24" s="1"/>
  <c r="D21" i="24"/>
  <c r="D20" i="24"/>
  <c r="D17" i="24"/>
  <c r="D12" i="24"/>
  <c r="D46" i="25"/>
  <c r="E37" i="25"/>
  <c r="E36" i="25" s="1"/>
  <c r="D36" i="25"/>
  <c r="D35" i="25"/>
  <c r="D31" i="25"/>
  <c r="E26" i="25"/>
  <c r="E25" i="25" s="1"/>
  <c r="D25" i="25"/>
  <c r="E23" i="25"/>
  <c r="E22" i="25"/>
  <c r="E21" i="25"/>
  <c r="E20" i="25" s="1"/>
  <c r="E19" i="25" s="1"/>
  <c r="D20" i="25"/>
  <c r="D19" i="25"/>
  <c r="D16" i="25"/>
  <c r="D29" i="25" s="1"/>
  <c r="D28" i="25" s="1"/>
  <c r="D11" i="25"/>
  <c r="E36" i="26"/>
  <c r="E35" i="26" s="1"/>
  <c r="D35" i="26"/>
  <c r="D34" i="26"/>
  <c r="D31" i="26"/>
  <c r="E26" i="26"/>
  <c r="E25" i="26" s="1"/>
  <c r="D25" i="26"/>
  <c r="E21" i="26"/>
  <c r="E20" i="26" s="1"/>
  <c r="E19" i="26" s="1"/>
  <c r="D20" i="26"/>
  <c r="D19" i="26"/>
  <c r="D16" i="26"/>
  <c r="D11" i="26"/>
  <c r="E38" i="27"/>
  <c r="E37" i="27" s="1"/>
  <c r="D37" i="27"/>
  <c r="D36" i="27"/>
  <c r="D33" i="27"/>
  <c r="D32" i="27"/>
  <c r="E27" i="27"/>
  <c r="E26" i="27" s="1"/>
  <c r="D26" i="27"/>
  <c r="E22" i="27"/>
  <c r="E21" i="27" s="1"/>
  <c r="E20" i="27" s="1"/>
  <c r="D21" i="27"/>
  <c r="D20" i="27" s="1"/>
  <c r="D17" i="27"/>
  <c r="D12" i="27"/>
  <c r="E38" i="28"/>
  <c r="E37" i="28" s="1"/>
  <c r="D37" i="28"/>
  <c r="D36" i="28"/>
  <c r="D35" i="28"/>
  <c r="D33" i="28"/>
  <c r="E27" i="28"/>
  <c r="E26" i="28" s="1"/>
  <c r="D26" i="28"/>
  <c r="E24" i="28"/>
  <c r="E23" i="28"/>
  <c r="E22" i="28"/>
  <c r="E21" i="28" s="1"/>
  <c r="E20" i="28" s="1"/>
  <c r="D21" i="28"/>
  <c r="D20" i="28"/>
  <c r="D17" i="28"/>
  <c r="D12" i="28"/>
  <c r="E38" i="29"/>
  <c r="E37" i="29" s="1"/>
  <c r="D37" i="29"/>
  <c r="D36" i="29"/>
  <c r="D33" i="29"/>
  <c r="D32" i="29"/>
  <c r="E27" i="29"/>
  <c r="E26" i="29" s="1"/>
  <c r="D26" i="29"/>
  <c r="E22" i="29"/>
  <c r="E21" i="29" s="1"/>
  <c r="E20" i="29" s="1"/>
  <c r="D21" i="29"/>
  <c r="D20" i="29"/>
  <c r="D17" i="29"/>
  <c r="E37" i="30"/>
  <c r="E36" i="30" s="1"/>
  <c r="D36" i="30"/>
  <c r="D35" i="30"/>
  <c r="D33" i="30"/>
  <c r="D32" i="30"/>
  <c r="E27" i="30"/>
  <c r="E26" i="30" s="1"/>
  <c r="D26" i="30"/>
  <c r="E22" i="30"/>
  <c r="E21" i="30" s="1"/>
  <c r="E20" i="30" s="1"/>
  <c r="D21" i="30"/>
  <c r="D20" i="30"/>
  <c r="D17" i="30"/>
  <c r="E36" i="31"/>
  <c r="E35" i="31" s="1"/>
  <c r="D35" i="31"/>
  <c r="D34" i="31"/>
  <c r="D32" i="31"/>
  <c r="D31" i="31"/>
  <c r="E27" i="31"/>
  <c r="E26" i="31" s="1"/>
  <c r="D26" i="31"/>
  <c r="E22" i="31"/>
  <c r="E21" i="31" s="1"/>
  <c r="E20" i="31" s="1"/>
  <c r="D21" i="31"/>
  <c r="D20" i="31"/>
  <c r="D17" i="31"/>
  <c r="E39" i="32"/>
  <c r="E38" i="32" s="1"/>
  <c r="D38" i="32"/>
  <c r="D37" i="32"/>
  <c r="D34" i="32"/>
  <c r="D33" i="32"/>
  <c r="E28" i="32"/>
  <c r="E27" i="32" s="1"/>
  <c r="D27" i="32"/>
  <c r="E23" i="32"/>
  <c r="E22" i="32"/>
  <c r="D22" i="32"/>
  <c r="E21" i="32"/>
  <c r="D21" i="32"/>
  <c r="D18" i="32"/>
  <c r="D13" i="32"/>
  <c r="E37" i="4"/>
  <c r="E36" i="4" s="1"/>
  <c r="D36" i="4"/>
  <c r="D35" i="4"/>
  <c r="D33" i="4"/>
  <c r="D32" i="4"/>
  <c r="E28" i="4"/>
  <c r="E27" i="4" s="1"/>
  <c r="D27" i="4"/>
  <c r="E23" i="4"/>
  <c r="E22" i="4" s="1"/>
  <c r="E21" i="4" s="1"/>
  <c r="D22" i="4"/>
  <c r="D21" i="4"/>
  <c r="D18" i="4"/>
  <c r="D13" i="4"/>
  <c r="D48" i="17"/>
  <c r="E40" i="17"/>
  <c r="D22" i="46"/>
  <c r="E39" i="9"/>
  <c r="E38" i="9" s="1"/>
  <c r="D38" i="9"/>
  <c r="D37" i="9"/>
  <c r="D34" i="9"/>
  <c r="E28" i="9"/>
  <c r="E27" i="9"/>
  <c r="D27" i="9"/>
  <c r="E23" i="9"/>
  <c r="E22" i="9" s="1"/>
  <c r="E21" i="9" s="1"/>
  <c r="D22" i="9"/>
  <c r="D21" i="9"/>
  <c r="D18" i="9"/>
  <c r="E40" i="6"/>
  <c r="E39" i="6" s="1"/>
  <c r="D39" i="6"/>
  <c r="D38" i="6"/>
  <c r="D35" i="6"/>
  <c r="E29" i="6"/>
  <c r="E28" i="6" s="1"/>
  <c r="D28" i="6"/>
  <c r="E25" i="6"/>
  <c r="E24" i="6"/>
  <c r="E23" i="6"/>
  <c r="E22" i="6" s="1"/>
  <c r="E21" i="6" s="1"/>
  <c r="D22" i="6"/>
  <c r="D21" i="6"/>
  <c r="D17" i="6"/>
  <c r="D18" i="6" s="1"/>
  <c r="D49" i="62"/>
  <c r="E40" i="62"/>
  <c r="E39" i="62" s="1"/>
  <c r="D39" i="62"/>
  <c r="D38" i="62"/>
  <c r="D36" i="62"/>
  <c r="E29" i="62"/>
  <c r="E28" i="62"/>
  <c r="D28" i="62"/>
  <c r="E26" i="62"/>
  <c r="E25" i="62"/>
  <c r="E24" i="62"/>
  <c r="E23" i="62" s="1"/>
  <c r="E22" i="62" s="1"/>
  <c r="D23" i="62"/>
  <c r="D22" i="62"/>
  <c r="D18" i="62"/>
  <c r="D19" i="62" s="1"/>
  <c r="D47" i="13"/>
  <c r="D46" i="13"/>
  <c r="E38" i="13"/>
  <c r="E37" i="13" s="1"/>
  <c r="D37" i="13"/>
  <c r="D36" i="13"/>
  <c r="D33" i="13"/>
  <c r="E26" i="13"/>
  <c r="E25" i="13" s="1"/>
  <c r="D25" i="13"/>
  <c r="E22" i="13"/>
  <c r="E21" i="13"/>
  <c r="E20" i="13"/>
  <c r="D19" i="13"/>
  <c r="D18" i="13" s="1"/>
  <c r="D14" i="13"/>
  <c r="D52" i="14"/>
  <c r="D51" i="14"/>
  <c r="E43" i="14"/>
  <c r="E42" i="14" s="1"/>
  <c r="D42" i="14"/>
  <c r="D41" i="14"/>
  <c r="D39" i="14"/>
  <c r="D34" i="14"/>
  <c r="E28" i="14"/>
  <c r="E27" i="14" s="1"/>
  <c r="D27" i="14"/>
  <c r="E24" i="14"/>
  <c r="E23" i="14" s="1"/>
  <c r="E22" i="14" s="1"/>
  <c r="D23" i="14"/>
  <c r="D22" i="14" s="1"/>
  <c r="D17" i="14"/>
  <c r="D51" i="15"/>
  <c r="D53" i="15" s="1"/>
  <c r="E43" i="15"/>
  <c r="E42" i="15" s="1"/>
  <c r="D42" i="15"/>
  <c r="E31" i="15"/>
  <c r="E30" i="15" s="1"/>
  <c r="E28" i="15"/>
  <c r="E27" i="15"/>
  <c r="E26" i="15"/>
  <c r="E25" i="15" s="1"/>
  <c r="E24" i="15" s="1"/>
  <c r="D25" i="15"/>
  <c r="D24" i="15"/>
  <c r="D20" i="15"/>
  <c r="E38" i="16"/>
  <c r="E37" i="16" s="1"/>
  <c r="D37" i="16"/>
  <c r="D36" i="16"/>
  <c r="D33" i="16"/>
  <c r="E27" i="16"/>
  <c r="E26" i="16" s="1"/>
  <c r="D26" i="16"/>
  <c r="E23" i="16"/>
  <c r="E22" i="16"/>
  <c r="E21" i="16"/>
  <c r="E20" i="16" s="1"/>
  <c r="E19" i="16" s="1"/>
  <c r="D20" i="16"/>
  <c r="D19" i="16" s="1"/>
  <c r="D16" i="16"/>
  <c r="D47" i="19"/>
  <c r="E39" i="19"/>
  <c r="E38" i="19" s="1"/>
  <c r="D38" i="19"/>
  <c r="D37" i="19"/>
  <c r="D36" i="19"/>
  <c r="D34" i="19"/>
  <c r="E28" i="19"/>
  <c r="E27" i="19" s="1"/>
  <c r="D27" i="19"/>
  <c r="E24" i="19"/>
  <c r="E23" i="19"/>
  <c r="E22" i="19"/>
  <c r="E21" i="19" s="1"/>
  <c r="E20" i="19" s="1"/>
  <c r="D21" i="19"/>
  <c r="D20" i="19"/>
  <c r="D16" i="19"/>
  <c r="D12" i="19"/>
  <c r="E38" i="20"/>
  <c r="E37" i="20" s="1"/>
  <c r="D37" i="20"/>
  <c r="D36" i="20"/>
  <c r="D32" i="20"/>
  <c r="E26" i="20"/>
  <c r="E25" i="20" s="1"/>
  <c r="D25" i="20"/>
  <c r="E23" i="20"/>
  <c r="E22" i="20"/>
  <c r="E21" i="20"/>
  <c r="E20" i="20" s="1"/>
  <c r="E19" i="20" s="1"/>
  <c r="D20" i="20"/>
  <c r="D19" i="20"/>
  <c r="D15" i="20"/>
  <c r="D16" i="20" s="1"/>
  <c r="D12" i="20"/>
  <c r="E39" i="18"/>
  <c r="E38" i="18" s="1"/>
  <c r="D37" i="18"/>
  <c r="D33" i="18"/>
  <c r="E28" i="18"/>
  <c r="E27" i="18" s="1"/>
  <c r="D27" i="18"/>
  <c r="E24" i="18"/>
  <c r="E23" i="18"/>
  <c r="E22" i="18"/>
  <c r="D21" i="18"/>
  <c r="D20" i="18" s="1"/>
  <c r="D16" i="18"/>
  <c r="D17" i="18" s="1"/>
  <c r="E39" i="17"/>
  <c r="D39" i="17"/>
  <c r="D38" i="17"/>
  <c r="D34" i="17"/>
  <c r="E28" i="17"/>
  <c r="E27" i="17" s="1"/>
  <c r="D27" i="17"/>
  <c r="E24" i="17"/>
  <c r="E23" i="17"/>
  <c r="E22" i="17"/>
  <c r="D21" i="17"/>
  <c r="D20" i="17" s="1"/>
  <c r="D16" i="17"/>
  <c r="D17" i="17" s="1"/>
  <c r="F39" i="3"/>
  <c r="F38" i="3" s="1"/>
  <c r="E38" i="3"/>
  <c r="E37" i="3"/>
  <c r="E34" i="3"/>
  <c r="F28" i="3"/>
  <c r="F27" i="3" s="1"/>
  <c r="E27" i="3"/>
  <c r="E25" i="3"/>
  <c r="F23" i="3"/>
  <c r="F22" i="3" s="1"/>
  <c r="F21" i="3" s="1"/>
  <c r="E22" i="3"/>
  <c r="E21" i="3"/>
  <c r="E17" i="3"/>
  <c r="E18" i="3" s="1"/>
  <c r="E40" i="44"/>
  <c r="D21" i="46"/>
  <c r="E24" i="46"/>
  <c r="E25" i="46"/>
  <c r="E23" i="46"/>
  <c r="E29" i="46"/>
  <c r="E28" i="46" s="1"/>
  <c r="E39" i="46"/>
  <c r="E38" i="46" s="1"/>
  <c r="D47" i="38"/>
  <c r="E39" i="38"/>
  <c r="E38" i="38" s="1"/>
  <c r="D38" i="38"/>
  <c r="D37" i="38"/>
  <c r="D34" i="38"/>
  <c r="E28" i="38"/>
  <c r="E27" i="38" s="1"/>
  <c r="D27" i="38"/>
  <c r="E24" i="38"/>
  <c r="E23" i="38"/>
  <c r="E22" i="38"/>
  <c r="E21" i="38" s="1"/>
  <c r="E20" i="38" s="1"/>
  <c r="D21" i="38"/>
  <c r="D20" i="38" s="1"/>
  <c r="D17" i="38"/>
  <c r="D31" i="38" s="1"/>
  <c r="D30" i="38" s="1"/>
  <c r="D47" i="46"/>
  <c r="D38" i="46"/>
  <c r="D37" i="46"/>
  <c r="D34" i="46"/>
  <c r="D28" i="46"/>
  <c r="D18" i="46"/>
  <c r="D32" i="46" s="1"/>
  <c r="D31" i="46" s="1"/>
  <c r="E39" i="47"/>
  <c r="E38" i="47" s="1"/>
  <c r="D38" i="47"/>
  <c r="D37" i="47"/>
  <c r="D36" i="47"/>
  <c r="D34" i="47"/>
  <c r="E28" i="47"/>
  <c r="E27" i="47" s="1"/>
  <c r="D27" i="47"/>
  <c r="E24" i="47"/>
  <c r="E23" i="47"/>
  <c r="E22" i="47"/>
  <c r="D21" i="47"/>
  <c r="D20" i="47" s="1"/>
  <c r="D17" i="47"/>
  <c r="E38" i="48"/>
  <c r="E37" i="48" s="1"/>
  <c r="D37" i="48"/>
  <c r="D36" i="48"/>
  <c r="D33" i="48"/>
  <c r="E27" i="48"/>
  <c r="E26" i="48" s="1"/>
  <c r="D26" i="48"/>
  <c r="E23" i="48"/>
  <c r="E22" i="48"/>
  <c r="E21" i="48"/>
  <c r="E20" i="48" s="1"/>
  <c r="E19" i="48" s="1"/>
  <c r="D20" i="48"/>
  <c r="D19" i="48"/>
  <c r="D16" i="48"/>
  <c r="E39" i="49"/>
  <c r="E38" i="49" s="1"/>
  <c r="D38" i="49"/>
  <c r="D37" i="49"/>
  <c r="D33" i="49"/>
  <c r="E28" i="49"/>
  <c r="E27" i="49" s="1"/>
  <c r="D27" i="49"/>
  <c r="E23" i="49"/>
  <c r="E22" i="49" s="1"/>
  <c r="E21" i="49" s="1"/>
  <c r="D22" i="49"/>
  <c r="D21" i="49"/>
  <c r="D18" i="49"/>
  <c r="D13" i="49"/>
  <c r="E39" i="50"/>
  <c r="E38" i="50" s="1"/>
  <c r="D38" i="50"/>
  <c r="D37" i="50"/>
  <c r="D34" i="50"/>
  <c r="E27" i="50"/>
  <c r="E26" i="50" s="1"/>
  <c r="D26" i="50"/>
  <c r="E24" i="50"/>
  <c r="E23" i="50"/>
  <c r="E22" i="50"/>
  <c r="E21" i="50" s="1"/>
  <c r="E20" i="50" s="1"/>
  <c r="D21" i="50"/>
  <c r="D20" i="50"/>
  <c r="D17" i="50"/>
  <c r="E40" i="51"/>
  <c r="E39" i="51" s="1"/>
  <c r="D39" i="51"/>
  <c r="D38" i="51"/>
  <c r="D33" i="51"/>
  <c r="E28" i="51"/>
  <c r="E27" i="51" s="1"/>
  <c r="D27" i="51"/>
  <c r="E23" i="51"/>
  <c r="E22" i="51" s="1"/>
  <c r="E21" i="51" s="1"/>
  <c r="D22" i="51"/>
  <c r="D21" i="51" s="1"/>
  <c r="D18" i="51"/>
  <c r="E39" i="52"/>
  <c r="E38" i="52" s="1"/>
  <c r="D38" i="52"/>
  <c r="D37" i="52"/>
  <c r="D33" i="52"/>
  <c r="E27" i="52"/>
  <c r="E26" i="52" s="1"/>
  <c r="D26" i="52"/>
  <c r="E24" i="52"/>
  <c r="E23" i="52"/>
  <c r="E22" i="52"/>
  <c r="E21" i="52" s="1"/>
  <c r="E20" i="52" s="1"/>
  <c r="D21" i="52"/>
  <c r="D20" i="52"/>
  <c r="D17" i="52"/>
  <c r="E40" i="53"/>
  <c r="E39" i="53" s="1"/>
  <c r="D39" i="53"/>
  <c r="D38" i="53"/>
  <c r="D37" i="53"/>
  <c r="D34" i="53"/>
  <c r="E28" i="53"/>
  <c r="E27" i="53" s="1"/>
  <c r="D27" i="53"/>
  <c r="E24" i="53"/>
  <c r="E23" i="53"/>
  <c r="E22" i="53" s="1"/>
  <c r="E21" i="53" s="1"/>
  <c r="D22" i="53"/>
  <c r="D21" i="53"/>
  <c r="D18" i="53"/>
  <c r="E40" i="45"/>
  <c r="E39" i="45" s="1"/>
  <c r="D39" i="45"/>
  <c r="D38" i="45"/>
  <c r="D35" i="45"/>
  <c r="E28" i="45"/>
  <c r="E27" i="45" s="1"/>
  <c r="D27" i="45"/>
  <c r="E23" i="45"/>
  <c r="E22" i="45" s="1"/>
  <c r="E21" i="45" s="1"/>
  <c r="D22" i="45"/>
  <c r="D21" i="45"/>
  <c r="D18" i="45"/>
  <c r="E40" i="39"/>
  <c r="E39" i="39" s="1"/>
  <c r="D39" i="39"/>
  <c r="D38" i="39"/>
  <c r="D35" i="39"/>
  <c r="E27" i="39"/>
  <c r="E26" i="39" s="1"/>
  <c r="D26" i="39"/>
  <c r="E23" i="39"/>
  <c r="E22" i="39"/>
  <c r="E21" i="39"/>
  <c r="D21" i="39"/>
  <c r="E20" i="39"/>
  <c r="D20" i="39"/>
  <c r="D16" i="39"/>
  <c r="D17" i="39" s="1"/>
  <c r="D47" i="40"/>
  <c r="E39" i="40"/>
  <c r="E38" i="40" s="1"/>
  <c r="D38" i="40"/>
  <c r="D37" i="40"/>
  <c r="D34" i="40"/>
  <c r="E26" i="40"/>
  <c r="E25" i="40" s="1"/>
  <c r="D25" i="40"/>
  <c r="E23" i="40"/>
  <c r="E22" i="40"/>
  <c r="E21" i="40"/>
  <c r="E20" i="40" s="1"/>
  <c r="E19" i="40" s="1"/>
  <c r="D20" i="40"/>
  <c r="D19" i="40"/>
  <c r="D16" i="40"/>
  <c r="D30" i="40" s="1"/>
  <c r="D29" i="40" s="1"/>
  <c r="E39" i="41"/>
  <c r="E38" i="41" s="1"/>
  <c r="D38" i="41"/>
  <c r="D37" i="41"/>
  <c r="D34" i="41"/>
  <c r="E28" i="41"/>
  <c r="E27" i="41" s="1"/>
  <c r="D27" i="41"/>
  <c r="E24" i="41"/>
  <c r="E23" i="41"/>
  <c r="E22" i="41"/>
  <c r="D21" i="41"/>
  <c r="D20" i="41" s="1"/>
  <c r="D17" i="41"/>
  <c r="D12" i="41"/>
  <c r="E39" i="42"/>
  <c r="E38" i="42" s="1"/>
  <c r="D38" i="42"/>
  <c r="D34" i="42"/>
  <c r="D31" i="42"/>
  <c r="E25" i="42"/>
  <c r="E24" i="42" s="1"/>
  <c r="D24" i="42"/>
  <c r="E22" i="42"/>
  <c r="E21" i="42" s="1"/>
  <c r="E20" i="42" s="1"/>
  <c r="D21" i="42"/>
  <c r="D20" i="42"/>
  <c r="D17" i="42"/>
  <c r="E40" i="43"/>
  <c r="E39" i="43" s="1"/>
  <c r="D39" i="43"/>
  <c r="D38" i="43"/>
  <c r="D35" i="43"/>
  <c r="E28" i="43"/>
  <c r="E27" i="43" s="1"/>
  <c r="D27" i="43"/>
  <c r="E24" i="43"/>
  <c r="E23" i="43"/>
  <c r="E22" i="43"/>
  <c r="E21" i="43" s="1"/>
  <c r="E20" i="43" s="1"/>
  <c r="D21" i="43"/>
  <c r="D20" i="43" s="1"/>
  <c r="D17" i="43"/>
  <c r="E39" i="44"/>
  <c r="D39" i="44"/>
  <c r="D38" i="44"/>
  <c r="D35" i="44"/>
  <c r="E28" i="44"/>
  <c r="E27" i="44"/>
  <c r="D27" i="44"/>
  <c r="E25" i="44"/>
  <c r="E24" i="44"/>
  <c r="E23" i="44"/>
  <c r="E22" i="44" s="1"/>
  <c r="E21" i="44" s="1"/>
  <c r="D22" i="44"/>
  <c r="D21" i="44"/>
  <c r="D18" i="44"/>
  <c r="E40" i="10"/>
  <c r="E39" i="10" s="1"/>
  <c r="D39" i="10"/>
  <c r="D38" i="10"/>
  <c r="D37" i="10"/>
  <c r="E27" i="10"/>
  <c r="E26" i="10" s="1"/>
  <c r="D26" i="10"/>
  <c r="E24" i="10"/>
  <c r="E23" i="10"/>
  <c r="E22" i="10"/>
  <c r="E21" i="10" s="1"/>
  <c r="E20" i="10" s="1"/>
  <c r="D21" i="10"/>
  <c r="D20" i="10"/>
  <c r="D17" i="10"/>
  <c r="E39" i="12"/>
  <c r="E38" i="12" s="1"/>
  <c r="D38" i="12"/>
  <c r="D37" i="12"/>
  <c r="D34" i="12"/>
  <c r="E27" i="12"/>
  <c r="E26" i="12" s="1"/>
  <c r="D26" i="12"/>
  <c r="E22" i="12"/>
  <c r="E21" i="12" s="1"/>
  <c r="E20" i="12" s="1"/>
  <c r="D21" i="12"/>
  <c r="D20" i="12"/>
  <c r="D17" i="12"/>
  <c r="E40" i="11"/>
  <c r="E39" i="11" s="1"/>
  <c r="D39" i="11"/>
  <c r="D38" i="11"/>
  <c r="D35" i="11"/>
  <c r="E28" i="11"/>
  <c r="E27" i="11" s="1"/>
  <c r="D27" i="11"/>
  <c r="E23" i="11"/>
  <c r="E22" i="11" s="1"/>
  <c r="E21" i="11" s="1"/>
  <c r="D22" i="11"/>
  <c r="D21" i="11"/>
  <c r="D17" i="11"/>
  <c r="D18" i="11" s="1"/>
  <c r="E40" i="8"/>
  <c r="E39" i="8" s="1"/>
  <c r="D39" i="8"/>
  <c r="D38" i="8"/>
  <c r="D34" i="8"/>
  <c r="E28" i="8"/>
  <c r="E27" i="8" s="1"/>
  <c r="D27" i="8"/>
  <c r="E24" i="8"/>
  <c r="E23" i="8"/>
  <c r="E22" i="8"/>
  <c r="E21" i="8" s="1"/>
  <c r="E20" i="8" s="1"/>
  <c r="D21" i="8"/>
  <c r="D20" i="8"/>
  <c r="D16" i="8"/>
  <c r="D17" i="8" s="1"/>
  <c r="E21" i="41" l="1"/>
  <c r="E20" i="41" s="1"/>
  <c r="E21" i="18"/>
  <c r="E20" i="18" s="1"/>
  <c r="E20" i="36"/>
  <c r="E19" i="36" s="1"/>
  <c r="E22" i="46"/>
  <c r="E21" i="46" s="1"/>
  <c r="D30" i="2"/>
  <c r="D29" i="2" s="1"/>
  <c r="D40" i="2" s="1"/>
  <c r="D42" i="2" s="1"/>
  <c r="D45" i="2" s="1"/>
  <c r="D46" i="2" s="1"/>
  <c r="E29" i="59"/>
  <c r="E28" i="59" s="1"/>
  <c r="E41" i="59" s="1"/>
  <c r="E43" i="59" s="1"/>
  <c r="E45" i="59" s="1"/>
  <c r="E46" i="59" s="1"/>
  <c r="E42" i="59"/>
  <c r="D41" i="61"/>
  <c r="D43" i="61" s="1"/>
  <c r="D45" i="61" s="1"/>
  <c r="D46" i="61" s="1"/>
  <c r="D42" i="61"/>
  <c r="D30" i="60"/>
  <c r="D29" i="60" s="1"/>
  <c r="D41" i="60" s="1"/>
  <c r="D43" i="60" s="1"/>
  <c r="D45" i="60" s="1"/>
  <c r="D46" i="60" s="1"/>
  <c r="D42" i="60"/>
  <c r="D31" i="58"/>
  <c r="D30" i="58" s="1"/>
  <c r="D41" i="58" s="1"/>
  <c r="D43" i="58" s="1"/>
  <c r="D45" i="58" s="1"/>
  <c r="D46" i="58" s="1"/>
  <c r="D42" i="58"/>
  <c r="D42" i="57"/>
  <c r="D29" i="57"/>
  <c r="D28" i="57" s="1"/>
  <c r="D41" i="57" s="1"/>
  <c r="D30" i="56"/>
  <c r="D29" i="56" s="1"/>
  <c r="D40" i="56" s="1"/>
  <c r="D42" i="56" s="1"/>
  <c r="D44" i="56" s="1"/>
  <c r="D45" i="56" s="1"/>
  <c r="D41" i="56"/>
  <c r="D30" i="55"/>
  <c r="D29" i="55" s="1"/>
  <c r="D40" i="55" s="1"/>
  <c r="D42" i="55" s="1"/>
  <c r="D44" i="55" s="1"/>
  <c r="D45" i="55" s="1"/>
  <c r="D41" i="55"/>
  <c r="D29" i="5"/>
  <c r="D28" i="5" s="1"/>
  <c r="D38" i="5" s="1"/>
  <c r="D40" i="5" s="1"/>
  <c r="D42" i="5" s="1"/>
  <c r="D43" i="5" s="1"/>
  <c r="D32" i="54"/>
  <c r="D31" i="54" s="1"/>
  <c r="D41" i="54" s="1"/>
  <c r="D43" i="54" s="1"/>
  <c r="D45" i="54" s="1"/>
  <c r="D46" i="54" s="1"/>
  <c r="D31" i="22"/>
  <c r="D30" i="22" s="1"/>
  <c r="D42" i="22"/>
  <c r="D41" i="22"/>
  <c r="D43" i="22" s="1"/>
  <c r="D45" i="22" s="1"/>
  <c r="D46" i="22" s="1"/>
  <c r="D43" i="36"/>
  <c r="D32" i="36"/>
  <c r="D31" i="36" s="1"/>
  <c r="D42" i="36" s="1"/>
  <c r="D44" i="36" s="1"/>
  <c r="D46" i="36" s="1"/>
  <c r="D47" i="36" s="1"/>
  <c r="D41" i="37"/>
  <c r="D42" i="37"/>
  <c r="D30" i="35"/>
  <c r="D29" i="35" s="1"/>
  <c r="D40" i="35" s="1"/>
  <c r="D42" i="35" s="1"/>
  <c r="D44" i="35" s="1"/>
  <c r="D45" i="35" s="1"/>
  <c r="D42" i="34"/>
  <c r="D41" i="34"/>
  <c r="D30" i="33"/>
  <c r="D29" i="33" s="1"/>
  <c r="D40" i="33" s="1"/>
  <c r="D42" i="33" s="1"/>
  <c r="D44" i="33" s="1"/>
  <c r="D45" i="33" s="1"/>
  <c r="D30" i="23"/>
  <c r="D29" i="23" s="1"/>
  <c r="D39" i="23" s="1"/>
  <c r="D40" i="23"/>
  <c r="D31" i="24"/>
  <c r="D30" i="24" s="1"/>
  <c r="D41" i="24" s="1"/>
  <c r="D42" i="24"/>
  <c r="D39" i="25"/>
  <c r="D40" i="25"/>
  <c r="D29" i="26"/>
  <c r="D28" i="26" s="1"/>
  <c r="D38" i="26" s="1"/>
  <c r="D39" i="26"/>
  <c r="D30" i="27"/>
  <c r="D29" i="27" s="1"/>
  <c r="D40" i="27" s="1"/>
  <c r="D41" i="27"/>
  <c r="D30" i="28"/>
  <c r="D29" i="28" s="1"/>
  <c r="D40" i="28" s="1"/>
  <c r="D41" i="28"/>
  <c r="D30" i="29"/>
  <c r="D29" i="29" s="1"/>
  <c r="D40" i="29" s="1"/>
  <c r="D41" i="29"/>
  <c r="D30" i="30"/>
  <c r="D29" i="30" s="1"/>
  <c r="D39" i="30" s="1"/>
  <c r="D40" i="30"/>
  <c r="D30" i="31"/>
  <c r="D29" i="31" s="1"/>
  <c r="D38" i="31" s="1"/>
  <c r="D39" i="31"/>
  <c r="D32" i="32"/>
  <c r="D31" i="32" s="1"/>
  <c r="D41" i="32" s="1"/>
  <c r="D42" i="32"/>
  <c r="D31" i="4"/>
  <c r="D30" i="4" s="1"/>
  <c r="D39" i="4" s="1"/>
  <c r="D40" i="4"/>
  <c r="E21" i="17"/>
  <c r="E20" i="17" s="1"/>
  <c r="D31" i="9"/>
  <c r="D30" i="9" s="1"/>
  <c r="D41" i="9" s="1"/>
  <c r="D42" i="9"/>
  <c r="D43" i="6"/>
  <c r="D32" i="6"/>
  <c r="D31" i="6" s="1"/>
  <c r="D42" i="6" s="1"/>
  <c r="D44" i="6" s="1"/>
  <c r="D46" i="6" s="1"/>
  <c r="D47" i="6" s="1"/>
  <c r="D32" i="62"/>
  <c r="D31" i="62" s="1"/>
  <c r="D42" i="62" s="1"/>
  <c r="D43" i="62"/>
  <c r="E19" i="13"/>
  <c r="E18" i="13" s="1"/>
  <c r="D15" i="13"/>
  <c r="D19" i="14"/>
  <c r="D21" i="15"/>
  <c r="D31" i="16"/>
  <c r="D30" i="16" s="1"/>
  <c r="D40" i="16" s="1"/>
  <c r="D41" i="16"/>
  <c r="D17" i="19"/>
  <c r="D41" i="20"/>
  <c r="D29" i="20"/>
  <c r="D28" i="20" s="1"/>
  <c r="D40" i="20" s="1"/>
  <c r="D42" i="18"/>
  <c r="D31" i="18"/>
  <c r="D30" i="18" s="1"/>
  <c r="D41" i="18" s="1"/>
  <c r="D43" i="18" s="1"/>
  <c r="D45" i="18" s="1"/>
  <c r="D46" i="18" s="1"/>
  <c r="D32" i="17"/>
  <c r="D31" i="17" s="1"/>
  <c r="D42" i="17" s="1"/>
  <c r="D43" i="17"/>
  <c r="E42" i="3"/>
  <c r="E32" i="3"/>
  <c r="E31" i="3" s="1"/>
  <c r="E41" i="3" s="1"/>
  <c r="E43" i="3" s="1"/>
  <c r="E45" i="3" s="1"/>
  <c r="E46" i="3" s="1"/>
  <c r="D41" i="38"/>
  <c r="D42" i="38"/>
  <c r="D41" i="46"/>
  <c r="D42" i="46"/>
  <c r="E21" i="47"/>
  <c r="E20" i="47" s="1"/>
  <c r="D31" i="47"/>
  <c r="D30" i="47" s="1"/>
  <c r="D41" i="47" s="1"/>
  <c r="D43" i="47" s="1"/>
  <c r="D45" i="47" s="1"/>
  <c r="D46" i="47" s="1"/>
  <c r="D42" i="47"/>
  <c r="D30" i="48"/>
  <c r="D29" i="48" s="1"/>
  <c r="D41" i="48"/>
  <c r="D31" i="49"/>
  <c r="D30" i="49" s="1"/>
  <c r="D41" i="49" s="1"/>
  <c r="D43" i="49" s="1"/>
  <c r="D45" i="49" s="1"/>
  <c r="D46" i="49" s="1"/>
  <c r="D42" i="49"/>
  <c r="D31" i="50"/>
  <c r="D30" i="50" s="1"/>
  <c r="D41" i="50" s="1"/>
  <c r="D43" i="50" s="1"/>
  <c r="D45" i="50" s="1"/>
  <c r="D46" i="50" s="1"/>
  <c r="D42" i="50"/>
  <c r="D31" i="51"/>
  <c r="D30" i="51" s="1"/>
  <c r="D42" i="51" s="1"/>
  <c r="D44" i="51" s="1"/>
  <c r="D46" i="51" s="1"/>
  <c r="D47" i="51" s="1"/>
  <c r="D43" i="51"/>
  <c r="D30" i="52"/>
  <c r="D29" i="52" s="1"/>
  <c r="D41" i="52" s="1"/>
  <c r="D43" i="52" s="1"/>
  <c r="D45" i="52" s="1"/>
  <c r="D46" i="52" s="1"/>
  <c r="D42" i="52"/>
  <c r="D31" i="53"/>
  <c r="D30" i="53" s="1"/>
  <c r="D42" i="53" s="1"/>
  <c r="D44" i="53" s="1"/>
  <c r="D46" i="53" s="1"/>
  <c r="D47" i="53" s="1"/>
  <c r="D43" i="53"/>
  <c r="D32" i="45"/>
  <c r="D31" i="45" s="1"/>
  <c r="D42" i="45" s="1"/>
  <c r="D44" i="45" s="1"/>
  <c r="D46" i="45" s="1"/>
  <c r="D47" i="45" s="1"/>
  <c r="D43" i="45"/>
  <c r="D43" i="39"/>
  <c r="D30" i="39"/>
  <c r="D29" i="39" s="1"/>
  <c r="D42" i="39" s="1"/>
  <c r="D41" i="40"/>
  <c r="D43" i="40" s="1"/>
  <c r="D45" i="40" s="1"/>
  <c r="D46" i="40" s="1"/>
  <c r="D42" i="40"/>
  <c r="D32" i="41"/>
  <c r="D31" i="41" s="1"/>
  <c r="D41" i="41" s="1"/>
  <c r="D43" i="41" s="1"/>
  <c r="D45" i="41" s="1"/>
  <c r="D46" i="41" s="1"/>
  <c r="D42" i="41"/>
  <c r="D28" i="42"/>
  <c r="D27" i="42" s="1"/>
  <c r="D41" i="42" s="1"/>
  <c r="D43" i="42" s="1"/>
  <c r="D45" i="42" s="1"/>
  <c r="D46" i="42" s="1"/>
  <c r="D42" i="42"/>
  <c r="D32" i="43"/>
  <c r="D31" i="43" s="1"/>
  <c r="D42" i="43" s="1"/>
  <c r="D44" i="43" s="1"/>
  <c r="D46" i="43" s="1"/>
  <c r="D47" i="43" s="1"/>
  <c r="D43" i="43"/>
  <c r="D32" i="44"/>
  <c r="D31" i="44" s="1"/>
  <c r="D42" i="44" s="1"/>
  <c r="D44" i="44" s="1"/>
  <c r="D46" i="44" s="1"/>
  <c r="D47" i="44" s="1"/>
  <c r="D43" i="44"/>
  <c r="D31" i="10"/>
  <c r="D30" i="10" s="1"/>
  <c r="D42" i="10" s="1"/>
  <c r="D44" i="10" s="1"/>
  <c r="D46" i="10" s="1"/>
  <c r="D47" i="10" s="1"/>
  <c r="D43" i="10"/>
  <c r="D31" i="12"/>
  <c r="D30" i="12" s="1"/>
  <c r="D41" i="12" s="1"/>
  <c r="D42" i="12"/>
  <c r="D43" i="11"/>
  <c r="D32" i="11"/>
  <c r="D43" i="8"/>
  <c r="D31" i="8"/>
  <c r="D30" i="8" s="1"/>
  <c r="D42" i="8" s="1"/>
  <c r="D44" i="8" l="1"/>
  <c r="D46" i="8" s="1"/>
  <c r="D47" i="8" s="1"/>
  <c r="D31" i="11"/>
  <c r="D42" i="11" s="1"/>
  <c r="D44" i="11" s="1"/>
  <c r="D46" i="11" s="1"/>
  <c r="D47" i="11" s="1"/>
  <c r="D44" i="39"/>
  <c r="D46" i="39" s="1"/>
  <c r="D47" i="39" s="1"/>
  <c r="D43" i="46"/>
  <c r="D45" i="46" s="1"/>
  <c r="D46" i="46" s="1"/>
  <c r="D44" i="17"/>
  <c r="D46" i="17" s="1"/>
  <c r="D47" i="17" s="1"/>
  <c r="D42" i="16"/>
  <c r="D44" i="16" s="1"/>
  <c r="D45" i="16" s="1"/>
  <c r="D44" i="62"/>
  <c r="D46" i="62" s="1"/>
  <c r="D47" i="62" s="1"/>
  <c r="D43" i="9"/>
  <c r="D45" i="9" s="1"/>
  <c r="D46" i="9" s="1"/>
  <c r="D40" i="31"/>
  <c r="D42" i="31" s="1"/>
  <c r="D43" i="31" s="1"/>
  <c r="D41" i="30"/>
  <c r="D43" i="30" s="1"/>
  <c r="D44" i="30" s="1"/>
  <c r="D42" i="28"/>
  <c r="D44" i="28" s="1"/>
  <c r="D45" i="28" s="1"/>
  <c r="D42" i="27"/>
  <c r="D44" i="27" s="1"/>
  <c r="D45" i="27" s="1"/>
  <c r="D40" i="26"/>
  <c r="D42" i="26" s="1"/>
  <c r="D43" i="26" s="1"/>
  <c r="D43" i="24"/>
  <c r="D45" i="24" s="1"/>
  <c r="D46" i="24" s="1"/>
  <c r="D41" i="23"/>
  <c r="D43" i="23" s="1"/>
  <c r="D44" i="23" s="1"/>
  <c r="D41" i="25"/>
  <c r="D43" i="25" s="1"/>
  <c r="D44" i="25" s="1"/>
  <c r="D43" i="57"/>
  <c r="D45" i="57" s="1"/>
  <c r="D46" i="57" s="1"/>
  <c r="D43" i="37"/>
  <c r="D45" i="37" s="1"/>
  <c r="D46" i="37" s="1"/>
  <c r="D43" i="34"/>
  <c r="D45" i="34" s="1"/>
  <c r="D46" i="34" s="1"/>
  <c r="D42" i="29"/>
  <c r="D44" i="29" s="1"/>
  <c r="D45" i="29" s="1"/>
  <c r="D43" i="32"/>
  <c r="D45" i="32" s="1"/>
  <c r="D46" i="32" s="1"/>
  <c r="D41" i="4"/>
  <c r="D43" i="4" s="1"/>
  <c r="D44" i="4" s="1"/>
  <c r="D40" i="48"/>
  <c r="D42" i="48" s="1"/>
  <c r="D44" i="48" s="1"/>
  <c r="D45" i="48" s="1"/>
  <c r="D41" i="13"/>
  <c r="D30" i="13"/>
  <c r="D29" i="13" s="1"/>
  <c r="D40" i="13" s="1"/>
  <c r="D42" i="13" s="1"/>
  <c r="D44" i="13" s="1"/>
  <c r="D45" i="13" s="1"/>
  <c r="D46" i="14"/>
  <c r="D32" i="14"/>
  <c r="D31" i="14" s="1"/>
  <c r="D45" i="14" s="1"/>
  <c r="D47" i="14" s="1"/>
  <c r="D49" i="14" s="1"/>
  <c r="D50" i="14" s="1"/>
  <c r="D46" i="15"/>
  <c r="D35" i="15"/>
  <c r="D34" i="15" s="1"/>
  <c r="D30" i="15" s="1"/>
  <c r="D45" i="15" s="1"/>
  <c r="D47" i="15" s="1"/>
  <c r="D49" i="15" s="1"/>
  <c r="D50" i="15" s="1"/>
  <c r="D42" i="19"/>
  <c r="D31" i="19"/>
  <c r="D30" i="19" s="1"/>
  <c r="D41" i="19" s="1"/>
  <c r="D43" i="19" s="1"/>
  <c r="D45" i="19" s="1"/>
  <c r="D46" i="19" s="1"/>
  <c r="D42" i="20"/>
  <c r="D44" i="20" s="1"/>
  <c r="D45" i="20" s="1"/>
  <c r="D43" i="38"/>
  <c r="D45" i="38" s="1"/>
  <c r="D46" i="38" s="1"/>
  <c r="D43" i="12"/>
  <c r="D45" i="12" s="1"/>
  <c r="D46" i="12" s="1"/>
</calcChain>
</file>

<file path=xl/sharedStrings.xml><?xml version="1.0" encoding="utf-8"?>
<sst xmlns="http://schemas.openxmlformats.org/spreadsheetml/2006/main" count="3424" uniqueCount="227">
  <si>
    <t xml:space="preserve">                                                      АНАЛИЗ</t>
  </si>
  <si>
    <t xml:space="preserve">         расходов на содержание и обслуживание жилого фонда по ООО "ДУ-8"</t>
  </si>
  <si>
    <t xml:space="preserve">                                    </t>
  </si>
  <si>
    <t xml:space="preserve">Наименование </t>
  </si>
  <si>
    <t>Ед.</t>
  </si>
  <si>
    <t>Факт</t>
  </si>
  <si>
    <t>статей</t>
  </si>
  <si>
    <t>изм.</t>
  </si>
  <si>
    <t>Остаток средств</t>
  </si>
  <si>
    <t>Обслуживаемая площадь</t>
  </si>
  <si>
    <t>м2</t>
  </si>
  <si>
    <t>Оплачиваемая площадь</t>
  </si>
  <si>
    <t>Начислено квартплаты</t>
  </si>
  <si>
    <t>руб.</t>
  </si>
  <si>
    <t>Доходы</t>
  </si>
  <si>
    <t>Оплата за содержание</t>
  </si>
  <si>
    <t>Текущий ремонт</t>
  </si>
  <si>
    <t>Итого доходы:</t>
  </si>
  <si>
    <t>РАСХОДЫ:</t>
  </si>
  <si>
    <t>отчисл.</t>
  </si>
  <si>
    <t>I</t>
  </si>
  <si>
    <t>Обслуживающий персонал:</t>
  </si>
  <si>
    <t>Оплата труда :</t>
  </si>
  <si>
    <t>дворник</t>
  </si>
  <si>
    <t>уборщик лест.клеток</t>
  </si>
  <si>
    <t>уборщик мусоропров.</t>
  </si>
  <si>
    <t>Материалы</t>
  </si>
  <si>
    <t>II</t>
  </si>
  <si>
    <t>Служба эксплуатации</t>
  </si>
  <si>
    <t>оплата труда рабочих(сант.элект.плотн.)</t>
  </si>
  <si>
    <t>III</t>
  </si>
  <si>
    <t>Расходы по договорам:</t>
  </si>
  <si>
    <t>оплата услуг (Банк,почта)</t>
  </si>
  <si>
    <t>дезинсекция</t>
  </si>
  <si>
    <t>аварийная служба</t>
  </si>
  <si>
    <t>ремонт оборудования</t>
  </si>
  <si>
    <t>покупка оборудования</t>
  </si>
  <si>
    <t xml:space="preserve">подряд.работы </t>
  </si>
  <si>
    <t>транспортные расходы</t>
  </si>
  <si>
    <t>Общеэксплуатационные расходы</t>
  </si>
  <si>
    <t>зарплата АУП</t>
  </si>
  <si>
    <t>общехозяйственные расходы</t>
  </si>
  <si>
    <t>Всего расходов по эксплуатации</t>
  </si>
  <si>
    <t>Налог 6%</t>
  </si>
  <si>
    <t>Всего расходов по себестоимости</t>
  </si>
  <si>
    <t>Фин. результат с нарастающим итогом</t>
  </si>
  <si>
    <t>Директор ООО "ДУ-8"</t>
  </si>
  <si>
    <t>Галиулин Д.Г.</t>
  </si>
  <si>
    <t>Гл.бухгалтер</t>
  </si>
  <si>
    <t>Аганов В.М.</t>
  </si>
  <si>
    <t xml:space="preserve">                                           </t>
  </si>
  <si>
    <t>изм</t>
  </si>
  <si>
    <t>поверка приборов учета</t>
  </si>
  <si>
    <t>Финансовый результат за 1 полугодие</t>
  </si>
  <si>
    <t>измер.</t>
  </si>
  <si>
    <t>метр2</t>
  </si>
  <si>
    <t>руб</t>
  </si>
  <si>
    <t>ремонт канализации</t>
  </si>
  <si>
    <t>зарплата  АУП</t>
  </si>
  <si>
    <t xml:space="preserve"> расходов на содержание и обслуживание жилого фонда по ООО "ДУ-8"</t>
  </si>
  <si>
    <t xml:space="preserve">                                              </t>
  </si>
  <si>
    <t xml:space="preserve">Остаток средств </t>
  </si>
  <si>
    <t>дератизация</t>
  </si>
  <si>
    <t>отчис.</t>
  </si>
  <si>
    <t>зарплпта АУП</t>
  </si>
  <si>
    <t xml:space="preserve">                                        </t>
  </si>
  <si>
    <t>Подготовка к отопительному сезону</t>
  </si>
  <si>
    <t>подряд.работы (гермет. швов)</t>
  </si>
  <si>
    <t>Остаток сроедств</t>
  </si>
  <si>
    <t>ремонт подъездов</t>
  </si>
  <si>
    <t xml:space="preserve">    расходов на содержание и обслуживание жилого фонда по ООО "ДУ-8"</t>
  </si>
  <si>
    <t xml:space="preserve">                                             </t>
  </si>
  <si>
    <t>Остаток  средств</t>
  </si>
  <si>
    <t>ООО "Скартел"</t>
  </si>
  <si>
    <t>точка оплаты</t>
  </si>
  <si>
    <t xml:space="preserve">                                                </t>
  </si>
  <si>
    <t xml:space="preserve">  расходов на содержание и обслуживание жилого фонда по ООО "ДУ-8"</t>
  </si>
  <si>
    <t xml:space="preserve">                                            </t>
  </si>
  <si>
    <t>Начисление квартплаты</t>
  </si>
  <si>
    <t>покос травы</t>
  </si>
  <si>
    <t>Финансовый результат за 1 полугод.</t>
  </si>
  <si>
    <t>Фин.результат с нарастающим итогом</t>
  </si>
  <si>
    <t>Директор ООО"ДУ-8"</t>
  </si>
  <si>
    <t>Финансовый результат за 1 квартал</t>
  </si>
  <si>
    <t xml:space="preserve">                                     </t>
  </si>
  <si>
    <t>Устранение засоров</t>
  </si>
  <si>
    <t>Галиулин Д,Г,</t>
  </si>
  <si>
    <t xml:space="preserve">                                   </t>
  </si>
  <si>
    <t>IV</t>
  </si>
  <si>
    <t>V</t>
  </si>
  <si>
    <t>VI</t>
  </si>
  <si>
    <t>VII</t>
  </si>
  <si>
    <t>VIII</t>
  </si>
  <si>
    <t>IX</t>
  </si>
  <si>
    <t xml:space="preserve">                                      </t>
  </si>
  <si>
    <t>ремонт подъезда</t>
  </si>
  <si>
    <t>точка учета</t>
  </si>
  <si>
    <t xml:space="preserve">                                          </t>
  </si>
  <si>
    <t>Ед,</t>
  </si>
  <si>
    <t xml:space="preserve">                       за 1 полугодие  2012 г. жилого дома по ул.Абрикосовая, 18</t>
  </si>
  <si>
    <t>за 1 полугодие 2012г.</t>
  </si>
  <si>
    <t>Прочие доходы</t>
  </si>
  <si>
    <t>косильщик</t>
  </si>
  <si>
    <t>подряд.работы (герметез.швов-Высотник)</t>
  </si>
  <si>
    <t>Финансовый результат за 1  полугод.</t>
  </si>
  <si>
    <t xml:space="preserve">                       за 1  полугодие  2012 г. жилого дома по ул.Абрикосовая, 25</t>
  </si>
  <si>
    <t>повенрка приборов учета</t>
  </si>
  <si>
    <t xml:space="preserve">   расходов на содержание и обслуживание жилого фонда по ООО "ДУ-8"</t>
  </si>
  <si>
    <t xml:space="preserve">            за 1 полугодие  2012 г. жилого дома по ул. Вишневая , 4.</t>
  </si>
  <si>
    <t>за 1 полугод. 2012г.</t>
  </si>
  <si>
    <t xml:space="preserve">      за  1 полугодие  2012 г. жилого дома по ул. Вишневая , 10.</t>
  </si>
  <si>
    <t xml:space="preserve"> за 1 полугодие  2012г.</t>
  </si>
  <si>
    <t xml:space="preserve">           за 1 полугодие  2012 г. жилого дома по ул. Вишневая ,12. </t>
  </si>
  <si>
    <t xml:space="preserve"> 1 полугодие  2012г.</t>
  </si>
  <si>
    <t xml:space="preserve">                       за 1 полугодие  2012 г. жилого дома по ул. Вишневая ,13.</t>
  </si>
  <si>
    <t>1 полугодие  2012г.</t>
  </si>
  <si>
    <t>Промывка отопительной системы</t>
  </si>
  <si>
    <t xml:space="preserve">                       за 1 полугодие  2012 г. жилого дома по ул. Вишневая , 16.</t>
  </si>
  <si>
    <t>тех.обслуживание приборов учета</t>
  </si>
  <si>
    <t xml:space="preserve">                       за 1 полугодие  2012 г. жилого дома по ул. Вишневая , 17.</t>
  </si>
  <si>
    <t xml:space="preserve"> 1 полугодие 2012 г.</t>
  </si>
  <si>
    <t>Промывка системы отопления</t>
  </si>
  <si>
    <t xml:space="preserve">                       за 1 полугодие 2012 г. жилого дома по ул. Вишневая , 18.</t>
  </si>
  <si>
    <t xml:space="preserve"> 1 полугод. 2012г.</t>
  </si>
  <si>
    <t>подрядн.работы (благоуст.тер.)</t>
  </si>
  <si>
    <t xml:space="preserve">       расходов на содержание и обслуживание жилого фонда по ООО "ДУ-8"</t>
  </si>
  <si>
    <t xml:space="preserve">                   за 1 полугодие  2012 г. жилого дома по ул. Вишневая , 19.</t>
  </si>
  <si>
    <t>1 полугодие 2012г.</t>
  </si>
  <si>
    <t>подряд.раб.(ремонт подъездов)</t>
  </si>
  <si>
    <t>материалы по тек.ремонту</t>
  </si>
  <si>
    <t xml:space="preserve">      расходов на содержание и обслуживание жилого фонда по ООО "ДУ-8"</t>
  </si>
  <si>
    <t xml:space="preserve">                  за 1 полугодие  2012 г. жилого дома по ул. Вишневая , 20.</t>
  </si>
  <si>
    <t xml:space="preserve"> 1 полугодие 2012г.</t>
  </si>
  <si>
    <t xml:space="preserve">                       за 1 полугодие  2012 г. жилого дома по ул. Вишневая , 21.</t>
  </si>
  <si>
    <t>Остаток средств на содерж.ж.фонда</t>
  </si>
  <si>
    <t>Остаток средств на текущий ремонт</t>
  </si>
  <si>
    <t>Текущий ремонт(остаток)</t>
  </si>
  <si>
    <t xml:space="preserve">            за  1 полугодие 2012 г. жилого дома по ул. Вишневая , 22.</t>
  </si>
  <si>
    <t>1 полугод. 2012г.</t>
  </si>
  <si>
    <t>Прочите доходы</t>
  </si>
  <si>
    <t>текущий ремонт (ремонт подъездов)</t>
  </si>
  <si>
    <t>материалы по текущ.ремонту</t>
  </si>
  <si>
    <t xml:space="preserve">                       за 1 полугодие  2012 г. жилого дома по ул. Вишневая , 23.</t>
  </si>
  <si>
    <t>Промывка системиы отопления</t>
  </si>
  <si>
    <t xml:space="preserve">                   за 1 полугодие  2012 г. жилого дома по ул. Вишневая , 24.</t>
  </si>
  <si>
    <t>подрядн.работы (герм.швов)</t>
  </si>
  <si>
    <t xml:space="preserve">                 за 1 полугодие 2012 г. жилого дома по ул.Вишневая , 25.</t>
  </si>
  <si>
    <t xml:space="preserve">                       за 1 полугодие  2012 г. жилого дома по ул. Вишневая , 26.</t>
  </si>
  <si>
    <t>подряд.работы (уб.тер.вывоз мусора)</t>
  </si>
  <si>
    <t xml:space="preserve">                       за 1 полугодие  2012 г. жилого дома по ул. Вишневая , 27.</t>
  </si>
  <si>
    <t>Промывка систьемы отопления</t>
  </si>
  <si>
    <t xml:space="preserve">                       за  1 полугодие 2012 г. жилого дома по ул. Вишневая , 28.</t>
  </si>
  <si>
    <t xml:space="preserve">                       за 1 полугодие  2012 г. жилого дома по ул. Вишневая , 32.</t>
  </si>
  <si>
    <t xml:space="preserve">                       за  1 полугодие 2012 г. жилого дома по ул. Вишневая , 36.</t>
  </si>
  <si>
    <t>Текущий  ремонт</t>
  </si>
  <si>
    <t xml:space="preserve">                       за 1 полугодие 2012г. жилого дома по ул. Вишневая , 30.</t>
  </si>
  <si>
    <t>Мегафон</t>
  </si>
  <si>
    <t xml:space="preserve">                       за 1 полугодие  2012 г. жилого дома по ул. Вишневая , 34.</t>
  </si>
  <si>
    <t xml:space="preserve">                       за  1 полугодие  2012 г. жилого дома по ул.Макаренко,1</t>
  </si>
  <si>
    <t>покос травы,благоустр.тер.</t>
  </si>
  <si>
    <t>подряд.работы (рем.подв.пом.)</t>
  </si>
  <si>
    <t xml:space="preserve">                       за  1 полугодие  2012 г. жилого дома по ул.Макаренко,18</t>
  </si>
  <si>
    <t>подряд.работы (герм.швов,крыш.)</t>
  </si>
  <si>
    <t>Текущий ремонт расход</t>
  </si>
  <si>
    <t>Текущий ремонт остаток</t>
  </si>
  <si>
    <t xml:space="preserve">                       за  1 полугодиел 2012 г. жилого дома по ул.Макаренко,19</t>
  </si>
  <si>
    <t>1 пол. 2012г.</t>
  </si>
  <si>
    <t xml:space="preserve">                       за 1 полугодие  2012 г. жилого дома по ул.Макаренко,28</t>
  </si>
  <si>
    <t xml:space="preserve">                       за 1 полугодие 2012 г. жилого дома по ул.Макаренко,30</t>
  </si>
  <si>
    <t>1 полугодие   2012г.</t>
  </si>
  <si>
    <t>подряд.работы (тер.)</t>
  </si>
  <si>
    <t xml:space="preserve">               за  1 полугодие  2012 г. жилого дома по ул.Макаренко,39</t>
  </si>
  <si>
    <t>подряд.работы (уборка тер.вывоз мус.)</t>
  </si>
  <si>
    <t xml:space="preserve">                       за  1 полугодие  2012 г. жилого дома по ул.Макаренко,41</t>
  </si>
  <si>
    <t xml:space="preserve">                       за  1 полугодие  2012 г. жилого дома по ул.Макаренко,43</t>
  </si>
  <si>
    <t>Текущий ремонт(расход)</t>
  </si>
  <si>
    <t xml:space="preserve">                       за  1 полугодие  2012 г. жилого дома по ул.Макаренко,45</t>
  </si>
  <si>
    <t>1 полугодие  2012 г.</t>
  </si>
  <si>
    <t>ООО "Скартел"и другие</t>
  </si>
  <si>
    <t>подряд.работы (вывоз мусора)</t>
  </si>
  <si>
    <t>электроэнергия</t>
  </si>
  <si>
    <t>Текущий ремонт (расход)</t>
  </si>
  <si>
    <t>Текущий ремонт (остаток)</t>
  </si>
  <si>
    <t xml:space="preserve">                 за  1 полугодие  2012 г. жилого дома по ул.Макаренко,47</t>
  </si>
  <si>
    <t>1 полугодие 2012 г.</t>
  </si>
  <si>
    <t xml:space="preserve">                       за 1 полугодие  2012 г. жилого дома по ул. Труда, 3</t>
  </si>
  <si>
    <t xml:space="preserve">                       за 1 полугодие  2012 г. жилого дома по ул. Труда, 4</t>
  </si>
  <si>
    <t xml:space="preserve">                       за 1 полугодие  2012 г. жилого дома по ул. Труда, 7</t>
  </si>
  <si>
    <t xml:space="preserve">                       за 1 полугодие  2012 г. жилого дома по ул. Труда, 8</t>
  </si>
  <si>
    <t xml:space="preserve">                       за 1 полугодие 2012 г. жилого дома по ул. Труда, 9</t>
  </si>
  <si>
    <t xml:space="preserve">                       за 1 полугодие  2012 г. жилого дома по ул. Труда, 10</t>
  </si>
  <si>
    <t xml:space="preserve">                       за 1 полугодие  2012 г. жилого дома по ул. Труда, 12</t>
  </si>
  <si>
    <t xml:space="preserve">                       за 1 полугодие  2012 г. жилого дома по ул. Труда, 13</t>
  </si>
  <si>
    <t xml:space="preserve">                       за 1 полугодие 2012 г. жилого дома по ул. Труда, 14</t>
  </si>
  <si>
    <t xml:space="preserve">                       за 1 полугодие  2012 г. жилого дома по ул. Труда, 15</t>
  </si>
  <si>
    <t xml:space="preserve">  1 полугодие  2012г.</t>
  </si>
  <si>
    <t>Прочистка канализации</t>
  </si>
  <si>
    <t xml:space="preserve">                       за 1 полугодие 2012 г. жилого дома по ул. Труда, 16</t>
  </si>
  <si>
    <t xml:space="preserve">                       за 1 полугодие  2012 г. жилого дома по ул. Труда, 17/1</t>
  </si>
  <si>
    <t xml:space="preserve">                       за 1 полугодие  2012 г. жилого дома по ул. Труда, 17/2</t>
  </si>
  <si>
    <t xml:space="preserve">                       за 1 полугодие 2012 г. жилого дома по ул. Труда, 18</t>
  </si>
  <si>
    <t xml:space="preserve">                       за 1 полугодие  2012 г. жилого дома по ул. Труда, 21</t>
  </si>
  <si>
    <t xml:space="preserve"> 1 полугодие  2012 г.</t>
  </si>
  <si>
    <t xml:space="preserve">                       за 1 полугодие  2012 г. жилого дома по ул. Труда, 23</t>
  </si>
  <si>
    <t>прочистка канализации</t>
  </si>
  <si>
    <t xml:space="preserve">                       за 1 полугодие  2012 г. жилого дома по ул. Труда,27.</t>
  </si>
  <si>
    <t xml:space="preserve">                       за 1 полугодие  2012 г. жилого дома по ул. Пластунская , 100.</t>
  </si>
  <si>
    <t xml:space="preserve">                       за 1 полугодия  2012 г. жилого дома по ул. Пластунская , 179А</t>
  </si>
  <si>
    <t>Текущий ремонт с нарастающим итогом</t>
  </si>
  <si>
    <t xml:space="preserve">                       за 1 полугодие 2012 г. жилого дома по ул. Пластунская , 181.</t>
  </si>
  <si>
    <t xml:space="preserve">                       за 1 полугодие  2012 г. жилого дома по ул. Пластунская ,181а.</t>
  </si>
  <si>
    <t>Финансовый результат за 1 полуг.</t>
  </si>
  <si>
    <t xml:space="preserve">                       за  1 полугодие 2012 г. жилого дома по ул. Пластунская , 183.</t>
  </si>
  <si>
    <t xml:space="preserve">Прочие доходы </t>
  </si>
  <si>
    <t xml:space="preserve">                       за 1 полугодие  2012 г. жилого дома по ул. Пластунская , 185.</t>
  </si>
  <si>
    <t xml:space="preserve">                       за 1 полугодие   2012 г. жилого дома по ул. Пластунская , 187.</t>
  </si>
  <si>
    <t xml:space="preserve">                       за 1 полугодие  2012 г. жилого дома по ул. Пластунская , 191.</t>
  </si>
  <si>
    <t>расходов на содержание и обслуживание жилого фонда по ООО "ДУ-8"</t>
  </si>
  <si>
    <t xml:space="preserve">       за 1 квартал  2012 г. жилого дома по ул. 60 лет ВЛКСМ,10</t>
  </si>
  <si>
    <t xml:space="preserve"> 1 квартал 2012г.</t>
  </si>
  <si>
    <t>теплосет.водок.эл.сети.</t>
  </si>
  <si>
    <t>Экскател</t>
  </si>
  <si>
    <t>Охрана</t>
  </si>
  <si>
    <t>Ком услуги</t>
  </si>
  <si>
    <t>Расход от арендн.суммы</t>
  </si>
  <si>
    <t>Остаток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</si>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</sst>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0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/>
    <xf numFmtId="2" fontId="3" fillId="0" borderId="10" xfId="0" applyNumberFormat="1" applyFont="1" applyBorder="1"/>
    <xf numFmtId="0" fontId="3" fillId="0" borderId="10" xfId="0" applyFont="1" applyBorder="1"/>
    <xf numFmtId="0" fontId="4" fillId="0" borderId="10" xfId="2" applyBorder="1"/>
    <xf numFmtId="0" fontId="2" fillId="0" borderId="10" xfId="2" applyFont="1" applyBorder="1" applyAlignment="1">
      <alignment horizontal="center"/>
    </xf>
    <xf numFmtId="0" fontId="3" fillId="0" borderId="10" xfId="2" applyFont="1" applyBorder="1"/>
    <xf numFmtId="0" fontId="4" fillId="0" borderId="10" xfId="3" applyBorder="1"/>
    <xf numFmtId="0" fontId="4" fillId="0" borderId="10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2" fontId="3" fillId="0" borderId="10" xfId="2" applyNumberFormat="1" applyFont="1" applyBorder="1"/>
    <xf numFmtId="0" fontId="4" fillId="0" borderId="10" xfId="2" applyFont="1" applyBorder="1"/>
    <xf numFmtId="2" fontId="4" fillId="0" borderId="10" xfId="2" applyNumberFormat="1" applyBorder="1"/>
    <xf numFmtId="2" fontId="4" fillId="0" borderId="10" xfId="1" applyNumberFormat="1" applyFont="1" applyBorder="1"/>
    <xf numFmtId="0" fontId="3" fillId="0" borderId="10" xfId="2" applyFont="1" applyBorder="1" applyAlignment="1">
      <alignment horizontal="left"/>
    </xf>
    <xf numFmtId="0" fontId="5" fillId="0" borderId="10" xfId="2" applyFont="1" applyBorder="1"/>
    <xf numFmtId="2" fontId="5" fillId="0" borderId="10" xfId="2" applyNumberFormat="1" applyFont="1" applyBorder="1"/>
    <xf numFmtId="0" fontId="4" fillId="0" borderId="0" xfId="2" applyBorder="1"/>
    <xf numFmtId="0" fontId="3" fillId="0" borderId="0" xfId="2" applyFont="1" applyBorder="1"/>
    <xf numFmtId="2" fontId="3" fillId="0" borderId="0" xfId="2" applyNumberFormat="1" applyFont="1" applyBorder="1"/>
    <xf numFmtId="0" fontId="4" fillId="0" borderId="0" xfId="2"/>
    <xf numFmtId="0" fontId="2" fillId="0" borderId="0" xfId="4" applyFont="1"/>
    <xf numFmtId="0" fontId="2" fillId="0" borderId="4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0" xfId="4" applyFont="1" applyBorder="1"/>
    <xf numFmtId="0" fontId="2" fillId="0" borderId="10" xfId="4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0" fillId="0" borderId="6" xfId="0" applyBorder="1"/>
    <xf numFmtId="0" fontId="2" fillId="0" borderId="0" xfId="2" applyFont="1"/>
    <xf numFmtId="0" fontId="2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0" xfId="5"/>
    <xf numFmtId="0" fontId="2" fillId="0" borderId="0" xfId="5" applyFont="1"/>
    <xf numFmtId="0" fontId="4" fillId="0" borderId="1" xfId="5" applyBorder="1"/>
    <xf numFmtId="0" fontId="4" fillId="0" borderId="2" xfId="5" applyBorder="1"/>
    <xf numFmtId="0" fontId="4" fillId="0" borderId="3" xfId="5" applyBorder="1"/>
    <xf numFmtId="0" fontId="4" fillId="0" borderId="4" xfId="5" applyBorder="1"/>
    <xf numFmtId="0" fontId="2" fillId="0" borderId="4" xfId="5" applyFont="1" applyBorder="1" applyAlignment="1">
      <alignment horizontal="center"/>
    </xf>
    <xf numFmtId="0" fontId="3" fillId="0" borderId="4" xfId="5" applyFont="1" applyBorder="1" applyAlignment="1">
      <alignment horizontal="center"/>
    </xf>
    <xf numFmtId="0" fontId="4" fillId="0" borderId="4" xfId="5" applyFont="1" applyBorder="1"/>
    <xf numFmtId="0" fontId="4" fillId="0" borderId="7" xfId="5" applyBorder="1"/>
    <xf numFmtId="0" fontId="4" fillId="0" borderId="8" xfId="5" applyBorder="1"/>
    <xf numFmtId="0" fontId="4" fillId="0" borderId="9" xfId="5" applyBorder="1"/>
    <xf numFmtId="0" fontId="4" fillId="0" borderId="7" xfId="5" applyBorder="1" applyAlignment="1">
      <alignment horizontal="center"/>
    </xf>
    <xf numFmtId="0" fontId="4" fillId="0" borderId="10" xfId="5" applyBorder="1"/>
    <xf numFmtId="0" fontId="4" fillId="0" borderId="10" xfId="5" applyBorder="1" applyAlignment="1">
      <alignment horizontal="center"/>
    </xf>
    <xf numFmtId="0" fontId="3" fillId="0" borderId="10" xfId="5" applyFont="1" applyBorder="1" applyAlignment="1">
      <alignment horizontal="center"/>
    </xf>
    <xf numFmtId="0" fontId="2" fillId="0" borderId="10" xfId="5" applyFont="1" applyBorder="1" applyAlignment="1">
      <alignment horizontal="center"/>
    </xf>
    <xf numFmtId="0" fontId="3" fillId="0" borderId="10" xfId="5" applyFont="1" applyBorder="1"/>
    <xf numFmtId="0" fontId="4" fillId="0" borderId="0" xfId="3"/>
    <xf numFmtId="0" fontId="2" fillId="0" borderId="0" xfId="3" applyFont="1"/>
    <xf numFmtId="0" fontId="5" fillId="0" borderId="0" xfId="3" applyFont="1"/>
    <xf numFmtId="0" fontId="4" fillId="0" borderId="11" xfId="3" applyBorder="1"/>
    <xf numFmtId="0" fontId="4" fillId="0" borderId="1" xfId="3" applyBorder="1"/>
    <xf numFmtId="0" fontId="4" fillId="0" borderId="2" xfId="3" applyBorder="1"/>
    <xf numFmtId="0" fontId="4" fillId="0" borderId="6" xfId="3" applyBorder="1"/>
    <xf numFmtId="0" fontId="4" fillId="0" borderId="4" xfId="3" applyBorder="1"/>
    <xf numFmtId="0" fontId="2" fillId="0" borderId="4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4" xfId="3" applyFont="1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7" xfId="3" applyBorder="1" applyAlignment="1">
      <alignment horizontal="center"/>
    </xf>
    <xf numFmtId="0" fontId="4" fillId="0" borderId="10" xfId="3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0" fontId="3" fillId="0" borderId="10" xfId="3" applyFont="1" applyBorder="1"/>
    <xf numFmtId="0" fontId="4" fillId="0" borderId="0" xfId="6"/>
    <xf numFmtId="0" fontId="2" fillId="0" borderId="0" xfId="6" applyFont="1"/>
    <xf numFmtId="0" fontId="4" fillId="0" borderId="0" xfId="6" applyFont="1"/>
    <xf numFmtId="0" fontId="4" fillId="0" borderId="11" xfId="6" applyBorder="1"/>
    <xf numFmtId="0" fontId="4" fillId="0" borderId="4" xfId="6" applyBorder="1"/>
    <xf numFmtId="0" fontId="4" fillId="0" borderId="2" xfId="6" applyBorder="1"/>
    <xf numFmtId="0" fontId="4" fillId="0" borderId="6" xfId="6" applyBorder="1"/>
    <xf numFmtId="0" fontId="2" fillId="0" borderId="4" xfId="6" applyFont="1" applyBorder="1" applyAlignment="1">
      <alignment horizontal="center"/>
    </xf>
    <xf numFmtId="0" fontId="3" fillId="0" borderId="4" xfId="6" applyFont="1" applyBorder="1" applyAlignment="1">
      <alignment horizontal="center"/>
    </xf>
    <xf numFmtId="0" fontId="4" fillId="0" borderId="4" xfId="6" applyFont="1" applyBorder="1"/>
    <xf numFmtId="0" fontId="4" fillId="0" borderId="7" xfId="6" applyBorder="1"/>
    <xf numFmtId="0" fontId="4" fillId="0" borderId="8" xfId="6" applyBorder="1"/>
    <xf numFmtId="0" fontId="4" fillId="0" borderId="9" xfId="6" applyBorder="1"/>
    <xf numFmtId="0" fontId="4" fillId="0" borderId="7" xfId="6" applyBorder="1" applyAlignment="1">
      <alignment horizontal="center"/>
    </xf>
    <xf numFmtId="0" fontId="4" fillId="0" borderId="10" xfId="6" applyBorder="1"/>
    <xf numFmtId="0" fontId="4" fillId="0" borderId="10" xfId="6" applyBorder="1" applyAlignment="1">
      <alignment horizontal="center"/>
    </xf>
    <xf numFmtId="0" fontId="3" fillId="0" borderId="10" xfId="6" applyFont="1" applyBorder="1" applyAlignment="1">
      <alignment horizontal="center"/>
    </xf>
    <xf numFmtId="0" fontId="2" fillId="0" borderId="10" xfId="6" applyFont="1" applyBorder="1" applyAlignment="1">
      <alignment horizontal="center"/>
    </xf>
    <xf numFmtId="0" fontId="3" fillId="0" borderId="10" xfId="6" applyFont="1" applyBorder="1"/>
    <xf numFmtId="0" fontId="4" fillId="0" borderId="0" xfId="7"/>
    <xf numFmtId="0" fontId="2" fillId="0" borderId="0" xfId="7" applyFont="1"/>
    <xf numFmtId="0" fontId="4" fillId="0" borderId="0" xfId="7" applyFont="1"/>
    <xf numFmtId="0" fontId="4" fillId="0" borderId="11" xfId="7" applyBorder="1"/>
    <xf numFmtId="0" fontId="4" fillId="0" borderId="1" xfId="7" applyBorder="1"/>
    <xf numFmtId="0" fontId="4" fillId="0" borderId="2" xfId="7" applyBorder="1"/>
    <xf numFmtId="0" fontId="4" fillId="0" borderId="6" xfId="7" applyBorder="1"/>
    <xf numFmtId="0" fontId="4" fillId="0" borderId="4" xfId="7" applyBorder="1"/>
    <xf numFmtId="0" fontId="2" fillId="0" borderId="4" xfId="7" applyFont="1" applyBorder="1" applyAlignment="1">
      <alignment horizontal="center"/>
    </xf>
    <xf numFmtId="0" fontId="3" fillId="0" borderId="4" xfId="7" applyFont="1" applyBorder="1" applyAlignment="1">
      <alignment horizontal="center"/>
    </xf>
    <xf numFmtId="0" fontId="4" fillId="0" borderId="4" xfId="7" applyFont="1" applyBorder="1"/>
    <xf numFmtId="0" fontId="4" fillId="0" borderId="7" xfId="7" applyBorder="1"/>
    <xf numFmtId="0" fontId="4" fillId="0" borderId="8" xfId="7" applyBorder="1"/>
    <xf numFmtId="0" fontId="4" fillId="0" borderId="9" xfId="7" applyBorder="1"/>
    <xf numFmtId="0" fontId="4" fillId="0" borderId="7" xfId="7" applyBorder="1" applyAlignment="1">
      <alignment horizontal="center"/>
    </xf>
    <xf numFmtId="0" fontId="4" fillId="0" borderId="10" xfId="7" applyBorder="1"/>
    <xf numFmtId="0" fontId="4" fillId="0" borderId="10" xfId="7" applyBorder="1" applyAlignment="1">
      <alignment horizontal="center"/>
    </xf>
    <xf numFmtId="0" fontId="3" fillId="0" borderId="10" xfId="7" applyFont="1" applyBorder="1" applyAlignment="1">
      <alignment horizontal="center"/>
    </xf>
    <xf numFmtId="0" fontId="2" fillId="0" borderId="10" xfId="7" applyFont="1" applyBorder="1" applyAlignment="1">
      <alignment horizontal="center"/>
    </xf>
    <xf numFmtId="0" fontId="3" fillId="0" borderId="10" xfId="7" applyFont="1" applyBorder="1"/>
    <xf numFmtId="0" fontId="4" fillId="0" borderId="0" xfId="8"/>
    <xf numFmtId="0" fontId="2" fillId="0" borderId="0" xfId="8" applyFont="1"/>
    <xf numFmtId="0" fontId="4" fillId="0" borderId="0" xfId="8" applyFont="1"/>
    <xf numFmtId="0" fontId="4" fillId="0" borderId="11" xfId="8" applyBorder="1"/>
    <xf numFmtId="0" fontId="4" fillId="0" borderId="4" xfId="8" applyBorder="1"/>
    <xf numFmtId="0" fontId="4" fillId="0" borderId="2" xfId="8" applyBorder="1"/>
    <xf numFmtId="0" fontId="4" fillId="0" borderId="6" xfId="8" applyBorder="1"/>
    <xf numFmtId="0" fontId="2" fillId="0" borderId="4" xfId="8" applyFont="1" applyBorder="1" applyAlignment="1">
      <alignment horizontal="center"/>
    </xf>
    <xf numFmtId="0" fontId="3" fillId="0" borderId="4" xfId="8" applyFont="1" applyBorder="1" applyAlignment="1">
      <alignment horizontal="center"/>
    </xf>
    <xf numFmtId="0" fontId="4" fillId="0" borderId="4" xfId="8" applyFont="1" applyBorder="1"/>
    <xf numFmtId="0" fontId="4" fillId="0" borderId="7" xfId="8" applyBorder="1"/>
    <xf numFmtId="0" fontId="4" fillId="0" borderId="8" xfId="8" applyBorder="1"/>
    <xf numFmtId="0" fontId="4" fillId="0" borderId="9" xfId="8" applyBorder="1"/>
    <xf numFmtId="0" fontId="4" fillId="0" borderId="7" xfId="8" applyBorder="1" applyAlignment="1">
      <alignment horizontal="center"/>
    </xf>
    <xf numFmtId="0" fontId="4" fillId="0" borderId="10" xfId="8" applyBorder="1"/>
    <xf numFmtId="0" fontId="4" fillId="0" borderId="10" xfId="8" applyBorder="1" applyAlignment="1">
      <alignment horizontal="center"/>
    </xf>
    <xf numFmtId="0" fontId="3" fillId="0" borderId="10" xfId="8" applyFont="1" applyBorder="1" applyAlignment="1">
      <alignment horizontal="center"/>
    </xf>
    <xf numFmtId="0" fontId="2" fillId="0" borderId="10" xfId="8" applyFont="1" applyBorder="1" applyAlignment="1">
      <alignment horizontal="center"/>
    </xf>
    <xf numFmtId="0" fontId="3" fillId="0" borderId="10" xfId="8" applyFont="1" applyBorder="1"/>
    <xf numFmtId="0" fontId="4" fillId="0" borderId="0" xfId="9"/>
    <xf numFmtId="0" fontId="2" fillId="0" borderId="0" xfId="9" applyFont="1"/>
    <xf numFmtId="0" fontId="4" fillId="0" borderId="0" xfId="9" applyFont="1"/>
    <xf numFmtId="0" fontId="4" fillId="0" borderId="11" xfId="9" applyBorder="1"/>
    <xf numFmtId="0" fontId="4" fillId="0" borderId="4" xfId="9" applyBorder="1"/>
    <xf numFmtId="0" fontId="4" fillId="0" borderId="2" xfId="9" applyBorder="1"/>
    <xf numFmtId="0" fontId="4" fillId="0" borderId="6" xfId="9" applyBorder="1"/>
    <xf numFmtId="0" fontId="2" fillId="0" borderId="4" xfId="9" applyFont="1" applyBorder="1" applyAlignment="1">
      <alignment horizontal="center"/>
    </xf>
    <xf numFmtId="0" fontId="3" fillId="0" borderId="4" xfId="9" applyFont="1" applyBorder="1" applyAlignment="1">
      <alignment horizontal="center"/>
    </xf>
    <xf numFmtId="0" fontId="4" fillId="0" borderId="4" xfId="9" applyFont="1" applyBorder="1"/>
    <xf numFmtId="0" fontId="4" fillId="0" borderId="7" xfId="9" applyBorder="1"/>
    <xf numFmtId="0" fontId="4" fillId="0" borderId="8" xfId="9" applyBorder="1"/>
    <xf numFmtId="0" fontId="4" fillId="0" borderId="9" xfId="9" applyBorder="1"/>
    <xf numFmtId="0" fontId="4" fillId="0" borderId="7" xfId="9" applyBorder="1" applyAlignment="1">
      <alignment horizontal="center"/>
    </xf>
    <xf numFmtId="0" fontId="4" fillId="0" borderId="10" xfId="9" applyBorder="1"/>
    <xf numFmtId="0" fontId="4" fillId="0" borderId="10" xfId="9" applyBorder="1" applyAlignment="1">
      <alignment horizontal="center"/>
    </xf>
    <xf numFmtId="0" fontId="3" fillId="0" borderId="10" xfId="9" applyFont="1" applyBorder="1" applyAlignment="1">
      <alignment horizontal="center"/>
    </xf>
    <xf numFmtId="0" fontId="2" fillId="0" borderId="10" xfId="9" applyFont="1" applyBorder="1" applyAlignment="1">
      <alignment horizontal="center"/>
    </xf>
    <xf numFmtId="2" fontId="3" fillId="0" borderId="10" xfId="9" applyNumberFormat="1" applyFont="1" applyBorder="1"/>
    <xf numFmtId="0" fontId="3" fillId="0" borderId="10" xfId="9" applyFont="1" applyBorder="1"/>
    <xf numFmtId="0" fontId="4" fillId="0" borderId="0" xfId="10"/>
    <xf numFmtId="0" fontId="2" fillId="0" borderId="0" xfId="10" applyFont="1"/>
    <xf numFmtId="0" fontId="4" fillId="0" borderId="0" xfId="10" applyFont="1"/>
    <xf numFmtId="0" fontId="4" fillId="0" borderId="11" xfId="10" applyBorder="1"/>
    <xf numFmtId="0" fontId="4" fillId="0" borderId="4" xfId="10" applyBorder="1"/>
    <xf numFmtId="0" fontId="4" fillId="0" borderId="2" xfId="10" applyBorder="1"/>
    <xf numFmtId="0" fontId="4" fillId="0" borderId="6" xfId="10" applyBorder="1"/>
    <xf numFmtId="0" fontId="2" fillId="0" borderId="4" xfId="10" applyFont="1" applyBorder="1" applyAlignment="1">
      <alignment horizontal="center"/>
    </xf>
    <xf numFmtId="0" fontId="3" fillId="0" borderId="4" xfId="10" applyFont="1" applyBorder="1" applyAlignment="1">
      <alignment horizontal="center"/>
    </xf>
    <xf numFmtId="0" fontId="4" fillId="0" borderId="4" xfId="10" applyFont="1" applyBorder="1"/>
    <xf numFmtId="0" fontId="4" fillId="0" borderId="7" xfId="10" applyBorder="1"/>
    <xf numFmtId="0" fontId="4" fillId="0" borderId="8" xfId="10" applyBorder="1"/>
    <xf numFmtId="0" fontId="4" fillId="0" borderId="9" xfId="10" applyBorder="1"/>
    <xf numFmtId="0" fontId="4" fillId="0" borderId="7" xfId="10" applyBorder="1" applyAlignment="1">
      <alignment horizontal="center"/>
    </xf>
    <xf numFmtId="0" fontId="4" fillId="0" borderId="10" xfId="10" applyBorder="1"/>
    <xf numFmtId="0" fontId="4" fillId="0" borderId="10" xfId="10" applyBorder="1" applyAlignment="1">
      <alignment horizontal="center"/>
    </xf>
    <xf numFmtId="0" fontId="3" fillId="0" borderId="10" xfId="10" applyFont="1" applyBorder="1" applyAlignment="1">
      <alignment horizontal="center"/>
    </xf>
    <xf numFmtId="0" fontId="2" fillId="0" borderId="10" xfId="10" applyFont="1" applyBorder="1" applyAlignment="1">
      <alignment horizontal="center"/>
    </xf>
    <xf numFmtId="0" fontId="3" fillId="0" borderId="10" xfId="10" applyFont="1" applyBorder="1"/>
    <xf numFmtId="0" fontId="4" fillId="0" borderId="0" xfId="11"/>
    <xf numFmtId="0" fontId="2" fillId="0" borderId="0" xfId="11" applyFont="1"/>
    <xf numFmtId="0" fontId="4" fillId="0" borderId="0" xfId="11" applyBorder="1"/>
    <xf numFmtId="0" fontId="4" fillId="0" borderId="1" xfId="11" applyBorder="1"/>
    <xf numFmtId="0" fontId="2" fillId="0" borderId="4" xfId="11" applyFont="1" applyBorder="1" applyAlignment="1">
      <alignment horizontal="center"/>
    </xf>
    <xf numFmtId="0" fontId="3" fillId="0" borderId="4" xfId="11" applyFont="1" applyBorder="1" applyAlignment="1">
      <alignment horizontal="center"/>
    </xf>
    <xf numFmtId="0" fontId="4" fillId="0" borderId="4" xfId="11" applyFont="1" applyBorder="1"/>
    <xf numFmtId="0" fontId="4" fillId="0" borderId="7" xfId="11" applyBorder="1"/>
    <xf numFmtId="0" fontId="4" fillId="0" borderId="8" xfId="11" applyBorder="1"/>
    <xf numFmtId="0" fontId="4" fillId="0" borderId="9" xfId="11" applyBorder="1"/>
    <xf numFmtId="0" fontId="4" fillId="0" borderId="7" xfId="11" applyBorder="1" applyAlignment="1">
      <alignment horizontal="center"/>
    </xf>
    <xf numFmtId="0" fontId="4" fillId="0" borderId="10" xfId="11" applyBorder="1"/>
    <xf numFmtId="0" fontId="4" fillId="0" borderId="10" xfId="11" applyBorder="1" applyAlignment="1">
      <alignment horizontal="center"/>
    </xf>
    <xf numFmtId="2" fontId="4" fillId="0" borderId="10" xfId="11" applyNumberFormat="1" applyBorder="1"/>
    <xf numFmtId="0" fontId="3" fillId="0" borderId="10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2" fontId="3" fillId="0" borderId="10" xfId="11" applyNumberFormat="1" applyFont="1" applyBorder="1"/>
    <xf numFmtId="0" fontId="3" fillId="0" borderId="10" xfId="11" applyFont="1" applyBorder="1"/>
    <xf numFmtId="0" fontId="4" fillId="0" borderId="0" xfId="12"/>
    <xf numFmtId="0" fontId="2" fillId="0" borderId="0" xfId="12" applyFont="1"/>
    <xf numFmtId="0" fontId="4" fillId="0" borderId="0" xfId="12" applyFont="1"/>
    <xf numFmtId="0" fontId="4" fillId="0" borderId="1" xfId="12" applyBorder="1"/>
    <xf numFmtId="0" fontId="2" fillId="0" borderId="4" xfId="12" applyFont="1" applyBorder="1" applyAlignment="1">
      <alignment horizontal="center"/>
    </xf>
    <xf numFmtId="0" fontId="3" fillId="0" borderId="4" xfId="12" applyFont="1" applyBorder="1" applyAlignment="1">
      <alignment horizontal="center"/>
    </xf>
    <xf numFmtId="0" fontId="4" fillId="0" borderId="4" xfId="12" applyFont="1" applyBorder="1"/>
    <xf numFmtId="0" fontId="4" fillId="0" borderId="7" xfId="12" applyBorder="1"/>
    <xf numFmtId="0" fontId="4" fillId="0" borderId="8" xfId="12" applyBorder="1"/>
    <xf numFmtId="0" fontId="4" fillId="0" borderId="9" xfId="12" applyBorder="1"/>
    <xf numFmtId="0" fontId="4" fillId="0" borderId="7" xfId="12" applyBorder="1" applyAlignment="1">
      <alignment horizontal="center"/>
    </xf>
    <xf numFmtId="0" fontId="4" fillId="0" borderId="10" xfId="12" applyBorder="1"/>
    <xf numFmtId="0" fontId="4" fillId="0" borderId="10" xfId="12" applyBorder="1" applyAlignment="1">
      <alignment horizontal="center"/>
    </xf>
    <xf numFmtId="0" fontId="3" fillId="0" borderId="10" xfId="12" applyFont="1" applyBorder="1" applyAlignment="1">
      <alignment horizontal="center"/>
    </xf>
    <xf numFmtId="0" fontId="2" fillId="0" borderId="10" xfId="12" applyFont="1" applyBorder="1" applyAlignment="1">
      <alignment horizontal="center"/>
    </xf>
    <xf numFmtId="0" fontId="3" fillId="0" borderId="10" xfId="12" applyFont="1" applyBorder="1"/>
    <xf numFmtId="0" fontId="4" fillId="0" borderId="0" xfId="13"/>
    <xf numFmtId="0" fontId="2" fillId="0" borderId="0" xfId="13" applyFont="1"/>
    <xf numFmtId="0" fontId="4" fillId="0" borderId="1" xfId="13" applyBorder="1"/>
    <xf numFmtId="0" fontId="4" fillId="0" borderId="2" xfId="13" applyBorder="1"/>
    <xf numFmtId="0" fontId="4" fillId="0" borderId="3" xfId="13" applyBorder="1"/>
    <xf numFmtId="0" fontId="4" fillId="0" borderId="4" xfId="13" applyBorder="1"/>
    <xf numFmtId="0" fontId="2" fillId="0" borderId="4" xfId="13" applyFont="1" applyBorder="1" applyAlignment="1">
      <alignment horizontal="center"/>
    </xf>
    <xf numFmtId="0" fontId="3" fillId="0" borderId="4" xfId="13" applyFont="1" applyBorder="1" applyAlignment="1">
      <alignment horizontal="center"/>
    </xf>
    <xf numFmtId="0" fontId="4" fillId="0" borderId="4" xfId="13" applyFont="1" applyBorder="1"/>
    <xf numFmtId="0" fontId="4" fillId="0" borderId="7" xfId="13" applyBorder="1"/>
    <xf numFmtId="0" fontId="4" fillId="0" borderId="8" xfId="13" applyBorder="1"/>
    <xf numFmtId="0" fontId="4" fillId="0" borderId="9" xfId="13" applyBorder="1"/>
    <xf numFmtId="0" fontId="4" fillId="0" borderId="7" xfId="13" applyBorder="1" applyAlignment="1">
      <alignment horizontal="center"/>
    </xf>
    <xf numFmtId="0" fontId="4" fillId="0" borderId="10" xfId="13" applyBorder="1"/>
    <xf numFmtId="0" fontId="4" fillId="0" borderId="10" xfId="13" applyBorder="1" applyAlignment="1">
      <alignment horizontal="center"/>
    </xf>
    <xf numFmtId="0" fontId="3" fillId="0" borderId="10" xfId="13" applyFont="1" applyBorder="1" applyAlignment="1">
      <alignment horizontal="center"/>
    </xf>
    <xf numFmtId="0" fontId="2" fillId="0" borderId="10" xfId="13" applyFont="1" applyBorder="1" applyAlignment="1">
      <alignment horizontal="center"/>
    </xf>
    <xf numFmtId="0" fontId="3" fillId="0" borderId="10" xfId="13" applyFont="1" applyBorder="1"/>
    <xf numFmtId="0" fontId="5" fillId="0" borderId="0" xfId="2" applyFont="1"/>
    <xf numFmtId="0" fontId="4" fillId="0" borderId="0" xfId="14"/>
    <xf numFmtId="0" fontId="2" fillId="0" borderId="0" xfId="14" applyFont="1"/>
    <xf numFmtId="0" fontId="4" fillId="0" borderId="1" xfId="14" applyBorder="1"/>
    <xf numFmtId="0" fontId="4" fillId="0" borderId="2" xfId="14" applyBorder="1"/>
    <xf numFmtId="0" fontId="4" fillId="0" borderId="3" xfId="14" applyBorder="1"/>
    <xf numFmtId="0" fontId="4" fillId="0" borderId="4" xfId="14" applyBorder="1"/>
    <xf numFmtId="0" fontId="2" fillId="0" borderId="4" xfId="14" applyFont="1" applyBorder="1" applyAlignment="1">
      <alignment horizontal="center"/>
    </xf>
    <xf numFmtId="0" fontId="3" fillId="0" borderId="4" xfId="14" applyFont="1" applyBorder="1" applyAlignment="1">
      <alignment horizontal="center"/>
    </xf>
    <xf numFmtId="0" fontId="4" fillId="0" borderId="4" xfId="14" applyFont="1" applyBorder="1"/>
    <xf numFmtId="0" fontId="4" fillId="0" borderId="7" xfId="14" applyBorder="1"/>
    <xf numFmtId="0" fontId="4" fillId="0" borderId="8" xfId="14" applyBorder="1"/>
    <xf numFmtId="0" fontId="4" fillId="0" borderId="9" xfId="14" applyBorder="1"/>
    <xf numFmtId="0" fontId="4" fillId="0" borderId="7" xfId="14" applyBorder="1" applyAlignment="1">
      <alignment horizontal="center"/>
    </xf>
    <xf numFmtId="0" fontId="4" fillId="0" borderId="10" xfId="14" applyBorder="1"/>
    <xf numFmtId="0" fontId="4" fillId="0" borderId="10" xfId="14" applyBorder="1" applyAlignment="1">
      <alignment horizontal="center"/>
    </xf>
    <xf numFmtId="0" fontId="3" fillId="0" borderId="10" xfId="14" applyFont="1" applyBorder="1" applyAlignment="1">
      <alignment horizontal="center"/>
    </xf>
    <xf numFmtId="0" fontId="2" fillId="0" borderId="10" xfId="14" applyFont="1" applyBorder="1" applyAlignment="1">
      <alignment horizontal="center"/>
    </xf>
    <xf numFmtId="0" fontId="3" fillId="0" borderId="10" xfId="14" applyFont="1" applyBorder="1"/>
    <xf numFmtId="0" fontId="4" fillId="0" borderId="0" xfId="15"/>
    <xf numFmtId="0" fontId="2" fillId="0" borderId="0" xfId="15" applyFont="1"/>
    <xf numFmtId="0" fontId="4" fillId="0" borderId="0" xfId="15" applyFont="1"/>
    <xf numFmtId="0" fontId="4" fillId="0" borderId="11" xfId="15" applyBorder="1"/>
    <xf numFmtId="0" fontId="4" fillId="0" borderId="4" xfId="15" applyBorder="1"/>
    <xf numFmtId="0" fontId="4" fillId="0" borderId="2" xfId="15" applyBorder="1"/>
    <xf numFmtId="0" fontId="4" fillId="0" borderId="6" xfId="15" applyBorder="1"/>
    <xf numFmtId="0" fontId="2" fillId="0" borderId="4" xfId="15" applyFont="1" applyBorder="1" applyAlignment="1">
      <alignment horizontal="center"/>
    </xf>
    <xf numFmtId="0" fontId="3" fillId="0" borderId="4" xfId="15" applyFont="1" applyBorder="1" applyAlignment="1">
      <alignment horizontal="center"/>
    </xf>
    <xf numFmtId="0" fontId="4" fillId="0" borderId="4" xfId="15" applyFont="1" applyBorder="1"/>
    <xf numFmtId="0" fontId="4" fillId="0" borderId="7" xfId="15" applyBorder="1"/>
    <xf numFmtId="0" fontId="4" fillId="0" borderId="8" xfId="15" applyBorder="1"/>
    <xf numFmtId="0" fontId="4" fillId="0" borderId="9" xfId="15" applyBorder="1"/>
    <xf numFmtId="0" fontId="4" fillId="0" borderId="7" xfId="15" applyBorder="1" applyAlignment="1">
      <alignment horizontal="center"/>
    </xf>
    <xf numFmtId="0" fontId="4" fillId="0" borderId="10" xfId="15" applyBorder="1"/>
    <xf numFmtId="0" fontId="4" fillId="0" borderId="10" xfId="15" applyBorder="1" applyAlignment="1">
      <alignment horizontal="center"/>
    </xf>
    <xf numFmtId="2" fontId="4" fillId="0" borderId="10" xfId="15" applyNumberFormat="1" applyBorder="1"/>
    <xf numFmtId="0" fontId="3" fillId="0" borderId="10" xfId="15" applyFont="1" applyBorder="1" applyAlignment="1">
      <alignment horizontal="center"/>
    </xf>
    <xf numFmtId="0" fontId="3" fillId="0" borderId="10" xfId="15" applyFont="1" applyBorder="1"/>
    <xf numFmtId="0" fontId="2" fillId="0" borderId="10" xfId="15" applyFont="1" applyBorder="1" applyAlignment="1">
      <alignment horizontal="center"/>
    </xf>
    <xf numFmtId="2" fontId="3" fillId="0" borderId="10" xfId="15" applyNumberFormat="1" applyFont="1" applyBorder="1"/>
    <xf numFmtId="0" fontId="4" fillId="0" borderId="0" xfId="16"/>
    <xf numFmtId="0" fontId="2" fillId="0" borderId="0" xfId="16" applyFont="1"/>
    <xf numFmtId="0" fontId="4" fillId="0" borderId="1" xfId="16" applyBorder="1"/>
    <xf numFmtId="0" fontId="4" fillId="0" borderId="2" xfId="16" applyBorder="1"/>
    <xf numFmtId="0" fontId="4" fillId="0" borderId="3" xfId="16" applyBorder="1"/>
    <xf numFmtId="0" fontId="4" fillId="0" borderId="4" xfId="16" applyBorder="1"/>
    <xf numFmtId="0" fontId="2" fillId="0" borderId="4" xfId="16" applyFont="1" applyBorder="1" applyAlignment="1">
      <alignment horizontal="center"/>
    </xf>
    <xf numFmtId="0" fontId="3" fillId="0" borderId="4" xfId="16" applyFont="1" applyBorder="1" applyAlignment="1">
      <alignment horizontal="center"/>
    </xf>
    <xf numFmtId="0" fontId="4" fillId="0" borderId="4" xfId="16" applyFont="1" applyBorder="1"/>
    <xf numFmtId="0" fontId="4" fillId="0" borderId="7" xfId="16" applyBorder="1"/>
    <xf numFmtId="0" fontId="4" fillId="0" borderId="8" xfId="16" applyBorder="1"/>
    <xf numFmtId="0" fontId="4" fillId="0" borderId="9" xfId="16" applyBorder="1"/>
    <xf numFmtId="0" fontId="4" fillId="0" borderId="7" xfId="16" applyBorder="1" applyAlignment="1">
      <alignment horizontal="center"/>
    </xf>
    <xf numFmtId="0" fontId="4" fillId="0" borderId="10" xfId="16" applyBorder="1"/>
    <xf numFmtId="0" fontId="4" fillId="0" borderId="10" xfId="16" applyBorder="1" applyAlignment="1">
      <alignment horizontal="center"/>
    </xf>
    <xf numFmtId="0" fontId="3" fillId="0" borderId="10" xfId="16" applyFont="1" applyBorder="1" applyAlignment="1">
      <alignment horizontal="center"/>
    </xf>
    <xf numFmtId="0" fontId="3" fillId="0" borderId="10" xfId="16" applyFont="1" applyBorder="1"/>
    <xf numFmtId="0" fontId="2" fillId="0" borderId="10" xfId="16" applyFont="1" applyBorder="1" applyAlignment="1">
      <alignment horizontal="center"/>
    </xf>
    <xf numFmtId="0" fontId="4" fillId="0" borderId="0" xfId="17"/>
    <xf numFmtId="0" fontId="2" fillId="0" borderId="0" xfId="17" applyFont="1"/>
    <xf numFmtId="0" fontId="4" fillId="0" borderId="1" xfId="17" applyBorder="1"/>
    <xf numFmtId="0" fontId="2" fillId="0" borderId="4" xfId="17" applyFont="1" applyBorder="1" applyAlignment="1">
      <alignment horizontal="center"/>
    </xf>
    <xf numFmtId="0" fontId="3" fillId="0" borderId="4" xfId="17" applyFont="1" applyBorder="1" applyAlignment="1">
      <alignment horizontal="center"/>
    </xf>
    <xf numFmtId="0" fontId="4" fillId="0" borderId="4" xfId="17" applyFont="1" applyBorder="1"/>
    <xf numFmtId="0" fontId="4" fillId="0" borderId="7" xfId="17" applyBorder="1"/>
    <xf numFmtId="0" fontId="4" fillId="0" borderId="8" xfId="17" applyBorder="1"/>
    <xf numFmtId="0" fontId="4" fillId="0" borderId="9" xfId="17" applyBorder="1"/>
    <xf numFmtId="0" fontId="4" fillId="0" borderId="7" xfId="17" applyBorder="1" applyAlignment="1">
      <alignment horizontal="center"/>
    </xf>
    <xf numFmtId="0" fontId="4" fillId="0" borderId="10" xfId="17" applyBorder="1"/>
    <xf numFmtId="0" fontId="4" fillId="0" borderId="10" xfId="17" applyBorder="1" applyAlignment="1">
      <alignment horizontal="center"/>
    </xf>
    <xf numFmtId="0" fontId="3" fillId="0" borderId="10" xfId="17" applyFont="1" applyBorder="1" applyAlignment="1">
      <alignment horizontal="center"/>
    </xf>
    <xf numFmtId="0" fontId="3" fillId="0" borderId="10" xfId="17" applyFont="1" applyBorder="1"/>
    <xf numFmtId="0" fontId="2" fillId="0" borderId="10" xfId="17" applyFont="1" applyBorder="1" applyAlignment="1">
      <alignment horizontal="center"/>
    </xf>
    <xf numFmtId="0" fontId="4" fillId="0" borderId="0" xfId="18"/>
    <xf numFmtId="0" fontId="2" fillId="0" borderId="0" xfId="18" applyFont="1"/>
    <xf numFmtId="0" fontId="5" fillId="0" borderId="0" xfId="18" applyFont="1"/>
    <xf numFmtId="0" fontId="4" fillId="0" borderId="1" xfId="18" applyBorder="1"/>
    <xf numFmtId="0" fontId="4" fillId="0" borderId="2" xfId="18" applyBorder="1"/>
    <xf numFmtId="0" fontId="4" fillId="0" borderId="3" xfId="18" applyBorder="1"/>
    <xf numFmtId="0" fontId="4" fillId="0" borderId="4" xfId="18" applyBorder="1"/>
    <xf numFmtId="0" fontId="2" fillId="0" borderId="4" xfId="18" applyFont="1" applyBorder="1" applyAlignment="1">
      <alignment horizontal="center"/>
    </xf>
    <xf numFmtId="0" fontId="3" fillId="0" borderId="4" xfId="18" applyFont="1" applyBorder="1" applyAlignment="1">
      <alignment horizontal="center"/>
    </xf>
    <xf numFmtId="0" fontId="4" fillId="0" borderId="4" xfId="18" applyFont="1" applyBorder="1"/>
    <xf numFmtId="0" fontId="4" fillId="0" borderId="7" xfId="18" applyBorder="1"/>
    <xf numFmtId="0" fontId="4" fillId="0" borderId="8" xfId="18" applyBorder="1"/>
    <xf numFmtId="0" fontId="4" fillId="0" borderId="9" xfId="18" applyBorder="1"/>
    <xf numFmtId="0" fontId="4" fillId="0" borderId="7" xfId="18" applyBorder="1" applyAlignment="1">
      <alignment horizontal="center"/>
    </xf>
    <xf numFmtId="0" fontId="4" fillId="0" borderId="10" xfId="18" applyBorder="1"/>
    <xf numFmtId="0" fontId="4" fillId="0" borderId="10" xfId="18" applyBorder="1" applyAlignment="1">
      <alignment horizontal="center"/>
    </xf>
    <xf numFmtId="0" fontId="3" fillId="0" borderId="10" xfId="18" applyFont="1" applyBorder="1" applyAlignment="1">
      <alignment horizontal="center"/>
    </xf>
    <xf numFmtId="0" fontId="3" fillId="0" borderId="10" xfId="18" applyFont="1" applyBorder="1"/>
    <xf numFmtId="0" fontId="2" fillId="0" borderId="10" xfId="18" applyFont="1" applyBorder="1" applyAlignment="1">
      <alignment horizontal="center"/>
    </xf>
    <xf numFmtId="0" fontId="4" fillId="0" borderId="0" xfId="19"/>
    <xf numFmtId="0" fontId="2" fillId="0" borderId="0" xfId="19" applyFont="1"/>
    <xf numFmtId="0" fontId="4" fillId="0" borderId="1" xfId="19" applyBorder="1"/>
    <xf numFmtId="0" fontId="2" fillId="0" borderId="4" xfId="19" applyFont="1" applyBorder="1" applyAlignment="1">
      <alignment horizontal="center"/>
    </xf>
    <xf numFmtId="0" fontId="3" fillId="0" borderId="4" xfId="19" applyFont="1" applyBorder="1" applyAlignment="1">
      <alignment horizontal="center"/>
    </xf>
    <xf numFmtId="0" fontId="4" fillId="0" borderId="4" xfId="19" applyFont="1" applyBorder="1"/>
    <xf numFmtId="0" fontId="4" fillId="0" borderId="7" xfId="19" applyBorder="1"/>
    <xf numFmtId="0" fontId="4" fillId="0" borderId="8" xfId="19" applyBorder="1"/>
    <xf numFmtId="0" fontId="4" fillId="0" borderId="9" xfId="19" applyBorder="1"/>
    <xf numFmtId="0" fontId="4" fillId="0" borderId="7" xfId="19" applyBorder="1" applyAlignment="1">
      <alignment horizontal="center"/>
    </xf>
    <xf numFmtId="0" fontId="4" fillId="0" borderId="10" xfId="19" applyBorder="1"/>
    <xf numFmtId="0" fontId="4" fillId="0" borderId="10" xfId="19" applyBorder="1" applyAlignment="1">
      <alignment horizontal="center"/>
    </xf>
    <xf numFmtId="0" fontId="3" fillId="0" borderId="10" xfId="19" applyFont="1" applyBorder="1" applyAlignment="1">
      <alignment horizontal="center"/>
    </xf>
    <xf numFmtId="0" fontId="3" fillId="0" borderId="10" xfId="19" applyFont="1" applyBorder="1"/>
    <xf numFmtId="0" fontId="2" fillId="0" borderId="10" xfId="19" applyFont="1" applyBorder="1" applyAlignment="1">
      <alignment horizontal="center"/>
    </xf>
    <xf numFmtId="0" fontId="4" fillId="0" borderId="0" xfId="20"/>
    <xf numFmtId="0" fontId="2" fillId="0" borderId="0" xfId="20" applyFont="1"/>
    <xf numFmtId="0" fontId="5" fillId="0" borderId="0" xfId="20" applyFont="1"/>
    <xf numFmtId="0" fontId="4" fillId="0" borderId="11" xfId="20" applyBorder="1"/>
    <xf numFmtId="0" fontId="4" fillId="0" borderId="4" xfId="20" applyBorder="1"/>
    <xf numFmtId="0" fontId="4" fillId="0" borderId="2" xfId="20" applyBorder="1"/>
    <xf numFmtId="0" fontId="4" fillId="0" borderId="6" xfId="20" applyBorder="1"/>
    <xf numFmtId="0" fontId="2" fillId="0" borderId="4" xfId="20" applyFont="1" applyBorder="1" applyAlignment="1">
      <alignment horizontal="center"/>
    </xf>
    <xf numFmtId="0" fontId="3" fillId="0" borderId="4" xfId="20" applyFont="1" applyBorder="1" applyAlignment="1">
      <alignment horizontal="center"/>
    </xf>
    <xf numFmtId="0" fontId="4" fillId="0" borderId="4" xfId="20" applyFont="1" applyBorder="1"/>
    <xf numFmtId="0" fontId="4" fillId="0" borderId="7" xfId="20" applyBorder="1"/>
    <xf numFmtId="0" fontId="4" fillId="0" borderId="8" xfId="20" applyBorder="1"/>
    <xf numFmtId="0" fontId="4" fillId="0" borderId="9" xfId="20" applyBorder="1"/>
    <xf numFmtId="0" fontId="4" fillId="0" borderId="7" xfId="20" applyBorder="1" applyAlignment="1">
      <alignment horizontal="center"/>
    </xf>
    <xf numFmtId="0" fontId="4" fillId="0" borderId="10" xfId="20" applyBorder="1"/>
    <xf numFmtId="0" fontId="4" fillId="0" borderId="10" xfId="20" applyBorder="1" applyAlignment="1">
      <alignment horizontal="center"/>
    </xf>
    <xf numFmtId="0" fontId="3" fillId="0" borderId="10" xfId="20" applyFont="1" applyBorder="1" applyAlignment="1">
      <alignment horizontal="center"/>
    </xf>
    <xf numFmtId="0" fontId="3" fillId="0" borderId="10" xfId="20" applyFont="1" applyBorder="1"/>
    <xf numFmtId="0" fontId="2" fillId="0" borderId="10" xfId="20" applyFont="1" applyBorder="1" applyAlignment="1">
      <alignment horizontal="center"/>
    </xf>
    <xf numFmtId="0" fontId="4" fillId="0" borderId="0" xfId="21"/>
    <xf numFmtId="0" fontId="2" fillId="0" borderId="0" xfId="21" applyFont="1"/>
    <xf numFmtId="0" fontId="4" fillId="0" borderId="11" xfId="21" applyBorder="1"/>
    <xf numFmtId="0" fontId="4" fillId="0" borderId="4" xfId="21" applyBorder="1"/>
    <xf numFmtId="0" fontId="4" fillId="0" borderId="2" xfId="21" applyBorder="1"/>
    <xf numFmtId="0" fontId="4" fillId="0" borderId="6" xfId="21" applyBorder="1"/>
    <xf numFmtId="0" fontId="2" fillId="0" borderId="4" xfId="21" applyFont="1" applyBorder="1" applyAlignment="1">
      <alignment horizontal="center"/>
    </xf>
    <xf numFmtId="0" fontId="3" fillId="0" borderId="4" xfId="21" applyFont="1" applyBorder="1" applyAlignment="1">
      <alignment horizontal="center"/>
    </xf>
    <xf numFmtId="0" fontId="4" fillId="0" borderId="4" xfId="21" applyFont="1" applyBorder="1"/>
    <xf numFmtId="0" fontId="4" fillId="0" borderId="7" xfId="21" applyBorder="1"/>
    <xf numFmtId="0" fontId="4" fillId="0" borderId="8" xfId="21" applyBorder="1"/>
    <xf numFmtId="0" fontId="4" fillId="0" borderId="9" xfId="21" applyBorder="1"/>
    <xf numFmtId="0" fontId="4" fillId="0" borderId="7" xfId="21" applyBorder="1" applyAlignment="1">
      <alignment horizontal="center"/>
    </xf>
    <xf numFmtId="0" fontId="4" fillId="0" borderId="10" xfId="21" applyBorder="1"/>
    <xf numFmtId="0" fontId="4" fillId="0" borderId="10" xfId="21" applyBorder="1" applyAlignment="1">
      <alignment horizontal="center"/>
    </xf>
    <xf numFmtId="0" fontId="3" fillId="0" borderId="10" xfId="21" applyFont="1" applyBorder="1" applyAlignment="1">
      <alignment horizontal="center"/>
    </xf>
    <xf numFmtId="0" fontId="3" fillId="0" borderId="10" xfId="21" applyFont="1" applyBorder="1"/>
    <xf numFmtId="0" fontId="2" fillId="0" borderId="10" xfId="21" applyFont="1" applyBorder="1" applyAlignment="1">
      <alignment horizontal="center"/>
    </xf>
    <xf numFmtId="0" fontId="4" fillId="0" borderId="0" xfId="22"/>
    <xf numFmtId="0" fontId="2" fillId="0" borderId="0" xfId="22" applyFont="1"/>
    <xf numFmtId="0" fontId="4" fillId="0" borderId="11" xfId="22" applyBorder="1"/>
    <xf numFmtId="0" fontId="2" fillId="0" borderId="4" xfId="22" applyFont="1" applyBorder="1" applyAlignment="1">
      <alignment horizontal="center"/>
    </xf>
    <xf numFmtId="0" fontId="3" fillId="0" borderId="4" xfId="22" applyFont="1" applyBorder="1" applyAlignment="1">
      <alignment horizontal="center"/>
    </xf>
    <xf numFmtId="0" fontId="4" fillId="0" borderId="4" xfId="22" applyFont="1" applyBorder="1"/>
    <xf numFmtId="0" fontId="4" fillId="0" borderId="7" xfId="22" applyBorder="1"/>
    <xf numFmtId="0" fontId="4" fillId="0" borderId="8" xfId="22" applyBorder="1"/>
    <xf numFmtId="0" fontId="4" fillId="0" borderId="9" xfId="22" applyBorder="1"/>
    <xf numFmtId="0" fontId="4" fillId="0" borderId="10" xfId="22" applyBorder="1"/>
    <xf numFmtId="0" fontId="4" fillId="0" borderId="10" xfId="22" applyBorder="1" applyAlignment="1">
      <alignment horizontal="center"/>
    </xf>
    <xf numFmtId="0" fontId="3" fillId="0" borderId="10" xfId="22" applyFont="1" applyBorder="1" applyAlignment="1">
      <alignment horizontal="center"/>
    </xf>
    <xf numFmtId="0" fontId="3" fillId="0" borderId="10" xfId="22" applyFont="1" applyBorder="1"/>
    <xf numFmtId="0" fontId="2" fillId="0" borderId="10" xfId="22" applyFont="1" applyBorder="1" applyAlignment="1">
      <alignment horizontal="center"/>
    </xf>
    <xf numFmtId="2" fontId="6" fillId="0" borderId="10" xfId="0" applyNumberFormat="1" applyFont="1" applyBorder="1"/>
    <xf numFmtId="0" fontId="0" fillId="0" borderId="10" xfId="0" applyFont="1" applyBorder="1"/>
    <xf numFmtId="2" fontId="5" fillId="0" borderId="10" xfId="0" applyNumberFormat="1" applyFont="1" applyBorder="1"/>
    <xf numFmtId="0" fontId="0" fillId="0" borderId="12" xfId="0" applyBorder="1"/>
    <xf numFmtId="0" fontId="5" fillId="0" borderId="0" xfId="2" applyFont="1" applyBorder="1"/>
    <xf numFmtId="0" fontId="0" fillId="0" borderId="5" xfId="0" applyBorder="1"/>
    <xf numFmtId="2" fontId="5" fillId="0" borderId="0" xfId="2" applyNumberFormat="1" applyFont="1" applyBorder="1"/>
    <xf numFmtId="0" fontId="4" fillId="0" borderId="0" xfId="3" applyBorder="1" applyAlignment="1">
      <alignment horizontal="center"/>
    </xf>
    <xf numFmtId="0" fontId="4" fillId="0" borderId="11" xfId="6" applyBorder="1" applyAlignment="1">
      <alignment horizontal="center"/>
    </xf>
    <xf numFmtId="0" fontId="4" fillId="0" borderId="0" xfId="7" applyBorder="1" applyAlignment="1">
      <alignment horizontal="center"/>
    </xf>
    <xf numFmtId="0" fontId="4" fillId="0" borderId="11" xfId="8" applyBorder="1" applyAlignment="1">
      <alignment horizontal="center"/>
    </xf>
    <xf numFmtId="0" fontId="4" fillId="0" borderId="11" xfId="9" applyBorder="1" applyAlignment="1">
      <alignment horizontal="center"/>
    </xf>
    <xf numFmtId="0" fontId="4" fillId="0" borderId="11" xfId="10" applyBorder="1" applyAlignment="1">
      <alignment horizontal="center"/>
    </xf>
    <xf numFmtId="0" fontId="4" fillId="0" borderId="11" xfId="15" applyBorder="1" applyAlignment="1">
      <alignment horizontal="center"/>
    </xf>
    <xf numFmtId="0" fontId="4" fillId="0" borderId="11" xfId="20" applyBorder="1" applyAlignment="1">
      <alignment horizontal="center"/>
    </xf>
    <xf numFmtId="0" fontId="4" fillId="0" borderId="11" xfId="21" applyBorder="1" applyAlignment="1">
      <alignment horizontal="center"/>
    </xf>
    <xf numFmtId="0" fontId="4" fillId="0" borderId="11" xfId="22" applyBorder="1" applyAlignment="1">
      <alignment horizontal="center"/>
    </xf>
    <xf numFmtId="0" fontId="4" fillId="0" borderId="10" xfId="23" applyFont="1" applyBorder="1"/>
    <xf numFmtId="0" fontId="4" fillId="0" borderId="0" xfId="5" applyFont="1"/>
    <xf numFmtId="2" fontId="4" fillId="0" borderId="10" xfId="6" applyNumberFormat="1" applyBorder="1"/>
    <xf numFmtId="2" fontId="3" fillId="0" borderId="10" xfId="6" applyNumberFormat="1" applyFont="1" applyBorder="1"/>
    <xf numFmtId="0" fontId="5" fillId="0" borderId="10" xfId="6" applyFont="1" applyBorder="1"/>
    <xf numFmtId="2" fontId="5" fillId="0" borderId="10" xfId="6" applyNumberFormat="1" applyFont="1" applyBorder="1"/>
    <xf numFmtId="2" fontId="3" fillId="0" borderId="10" xfId="8" applyNumberFormat="1" applyFont="1" applyBorder="1"/>
    <xf numFmtId="2" fontId="4" fillId="0" borderId="10" xfId="8" applyNumberFormat="1" applyBorder="1"/>
    <xf numFmtId="0" fontId="5" fillId="0" borderId="10" xfId="8" applyFont="1" applyBorder="1"/>
    <xf numFmtId="0" fontId="4" fillId="0" borderId="0" xfId="11" applyFont="1"/>
    <xf numFmtId="0" fontId="5" fillId="0" borderId="10" xfId="11" applyFont="1" applyBorder="1"/>
    <xf numFmtId="0" fontId="2" fillId="0" borderId="1" xfId="11" applyFont="1" applyBorder="1" applyAlignment="1">
      <alignment horizontal="center"/>
    </xf>
    <xf numFmtId="0" fontId="3" fillId="0" borderId="1" xfId="11" applyFont="1" applyBorder="1" applyAlignment="1">
      <alignment horizontal="center"/>
    </xf>
    <xf numFmtId="2" fontId="3" fillId="0" borderId="10" xfId="12" applyNumberFormat="1" applyFont="1" applyBorder="1"/>
    <xf numFmtId="2" fontId="4" fillId="0" borderId="10" xfId="12" applyNumberFormat="1" applyBorder="1"/>
    <xf numFmtId="0" fontId="5" fillId="0" borderId="10" xfId="12" applyFont="1" applyBorder="1"/>
    <xf numFmtId="0" fontId="2" fillId="0" borderId="1" xfId="12" applyFont="1" applyBorder="1" applyAlignment="1">
      <alignment horizontal="center"/>
    </xf>
    <xf numFmtId="0" fontId="3" fillId="0" borderId="1" xfId="12" applyFont="1" applyBorder="1" applyAlignment="1">
      <alignment horizontal="center"/>
    </xf>
    <xf numFmtId="0" fontId="4" fillId="0" borderId="0" xfId="13" applyFont="1"/>
    <xf numFmtId="0" fontId="4" fillId="0" borderId="0" xfId="14" applyFont="1"/>
    <xf numFmtId="2" fontId="3" fillId="0" borderId="10" xfId="14" applyNumberFormat="1" applyFont="1" applyBorder="1"/>
    <xf numFmtId="2" fontId="4" fillId="0" borderId="10" xfId="14" applyNumberFormat="1" applyBorder="1"/>
    <xf numFmtId="0" fontId="5" fillId="0" borderId="10" xfId="14" applyFont="1" applyBorder="1"/>
    <xf numFmtId="2" fontId="5" fillId="0" borderId="10" xfId="14" applyNumberFormat="1" applyFont="1" applyBorder="1"/>
    <xf numFmtId="164" fontId="4" fillId="0" borderId="8" xfId="15" applyNumberFormat="1" applyBorder="1"/>
    <xf numFmtId="0" fontId="4" fillId="0" borderId="0" xfId="16" applyFont="1"/>
    <xf numFmtId="0" fontId="4" fillId="0" borderId="0" xfId="17" applyFont="1"/>
    <xf numFmtId="0" fontId="2" fillId="0" borderId="1" xfId="17" applyFont="1" applyBorder="1" applyAlignment="1">
      <alignment horizontal="center"/>
    </xf>
    <xf numFmtId="0" fontId="3" fillId="0" borderId="1" xfId="17" applyFont="1" applyBorder="1" applyAlignment="1">
      <alignment horizontal="center"/>
    </xf>
    <xf numFmtId="0" fontId="4" fillId="0" borderId="0" xfId="19" applyFont="1"/>
    <xf numFmtId="0" fontId="2" fillId="0" borderId="1" xfId="19" applyFont="1" applyBorder="1" applyAlignment="1">
      <alignment horizontal="center"/>
    </xf>
    <xf numFmtId="0" fontId="3" fillId="0" borderId="1" xfId="19" applyFont="1" applyBorder="1" applyAlignment="1">
      <alignment horizontal="center"/>
    </xf>
    <xf numFmtId="0" fontId="4" fillId="0" borderId="0" xfId="21" applyFont="1"/>
    <xf numFmtId="0" fontId="5" fillId="0" borderId="10" xfId="21" applyFont="1" applyBorder="1"/>
    <xf numFmtId="0" fontId="4" fillId="0" borderId="0" xfId="22" applyFont="1"/>
    <xf numFmtId="2" fontId="4" fillId="0" borderId="8" xfId="22" applyNumberFormat="1" applyBorder="1"/>
    <xf numFmtId="0" fontId="4" fillId="0" borderId="1" xfId="22" applyBorder="1"/>
    <xf numFmtId="0" fontId="2" fillId="0" borderId="1" xfId="22" applyFont="1" applyBorder="1" applyAlignment="1">
      <alignment horizontal="center"/>
    </xf>
    <xf numFmtId="0" fontId="3" fillId="0" borderId="1" xfId="22" applyFon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0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5" fillId="0" borderId="7" xfId="2" applyFont="1" applyBorder="1"/>
    <xf numFmtId="0" fontId="3" fillId="0" borderId="0" xfId="0" applyFont="1" applyBorder="1"/>
    <xf numFmtId="0" fontId="0" fillId="0" borderId="13" xfId="0" applyBorder="1"/>
    <xf numFmtId="0" fontId="5" fillId="0" borderId="4" xfId="0" applyFont="1" applyBorder="1"/>
    <xf numFmtId="0" fontId="5" fillId="0" borderId="10" xfId="3" applyFont="1" applyBorder="1"/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1" xfId="2" applyFont="1" applyBorder="1"/>
    <xf numFmtId="0" fontId="5" fillId="0" borderId="1" xfId="2" applyFont="1" applyBorder="1"/>
    <xf numFmtId="0" fontId="5" fillId="0" borderId="6" xfId="2" applyFont="1" applyBorder="1"/>
    <xf numFmtId="0" fontId="5" fillId="0" borderId="4" xfId="2" applyFont="1" applyBorder="1"/>
    <xf numFmtId="0" fontId="5" fillId="0" borderId="8" xfId="2" applyFont="1" applyBorder="1"/>
    <xf numFmtId="0" fontId="5" fillId="0" borderId="9" xfId="2" applyFont="1" applyBorder="1"/>
    <xf numFmtId="2" fontId="5" fillId="0" borderId="10" xfId="1" applyNumberFormat="1" applyFont="1" applyBorder="1"/>
    <xf numFmtId="0" fontId="5" fillId="0" borderId="10" xfId="23" applyFont="1" applyBorder="1"/>
    <xf numFmtId="0" fontId="6" fillId="0" borderId="10" xfId="0" applyFont="1" applyBorder="1"/>
    <xf numFmtId="164" fontId="0" fillId="0" borderId="10" xfId="0" applyNumberFormat="1" applyBorder="1"/>
    <xf numFmtId="0" fontId="5" fillId="0" borderId="7" xfId="21" applyFont="1" applyBorder="1" applyAlignment="1">
      <alignment horizontal="center"/>
    </xf>
    <xf numFmtId="2" fontId="0" fillId="0" borderId="8" xfId="0" applyNumberFormat="1" applyBorder="1"/>
    <xf numFmtId="0" fontId="6" fillId="0" borderId="0" xfId="0" applyFont="1" applyBorder="1"/>
    <xf numFmtId="0" fontId="5" fillId="0" borderId="10" xfId="21" applyFont="1" applyBorder="1" applyAlignment="1">
      <alignment horizontal="center"/>
    </xf>
    <xf numFmtId="164" fontId="5" fillId="0" borderId="10" xfId="2" applyNumberFormat="1" applyFont="1" applyBorder="1"/>
    <xf numFmtId="0" fontId="0" fillId="0" borderId="10" xfId="0" applyFill="1" applyBorder="1"/>
    <xf numFmtId="0" fontId="0" fillId="0" borderId="0" xfId="0" applyFill="1" applyBorder="1"/>
    <xf numFmtId="0" fontId="6" fillId="0" borderId="0" xfId="0" applyFont="1"/>
    <xf numFmtId="0" fontId="0" fillId="0" borderId="14" xfId="0" applyBorder="1"/>
    <xf numFmtId="2" fontId="0" fillId="0" borderId="13" xfId="0" applyNumberFormat="1" applyBorder="1"/>
    <xf numFmtId="0" fontId="5" fillId="0" borderId="12" xfId="2" applyFont="1" applyBorder="1"/>
    <xf numFmtId="0" fontId="5" fillId="0" borderId="0" xfId="4" applyFont="1"/>
    <xf numFmtId="0" fontId="5" fillId="0" borderId="1" xfId="4" applyFont="1" applyBorder="1"/>
    <xf numFmtId="0" fontId="2" fillId="0" borderId="1" xfId="4" applyFont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5" fillId="0" borderId="4" xfId="4" applyFont="1" applyBorder="1"/>
    <xf numFmtId="0" fontId="5" fillId="0" borderId="10" xfId="4" applyFont="1" applyBorder="1"/>
    <xf numFmtId="0" fontId="5" fillId="0" borderId="10" xfId="4" applyFont="1" applyBorder="1" applyAlignment="1">
      <alignment horizontal="center"/>
    </xf>
    <xf numFmtId="2" fontId="5" fillId="0" borderId="0" xfId="2" applyNumberFormat="1" applyFont="1"/>
    <xf numFmtId="0" fontId="5" fillId="0" borderId="13" xfId="4" applyFont="1" applyBorder="1"/>
    <xf numFmtId="0" fontId="5" fillId="0" borderId="12" xfId="4" applyFont="1" applyBorder="1"/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2" fillId="0" borderId="5" xfId="5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0" fontId="3" fillId="0" borderId="5" xfId="5" applyFont="1" applyBorder="1" applyAlignment="1">
      <alignment horizontal="center"/>
    </xf>
    <xf numFmtId="0" fontId="3" fillId="0" borderId="6" xfId="5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0" fontId="4" fillId="0" borderId="0" xfId="3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3" fillId="0" borderId="5" xfId="6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0" fontId="4" fillId="0" borderId="11" xfId="6" applyBorder="1" applyAlignment="1">
      <alignment horizontal="center"/>
    </xf>
    <xf numFmtId="0" fontId="2" fillId="0" borderId="5" xfId="6" applyFont="1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2" fillId="0" borderId="3" xfId="4" applyFont="1" applyBorder="1" applyAlignment="1">
      <alignment horizontal="center"/>
    </xf>
    <xf numFmtId="0" fontId="4" fillId="0" borderId="0" xfId="7" applyBorder="1" applyAlignment="1">
      <alignment horizontal="center"/>
    </xf>
    <xf numFmtId="0" fontId="2" fillId="0" borderId="5" xfId="7" applyFont="1" applyBorder="1" applyAlignment="1">
      <alignment horizontal="center"/>
    </xf>
    <xf numFmtId="0" fontId="2" fillId="0" borderId="6" xfId="7" applyFont="1" applyBorder="1" applyAlignment="1">
      <alignment horizontal="center"/>
    </xf>
    <xf numFmtId="0" fontId="3" fillId="0" borderId="5" xfId="7" applyFont="1" applyBorder="1" applyAlignment="1">
      <alignment horizontal="center"/>
    </xf>
    <xf numFmtId="0" fontId="3" fillId="0" borderId="6" xfId="7" applyFont="1" applyBorder="1" applyAlignment="1">
      <alignment horizontal="center"/>
    </xf>
    <xf numFmtId="0" fontId="4" fillId="0" borderId="11" xfId="8" applyBorder="1" applyAlignment="1">
      <alignment horizontal="center"/>
    </xf>
    <xf numFmtId="0" fontId="2" fillId="0" borderId="5" xfId="8" applyFont="1" applyBorder="1" applyAlignment="1">
      <alignment horizontal="center"/>
    </xf>
    <xf numFmtId="0" fontId="2" fillId="0" borderId="6" xfId="8" applyFont="1" applyBorder="1" applyAlignment="1">
      <alignment horizontal="center"/>
    </xf>
    <xf numFmtId="0" fontId="3" fillId="0" borderId="5" xfId="8" applyFont="1" applyBorder="1" applyAlignment="1">
      <alignment horizontal="center"/>
    </xf>
    <xf numFmtId="0" fontId="3" fillId="0" borderId="6" xfId="8" applyFont="1" applyBorder="1" applyAlignment="1">
      <alignment horizontal="center"/>
    </xf>
    <xf numFmtId="0" fontId="2" fillId="0" borderId="5" xfId="9" applyFont="1" applyBorder="1" applyAlignment="1">
      <alignment horizontal="center"/>
    </xf>
    <xf numFmtId="0" fontId="2" fillId="0" borderId="6" xfId="9" applyFont="1" applyBorder="1" applyAlignment="1">
      <alignment horizontal="center"/>
    </xf>
    <xf numFmtId="0" fontId="4" fillId="0" borderId="11" xfId="9" applyBorder="1" applyAlignment="1">
      <alignment horizontal="center"/>
    </xf>
    <xf numFmtId="0" fontId="3" fillId="0" borderId="5" xfId="9" applyFont="1" applyBorder="1" applyAlignment="1">
      <alignment horizontal="center"/>
    </xf>
    <xf numFmtId="0" fontId="3" fillId="0" borderId="6" xfId="9" applyFont="1" applyBorder="1" applyAlignment="1">
      <alignment horizontal="center"/>
    </xf>
    <xf numFmtId="0" fontId="4" fillId="0" borderId="11" xfId="10" applyBorder="1" applyAlignment="1">
      <alignment horizontal="center"/>
    </xf>
    <xf numFmtId="0" fontId="2" fillId="0" borderId="5" xfId="10" applyFont="1" applyBorder="1" applyAlignment="1">
      <alignment horizontal="center"/>
    </xf>
    <xf numFmtId="0" fontId="2" fillId="0" borderId="6" xfId="10" applyFont="1" applyBorder="1" applyAlignment="1">
      <alignment horizontal="center"/>
    </xf>
    <xf numFmtId="0" fontId="3" fillId="0" borderId="5" xfId="10" applyFont="1" applyBorder="1" applyAlignment="1">
      <alignment horizontal="center"/>
    </xf>
    <xf numFmtId="0" fontId="3" fillId="0" borderId="6" xfId="10" applyFont="1" applyBorder="1" applyAlignment="1">
      <alignment horizontal="center"/>
    </xf>
    <xf numFmtId="0" fontId="2" fillId="0" borderId="2" xfId="11" applyFont="1" applyBorder="1" applyAlignment="1">
      <alignment horizontal="center"/>
    </xf>
    <xf numFmtId="0" fontId="2" fillId="0" borderId="3" xfId="11" applyFont="1" applyBorder="1" applyAlignment="1">
      <alignment horizontal="center"/>
    </xf>
    <xf numFmtId="0" fontId="3" fillId="0" borderId="5" xfId="11" applyFont="1" applyBorder="1" applyAlignment="1">
      <alignment horizontal="center"/>
    </xf>
    <xf numFmtId="0" fontId="3" fillId="0" borderId="6" xfId="11" applyFont="1" applyBorder="1" applyAlignment="1">
      <alignment horizontal="center"/>
    </xf>
    <xf numFmtId="0" fontId="2" fillId="0" borderId="2" xfId="12" applyFont="1" applyBorder="1" applyAlignment="1">
      <alignment horizontal="center"/>
    </xf>
    <xf numFmtId="0" fontId="2" fillId="0" borderId="3" xfId="12" applyFont="1" applyBorder="1" applyAlignment="1">
      <alignment horizontal="center"/>
    </xf>
    <xf numFmtId="0" fontId="3" fillId="0" borderId="5" xfId="12" applyFont="1" applyBorder="1" applyAlignment="1">
      <alignment horizontal="center"/>
    </xf>
    <xf numFmtId="0" fontId="3" fillId="0" borderId="6" xfId="12" applyFont="1" applyBorder="1" applyAlignment="1">
      <alignment horizontal="center"/>
    </xf>
    <xf numFmtId="0" fontId="2" fillId="0" borderId="5" xfId="13" applyFont="1" applyBorder="1" applyAlignment="1">
      <alignment horizontal="center"/>
    </xf>
    <xf numFmtId="0" fontId="2" fillId="0" borderId="6" xfId="13" applyFont="1" applyBorder="1" applyAlignment="1">
      <alignment horizontal="center"/>
    </xf>
    <xf numFmtId="0" fontId="3" fillId="0" borderId="5" xfId="13" applyFont="1" applyBorder="1" applyAlignment="1">
      <alignment horizontal="center"/>
    </xf>
    <xf numFmtId="0" fontId="3" fillId="0" borderId="6" xfId="13" applyFont="1" applyBorder="1" applyAlignment="1">
      <alignment horizontal="center"/>
    </xf>
    <xf numFmtId="0" fontId="2" fillId="0" borderId="5" xfId="14" applyFont="1" applyBorder="1" applyAlignment="1">
      <alignment horizontal="center"/>
    </xf>
    <xf numFmtId="0" fontId="2" fillId="0" borderId="6" xfId="14" applyFont="1" applyBorder="1" applyAlignment="1">
      <alignment horizontal="center"/>
    </xf>
    <xf numFmtId="0" fontId="3" fillId="0" borderId="5" xfId="14" applyFont="1" applyBorder="1" applyAlignment="1">
      <alignment horizontal="center"/>
    </xf>
    <xf numFmtId="0" fontId="3" fillId="0" borderId="6" xfId="14" applyFont="1" applyBorder="1" applyAlignment="1">
      <alignment horizontal="center"/>
    </xf>
    <xf numFmtId="0" fontId="4" fillId="0" borderId="11" xfId="15" applyBorder="1" applyAlignment="1">
      <alignment horizontal="center"/>
    </xf>
    <xf numFmtId="0" fontId="2" fillId="0" borderId="5" xfId="15" applyFont="1" applyBorder="1" applyAlignment="1">
      <alignment horizontal="center"/>
    </xf>
    <xf numFmtId="0" fontId="2" fillId="0" borderId="6" xfId="15" applyFont="1" applyBorder="1" applyAlignment="1">
      <alignment horizontal="center"/>
    </xf>
    <xf numFmtId="0" fontId="3" fillId="0" borderId="5" xfId="15" applyFont="1" applyBorder="1" applyAlignment="1">
      <alignment horizontal="center"/>
    </xf>
    <xf numFmtId="0" fontId="3" fillId="0" borderId="6" xfId="15" applyFont="1" applyBorder="1" applyAlignment="1">
      <alignment horizontal="center"/>
    </xf>
    <xf numFmtId="0" fontId="2" fillId="0" borderId="5" xfId="16" applyFont="1" applyBorder="1" applyAlignment="1">
      <alignment horizontal="center"/>
    </xf>
    <xf numFmtId="0" fontId="2" fillId="0" borderId="6" xfId="16" applyFont="1" applyBorder="1" applyAlignment="1">
      <alignment horizontal="center"/>
    </xf>
    <xf numFmtId="0" fontId="3" fillId="0" borderId="5" xfId="16" applyFont="1" applyBorder="1" applyAlignment="1">
      <alignment horizontal="center"/>
    </xf>
    <xf numFmtId="0" fontId="3" fillId="0" borderId="6" xfId="16" applyFont="1" applyBorder="1" applyAlignment="1">
      <alignment horizontal="center"/>
    </xf>
    <xf numFmtId="0" fontId="2" fillId="0" borderId="2" xfId="17" applyFont="1" applyBorder="1" applyAlignment="1">
      <alignment horizontal="center"/>
    </xf>
    <xf numFmtId="0" fontId="2" fillId="0" borderId="3" xfId="17" applyFont="1" applyBorder="1" applyAlignment="1">
      <alignment horizontal="center"/>
    </xf>
    <xf numFmtId="0" fontId="3" fillId="0" borderId="5" xfId="17" applyFont="1" applyBorder="1" applyAlignment="1">
      <alignment horizontal="center"/>
    </xf>
    <xf numFmtId="0" fontId="3" fillId="0" borderId="6" xfId="17" applyFont="1" applyBorder="1" applyAlignment="1">
      <alignment horizontal="center"/>
    </xf>
    <xf numFmtId="0" fontId="2" fillId="0" borderId="5" xfId="18" applyFont="1" applyBorder="1" applyAlignment="1">
      <alignment horizontal="center"/>
    </xf>
    <xf numFmtId="0" fontId="2" fillId="0" borderId="6" xfId="18" applyFont="1" applyBorder="1" applyAlignment="1">
      <alignment horizontal="center"/>
    </xf>
    <xf numFmtId="0" fontId="3" fillId="0" borderId="5" xfId="18" applyFont="1" applyBorder="1" applyAlignment="1">
      <alignment horizontal="center"/>
    </xf>
    <xf numFmtId="0" fontId="3" fillId="0" borderId="6" xfId="18" applyFont="1" applyBorder="1" applyAlignment="1">
      <alignment horizontal="center"/>
    </xf>
    <xf numFmtId="0" fontId="2" fillId="0" borderId="2" xfId="19" applyFont="1" applyBorder="1" applyAlignment="1">
      <alignment horizontal="center"/>
    </xf>
    <xf numFmtId="0" fontId="2" fillId="0" borderId="3" xfId="19" applyFont="1" applyBorder="1" applyAlignment="1">
      <alignment horizontal="center"/>
    </xf>
    <xf numFmtId="0" fontId="3" fillId="0" borderId="5" xfId="19" applyFont="1" applyBorder="1" applyAlignment="1">
      <alignment horizontal="center"/>
    </xf>
    <xf numFmtId="0" fontId="3" fillId="0" borderId="6" xfId="19" applyFont="1" applyBorder="1" applyAlignment="1">
      <alignment horizontal="center"/>
    </xf>
    <xf numFmtId="0" fontId="4" fillId="0" borderId="11" xfId="20" applyBorder="1" applyAlignment="1">
      <alignment horizontal="center"/>
    </xf>
    <xf numFmtId="0" fontId="2" fillId="0" borderId="5" xfId="20" applyFont="1" applyBorder="1" applyAlignment="1">
      <alignment horizontal="center"/>
    </xf>
    <xf numFmtId="0" fontId="2" fillId="0" borderId="6" xfId="20" applyFont="1" applyBorder="1" applyAlignment="1">
      <alignment horizontal="center"/>
    </xf>
    <xf numFmtId="0" fontId="3" fillId="0" borderId="5" xfId="20" applyFont="1" applyBorder="1" applyAlignment="1">
      <alignment horizontal="center"/>
    </xf>
    <xf numFmtId="0" fontId="3" fillId="0" borderId="6" xfId="20" applyFont="1" applyBorder="1" applyAlignment="1">
      <alignment horizontal="center"/>
    </xf>
    <xf numFmtId="0" fontId="4" fillId="0" borderId="11" xfId="21" applyBorder="1" applyAlignment="1">
      <alignment horizontal="center"/>
    </xf>
    <xf numFmtId="0" fontId="2" fillId="0" borderId="5" xfId="21" applyFont="1" applyBorder="1" applyAlignment="1">
      <alignment horizontal="center"/>
    </xf>
    <xf numFmtId="0" fontId="2" fillId="0" borderId="6" xfId="21" applyFont="1" applyBorder="1" applyAlignment="1">
      <alignment horizontal="center"/>
    </xf>
    <xf numFmtId="0" fontId="3" fillId="0" borderId="5" xfId="21" applyFont="1" applyBorder="1" applyAlignment="1">
      <alignment horizontal="center"/>
    </xf>
    <xf numFmtId="0" fontId="3" fillId="0" borderId="6" xfId="21" applyFont="1" applyBorder="1" applyAlignment="1">
      <alignment horizontal="center"/>
    </xf>
    <xf numFmtId="0" fontId="3" fillId="0" borderId="5" xfId="22" applyFont="1" applyBorder="1" applyAlignment="1">
      <alignment horizontal="center"/>
    </xf>
    <xf numFmtId="0" fontId="3" fillId="0" borderId="6" xfId="22" applyFont="1" applyBorder="1" applyAlignment="1">
      <alignment horizontal="center"/>
    </xf>
    <xf numFmtId="0" fontId="4" fillId="0" borderId="11" xfId="22" applyBorder="1" applyAlignment="1">
      <alignment horizontal="center"/>
    </xf>
    <xf numFmtId="0" fontId="2" fillId="0" borderId="2" xfId="22" applyFont="1" applyBorder="1" applyAlignment="1">
      <alignment horizontal="center"/>
    </xf>
    <xf numFmtId="0" fontId="2" fillId="0" borderId="3" xfId="2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</cellXfs>
  <cellStyles count="24">
    <cellStyle name="Денежный" xfId="1" builtinId="4"/>
    <cellStyle name="Обычный" xfId="0" builtinId="0"/>
    <cellStyle name="Обычный_В15" xfId="4"/>
    <cellStyle name="Обычный_В17" xfId="7"/>
    <cellStyle name="Обычный_В18" xfId="8"/>
    <cellStyle name="Обычный_В19" xfId="9"/>
    <cellStyle name="Обычный_В20" xfId="10"/>
    <cellStyle name="Обычный_В21" xfId="11"/>
    <cellStyle name="Обычный_В22" xfId="12"/>
    <cellStyle name="Обычный_В23" xfId="13"/>
    <cellStyle name="Обычный_В24" xfId="14"/>
    <cellStyle name="Обычный_В25" xfId="15"/>
    <cellStyle name="Обычный_В26" xfId="16"/>
    <cellStyle name="Обычный_В27" xfId="17"/>
    <cellStyle name="Обычный_В28" xfId="18"/>
    <cellStyle name="Обычный_В30" xfId="19"/>
    <cellStyle name="Обычный_В32" xfId="20"/>
    <cellStyle name="Обычный_В34" xfId="21"/>
    <cellStyle name="Обычный_В36" xfId="22"/>
    <cellStyle name="Обычный_Лист1" xfId="2"/>
    <cellStyle name="Обычный_Лист12" xfId="6"/>
    <cellStyle name="Обычный_Лист2" xfId="23"/>
    <cellStyle name="Обычный_Лист3" xfId="5"/>
    <cellStyle name="Обычный_Лист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30" workbookViewId="0">
      <selection activeCell="G9" sqref="G9"/>
    </sheetView>
  </sheetViews>
  <sheetFormatPr defaultRowHeight="15" x14ac:dyDescent="0.25"/>
  <cols>
    <col min="2" max="2" width="38.140625" customWidth="1"/>
    <col min="4" max="4" width="13.28515625" customWidth="1"/>
    <col min="5" max="5" width="11.5703125" customWidth="1"/>
  </cols>
  <sheetData>
    <row r="1" spans="1:5" ht="15.75" x14ac:dyDescent="0.25">
      <c r="A1" s="237"/>
      <c r="B1" s="46" t="s">
        <v>0</v>
      </c>
      <c r="C1" s="237"/>
      <c r="D1" s="237"/>
      <c r="E1" s="237"/>
    </row>
    <row r="2" spans="1:5" x14ac:dyDescent="0.25">
      <c r="A2" s="237"/>
      <c r="B2" s="237"/>
      <c r="C2" s="237"/>
      <c r="D2" s="237"/>
      <c r="E2" s="237"/>
    </row>
    <row r="3" spans="1:5" x14ac:dyDescent="0.25">
      <c r="A3" s="237"/>
      <c r="B3" s="237" t="s">
        <v>1</v>
      </c>
      <c r="C3" s="237"/>
      <c r="D3" s="237"/>
      <c r="E3" s="237"/>
    </row>
    <row r="4" spans="1:5" x14ac:dyDescent="0.25">
      <c r="A4" s="237"/>
      <c r="B4" s="237" t="s">
        <v>99</v>
      </c>
      <c r="C4" s="237"/>
      <c r="D4" s="237"/>
      <c r="E4" s="237"/>
    </row>
    <row r="5" spans="1:5" x14ac:dyDescent="0.25">
      <c r="A5" s="237"/>
      <c r="B5" s="237" t="s">
        <v>60</v>
      </c>
      <c r="C5" s="237"/>
      <c r="D5" s="237"/>
      <c r="E5" s="237"/>
    </row>
    <row r="6" spans="1:5" x14ac:dyDescent="0.25">
      <c r="A6" s="500"/>
      <c r="B6" s="500"/>
      <c r="C6" s="500"/>
      <c r="D6" s="466"/>
      <c r="E6" s="467"/>
    </row>
    <row r="7" spans="1:5" x14ac:dyDescent="0.25">
      <c r="A7" s="468"/>
      <c r="B7" s="468"/>
      <c r="C7" s="468"/>
      <c r="D7" s="399"/>
      <c r="E7" s="469"/>
    </row>
    <row r="8" spans="1:5" ht="15.75" x14ac:dyDescent="0.25">
      <c r="A8" s="470"/>
      <c r="B8" s="47" t="s">
        <v>3</v>
      </c>
      <c r="C8" s="48" t="s">
        <v>4</v>
      </c>
      <c r="D8" s="498" t="s">
        <v>5</v>
      </c>
      <c r="E8" s="499"/>
    </row>
    <row r="9" spans="1:5" ht="15.75" x14ac:dyDescent="0.25">
      <c r="A9" s="470"/>
      <c r="B9" s="47" t="s">
        <v>6</v>
      </c>
      <c r="C9" s="48" t="s">
        <v>7</v>
      </c>
      <c r="D9" s="501" t="s">
        <v>100</v>
      </c>
      <c r="E9" s="502"/>
    </row>
    <row r="10" spans="1:5" x14ac:dyDescent="0.25">
      <c r="A10" s="31"/>
      <c r="B10" s="25" t="s">
        <v>61</v>
      </c>
      <c r="C10" s="31"/>
      <c r="D10" s="32">
        <v>-331833.71999999997</v>
      </c>
      <c r="E10" s="487"/>
    </row>
    <row r="11" spans="1:5" x14ac:dyDescent="0.25">
      <c r="A11" s="31"/>
      <c r="B11" s="465" t="s">
        <v>9</v>
      </c>
      <c r="C11" s="31" t="s">
        <v>10</v>
      </c>
      <c r="D11" s="31">
        <v>8134.1</v>
      </c>
      <c r="E11" s="31"/>
    </row>
    <row r="12" spans="1:5" x14ac:dyDescent="0.25">
      <c r="A12" s="31"/>
      <c r="B12" s="465" t="s">
        <v>11</v>
      </c>
      <c r="C12" s="31" t="s">
        <v>10</v>
      </c>
      <c r="D12" s="31">
        <v>6467.2</v>
      </c>
      <c r="E12" s="31"/>
    </row>
    <row r="13" spans="1:5" x14ac:dyDescent="0.25">
      <c r="A13" s="31"/>
      <c r="B13" s="25" t="s">
        <v>12</v>
      </c>
      <c r="C13" s="31" t="s">
        <v>13</v>
      </c>
      <c r="D13" s="22">
        <v>303829.14</v>
      </c>
      <c r="E13" s="31"/>
    </row>
    <row r="14" spans="1:5" x14ac:dyDescent="0.25">
      <c r="A14" s="31"/>
      <c r="B14" s="31"/>
      <c r="C14" s="31"/>
      <c r="D14" s="31"/>
      <c r="E14" s="31"/>
    </row>
    <row r="15" spans="1:5" ht="15.75" x14ac:dyDescent="0.25">
      <c r="A15" s="31"/>
      <c r="B15" s="21" t="s">
        <v>14</v>
      </c>
      <c r="C15" s="31"/>
      <c r="D15" s="31"/>
      <c r="E15" s="31"/>
    </row>
    <row r="16" spans="1:5" x14ac:dyDescent="0.25">
      <c r="A16" s="31">
        <v>1</v>
      </c>
      <c r="B16" s="31" t="s">
        <v>15</v>
      </c>
      <c r="C16" s="31" t="s">
        <v>13</v>
      </c>
      <c r="D16" s="22">
        <v>258129.59</v>
      </c>
      <c r="E16" s="31"/>
    </row>
    <row r="17" spans="1:5" x14ac:dyDescent="0.25">
      <c r="A17" s="31">
        <v>2</v>
      </c>
      <c r="B17" s="31" t="s">
        <v>101</v>
      </c>
      <c r="C17" s="31"/>
      <c r="D17" s="22">
        <f>750+3000+6000</f>
        <v>9750</v>
      </c>
      <c r="E17" s="31"/>
    </row>
    <row r="18" spans="1:5" ht="15.75" x14ac:dyDescent="0.25">
      <c r="A18" s="31"/>
      <c r="B18" s="21" t="s">
        <v>17</v>
      </c>
      <c r="C18" s="31"/>
      <c r="D18" s="26">
        <f>D16+D17</f>
        <v>267879.58999999997</v>
      </c>
      <c r="E18" s="31"/>
    </row>
    <row r="19" spans="1:5" ht="15.75" x14ac:dyDescent="0.25">
      <c r="A19" s="31"/>
      <c r="B19" s="21"/>
      <c r="C19" s="31"/>
      <c r="D19" s="26"/>
      <c r="E19" s="31"/>
    </row>
    <row r="20" spans="1:5" ht="15.75" x14ac:dyDescent="0.25">
      <c r="A20" s="31"/>
      <c r="B20" s="21" t="s">
        <v>18</v>
      </c>
      <c r="C20" s="31"/>
      <c r="D20" s="22"/>
      <c r="E20" s="32" t="s">
        <v>19</v>
      </c>
    </row>
    <row r="21" spans="1:5" x14ac:dyDescent="0.25">
      <c r="A21" s="465" t="s">
        <v>20</v>
      </c>
      <c r="B21" s="25" t="s">
        <v>21</v>
      </c>
      <c r="C21" s="31"/>
      <c r="D21" s="26">
        <f>D22+D27+D26</f>
        <v>123447.15</v>
      </c>
      <c r="E21" s="26">
        <f>E22</f>
        <v>21960.848139999998</v>
      </c>
    </row>
    <row r="22" spans="1:5" x14ac:dyDescent="0.25">
      <c r="A22" s="31">
        <v>1</v>
      </c>
      <c r="B22" s="22" t="s">
        <v>22</v>
      </c>
      <c r="C22" s="31" t="s">
        <v>13</v>
      </c>
      <c r="D22" s="26">
        <f>D23+D24+D25</f>
        <v>108717.06999999999</v>
      </c>
      <c r="E22" s="26">
        <f>E23+E24+E25</f>
        <v>21960.848139999998</v>
      </c>
    </row>
    <row r="23" spans="1:5" x14ac:dyDescent="0.25">
      <c r="A23" s="31"/>
      <c r="B23" s="31" t="s">
        <v>23</v>
      </c>
      <c r="C23" s="31"/>
      <c r="D23" s="31">
        <v>27168.42</v>
      </c>
      <c r="E23" s="32">
        <f>D23*20.2%</f>
        <v>5488.0208399999992</v>
      </c>
    </row>
    <row r="24" spans="1:5" x14ac:dyDescent="0.25">
      <c r="A24" s="31"/>
      <c r="B24" s="31" t="s">
        <v>24</v>
      </c>
      <c r="C24" s="31"/>
      <c r="D24" s="473">
        <v>48003.839999999997</v>
      </c>
      <c r="E24" s="32">
        <f>D24*20.2%</f>
        <v>9696.7756799999988</v>
      </c>
    </row>
    <row r="25" spans="1:5" x14ac:dyDescent="0.25">
      <c r="A25" s="31"/>
      <c r="B25" s="31" t="s">
        <v>25</v>
      </c>
      <c r="C25" s="31"/>
      <c r="D25" s="31">
        <v>33544.81</v>
      </c>
      <c r="E25" s="32">
        <f>D25*20.2%</f>
        <v>6776.0516199999993</v>
      </c>
    </row>
    <row r="26" spans="1:5" x14ac:dyDescent="0.25">
      <c r="A26" s="31"/>
      <c r="B26" s="31" t="s">
        <v>102</v>
      </c>
      <c r="C26" s="31"/>
      <c r="D26" s="31">
        <v>3292.9</v>
      </c>
      <c r="E26" s="32"/>
    </row>
    <row r="27" spans="1:5" x14ac:dyDescent="0.25">
      <c r="A27" s="31">
        <v>2</v>
      </c>
      <c r="B27" s="31" t="s">
        <v>26</v>
      </c>
      <c r="C27" s="31"/>
      <c r="D27" s="31">
        <v>11437.18</v>
      </c>
      <c r="E27" s="32"/>
    </row>
    <row r="28" spans="1:5" x14ac:dyDescent="0.25">
      <c r="A28" s="465" t="s">
        <v>27</v>
      </c>
      <c r="B28" s="30" t="s">
        <v>28</v>
      </c>
      <c r="C28" s="31"/>
      <c r="D28" s="22">
        <f>D29+D30</f>
        <v>66461.740000000005</v>
      </c>
      <c r="E28" s="26">
        <f>E29</f>
        <v>12363.03024</v>
      </c>
    </row>
    <row r="29" spans="1:5" x14ac:dyDescent="0.25">
      <c r="A29" s="31">
        <v>1</v>
      </c>
      <c r="B29" s="31" t="s">
        <v>29</v>
      </c>
      <c r="C29" s="31"/>
      <c r="D29" s="31">
        <v>61203.12</v>
      </c>
      <c r="E29" s="32">
        <f>D29*20.2%</f>
        <v>12363.03024</v>
      </c>
    </row>
    <row r="30" spans="1:5" x14ac:dyDescent="0.25">
      <c r="A30" s="31">
        <v>2</v>
      </c>
      <c r="B30" s="31" t="s">
        <v>26</v>
      </c>
      <c r="C30" s="31"/>
      <c r="D30" s="31">
        <v>5258.62</v>
      </c>
      <c r="E30" s="31"/>
    </row>
    <row r="31" spans="1:5" x14ac:dyDescent="0.25">
      <c r="A31" s="465" t="s">
        <v>30</v>
      </c>
      <c r="B31" s="22" t="s">
        <v>31</v>
      </c>
      <c r="C31" s="31"/>
      <c r="D31" s="26">
        <f>D32+D33+D34+D35+D36+D37+D38</f>
        <v>50070.00073</v>
      </c>
      <c r="E31" s="31"/>
    </row>
    <row r="32" spans="1:5" x14ac:dyDescent="0.25">
      <c r="A32" s="31"/>
      <c r="B32" s="31" t="s">
        <v>32</v>
      </c>
      <c r="C32" s="31"/>
      <c r="D32" s="32">
        <f>D18*4.7%</f>
        <v>12590.340729999998</v>
      </c>
      <c r="E32" s="31"/>
    </row>
    <row r="33" spans="1:5" x14ac:dyDescent="0.25">
      <c r="A33" s="31"/>
      <c r="B33" s="31" t="s">
        <v>62</v>
      </c>
      <c r="C33" s="31"/>
      <c r="D33" s="31">
        <v>1281.8800000000001</v>
      </c>
      <c r="E33" s="31"/>
    </row>
    <row r="34" spans="1:5" x14ac:dyDescent="0.25">
      <c r="A34" s="31"/>
      <c r="B34" s="31" t="s">
        <v>52</v>
      </c>
      <c r="C34" s="31"/>
      <c r="D34" s="31">
        <v>0</v>
      </c>
      <c r="E34" s="31"/>
    </row>
    <row r="35" spans="1:5" x14ac:dyDescent="0.25">
      <c r="A35" s="31"/>
      <c r="B35" s="31" t="s">
        <v>34</v>
      </c>
      <c r="C35" s="31"/>
      <c r="D35" s="32">
        <f>5073.07+5043.26</f>
        <v>10116.33</v>
      </c>
      <c r="E35" s="31"/>
    </row>
    <row r="36" spans="1:5" x14ac:dyDescent="0.25">
      <c r="A36" s="31"/>
      <c r="B36" s="474" t="s">
        <v>103</v>
      </c>
      <c r="C36" s="31"/>
      <c r="D36" s="31">
        <v>17528.89</v>
      </c>
      <c r="E36" s="31"/>
    </row>
    <row r="37" spans="1:5" x14ac:dyDescent="0.25">
      <c r="A37" s="31"/>
      <c r="B37" s="31" t="s">
        <v>36</v>
      </c>
      <c r="C37" s="31"/>
      <c r="D37" s="31">
        <v>3089.8</v>
      </c>
      <c r="E37" s="31"/>
    </row>
    <row r="38" spans="1:5" x14ac:dyDescent="0.25">
      <c r="A38" s="31"/>
      <c r="B38" s="31" t="s">
        <v>38</v>
      </c>
      <c r="C38" s="31"/>
      <c r="D38" s="31">
        <f>2797.58+2665.18</f>
        <v>5462.76</v>
      </c>
      <c r="E38" s="31"/>
    </row>
    <row r="39" spans="1:5" x14ac:dyDescent="0.25">
      <c r="A39" s="31" t="s">
        <v>88</v>
      </c>
      <c r="B39" s="22" t="s">
        <v>39</v>
      </c>
      <c r="C39" s="31"/>
      <c r="D39" s="26">
        <f>D40+D41</f>
        <v>42186.06</v>
      </c>
      <c r="E39" s="26">
        <f>E40</f>
        <v>6947.7617199999995</v>
      </c>
    </row>
    <row r="40" spans="1:5" x14ac:dyDescent="0.25">
      <c r="A40" s="31"/>
      <c r="B40" s="31" t="s">
        <v>40</v>
      </c>
      <c r="C40" s="31"/>
      <c r="D40" s="32">
        <v>34394.86</v>
      </c>
      <c r="E40" s="32">
        <f>D40*20.2%</f>
        <v>6947.7617199999995</v>
      </c>
    </row>
    <row r="41" spans="1:5" x14ac:dyDescent="0.25">
      <c r="A41" s="31"/>
      <c r="B41" s="31" t="s">
        <v>41</v>
      </c>
      <c r="C41" s="31"/>
      <c r="D41" s="32">
        <v>7791.2</v>
      </c>
      <c r="E41" s="31"/>
    </row>
    <row r="42" spans="1:5" x14ac:dyDescent="0.25">
      <c r="A42" s="31" t="s">
        <v>89</v>
      </c>
      <c r="B42" s="22" t="s">
        <v>42</v>
      </c>
      <c r="C42" s="31"/>
      <c r="D42" s="26">
        <f>D21+E21+D28+E28+D31+D39+E39</f>
        <v>323436.59083</v>
      </c>
      <c r="E42" s="31"/>
    </row>
    <row r="43" spans="1:5" x14ac:dyDescent="0.25">
      <c r="A43" s="31" t="s">
        <v>90</v>
      </c>
      <c r="B43" s="31" t="s">
        <v>43</v>
      </c>
      <c r="C43" s="31"/>
      <c r="D43" s="26">
        <f>(D18*6%)</f>
        <v>16072.775399999997</v>
      </c>
      <c r="E43" s="31"/>
    </row>
    <row r="44" spans="1:5" x14ac:dyDescent="0.25">
      <c r="A44" s="31" t="s">
        <v>91</v>
      </c>
      <c r="B44" s="22" t="s">
        <v>44</v>
      </c>
      <c r="C44" s="31"/>
      <c r="D44" s="26">
        <f>D42+D43</f>
        <v>339509.36622999999</v>
      </c>
      <c r="E44" s="31"/>
    </row>
    <row r="45" spans="1:5" x14ac:dyDescent="0.25">
      <c r="A45" s="31"/>
      <c r="B45" s="31"/>
      <c r="C45" s="31"/>
      <c r="D45" s="31"/>
      <c r="E45" s="31"/>
    </row>
    <row r="46" spans="1:5" x14ac:dyDescent="0.25">
      <c r="A46" s="31" t="s">
        <v>92</v>
      </c>
      <c r="B46" s="22" t="s">
        <v>104</v>
      </c>
      <c r="C46" s="31"/>
      <c r="D46" s="26">
        <f>D18-D44</f>
        <v>-71629.776230000018</v>
      </c>
      <c r="E46" s="31"/>
    </row>
    <row r="47" spans="1:5" x14ac:dyDescent="0.25">
      <c r="A47" s="31" t="s">
        <v>93</v>
      </c>
      <c r="B47" s="22" t="s">
        <v>45</v>
      </c>
      <c r="C47" s="31"/>
      <c r="D47" s="26">
        <f>D10+D46</f>
        <v>-403463.49622999999</v>
      </c>
      <c r="E47" s="31"/>
    </row>
    <row r="48" spans="1:5" x14ac:dyDescent="0.25">
      <c r="A48" s="399"/>
      <c r="B48" s="34"/>
      <c r="C48" s="399"/>
      <c r="D48" s="35"/>
      <c r="E48" s="399"/>
    </row>
    <row r="49" spans="1:5" x14ac:dyDescent="0.25">
      <c r="A49" s="237"/>
      <c r="B49" s="237" t="s">
        <v>46</v>
      </c>
      <c r="C49" s="237"/>
      <c r="D49" s="237" t="s">
        <v>47</v>
      </c>
      <c r="E49" s="237"/>
    </row>
    <row r="50" spans="1:5" x14ac:dyDescent="0.25">
      <c r="A50" s="237"/>
      <c r="B50" s="237" t="s">
        <v>48</v>
      </c>
      <c r="C50" s="237"/>
      <c r="D50" s="237" t="s">
        <v>49</v>
      </c>
      <c r="E50" s="237"/>
    </row>
    <row r="51" spans="1:5" x14ac:dyDescent="0.25">
      <c r="A51" s="237"/>
      <c r="B51" s="237"/>
      <c r="C51" s="237"/>
      <c r="D51" s="237"/>
      <c r="E51" s="237"/>
    </row>
  </sheetData>
  <mergeCells count="3">
    <mergeCell ref="D8:E8"/>
    <mergeCell ref="A6:C6"/>
    <mergeCell ref="D9:E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D13" sqref="D13"/>
    </sheetView>
  </sheetViews>
  <sheetFormatPr defaultRowHeight="15" x14ac:dyDescent="0.25"/>
  <cols>
    <col min="2" max="2" width="38.5703125" customWidth="1"/>
    <col min="4" max="4" width="10.7109375" customWidth="1"/>
    <col min="5" max="5" width="10.42578125" customWidth="1"/>
  </cols>
  <sheetData>
    <row r="1" spans="1:5" ht="15.75" x14ac:dyDescent="0.25">
      <c r="A1" s="146"/>
      <c r="B1" s="147" t="s">
        <v>0</v>
      </c>
      <c r="C1" s="146"/>
      <c r="D1" s="146"/>
      <c r="E1" s="146"/>
    </row>
    <row r="2" spans="1:5" x14ac:dyDescent="0.25">
      <c r="A2" s="146"/>
      <c r="B2" s="146" t="s">
        <v>125</v>
      </c>
      <c r="C2" s="146"/>
      <c r="D2" s="146"/>
      <c r="E2" s="146"/>
    </row>
    <row r="3" spans="1:5" x14ac:dyDescent="0.25">
      <c r="A3" s="146"/>
      <c r="B3" s="148" t="s">
        <v>126</v>
      </c>
      <c r="C3" s="146"/>
      <c r="D3" s="146"/>
      <c r="E3" s="146"/>
    </row>
    <row r="4" spans="1:5" x14ac:dyDescent="0.25">
      <c r="A4" s="533"/>
      <c r="B4" s="533"/>
      <c r="C4" s="533"/>
      <c r="D4" s="406"/>
      <c r="E4" s="149"/>
    </row>
    <row r="5" spans="1:5" x14ac:dyDescent="0.25">
      <c r="A5" s="150"/>
      <c r="B5" s="150"/>
      <c r="C5" s="150"/>
      <c r="D5" s="151"/>
      <c r="E5" s="152"/>
    </row>
    <row r="6" spans="1:5" ht="15.75" x14ac:dyDescent="0.25">
      <c r="A6" s="150"/>
      <c r="B6" s="153" t="s">
        <v>3</v>
      </c>
      <c r="C6" s="154" t="s">
        <v>4</v>
      </c>
      <c r="D6" s="531" t="s">
        <v>5</v>
      </c>
      <c r="E6" s="532"/>
    </row>
    <row r="7" spans="1:5" ht="15.75" x14ac:dyDescent="0.25">
      <c r="A7" s="155"/>
      <c r="B7" s="153" t="s">
        <v>6</v>
      </c>
      <c r="C7" s="154" t="s">
        <v>7</v>
      </c>
      <c r="D7" s="534" t="s">
        <v>127</v>
      </c>
      <c r="E7" s="535"/>
    </row>
    <row r="8" spans="1:5" x14ac:dyDescent="0.25">
      <c r="A8" s="156"/>
      <c r="B8" s="156"/>
      <c r="C8" s="156"/>
      <c r="D8" s="157"/>
      <c r="E8" s="158"/>
    </row>
    <row r="9" spans="1:5" x14ac:dyDescent="0.25">
      <c r="A9" s="156"/>
      <c r="B9" s="159" t="s">
        <v>72</v>
      </c>
      <c r="C9" s="156"/>
      <c r="D9" s="157">
        <v>256605.67</v>
      </c>
      <c r="E9" s="158"/>
    </row>
    <row r="10" spans="1:5" x14ac:dyDescent="0.25">
      <c r="A10" s="160"/>
      <c r="B10" s="161" t="s">
        <v>9</v>
      </c>
      <c r="C10" s="160" t="s">
        <v>10</v>
      </c>
      <c r="D10" s="160">
        <v>4036</v>
      </c>
      <c r="E10" s="160"/>
    </row>
    <row r="11" spans="1:5" x14ac:dyDescent="0.25">
      <c r="A11" s="160"/>
      <c r="B11" s="161" t="s">
        <v>11</v>
      </c>
      <c r="C11" s="160" t="s">
        <v>10</v>
      </c>
      <c r="D11" s="160">
        <v>2430.8000000000002</v>
      </c>
      <c r="E11" s="160"/>
    </row>
    <row r="12" spans="1:5" x14ac:dyDescent="0.25">
      <c r="A12" s="160"/>
      <c r="B12" s="162" t="s">
        <v>12</v>
      </c>
      <c r="C12" s="160" t="s">
        <v>13</v>
      </c>
      <c r="D12" s="160">
        <v>122598.94</v>
      </c>
      <c r="E12" s="160"/>
    </row>
    <row r="13" spans="1:5" x14ac:dyDescent="0.25">
      <c r="A13" s="160"/>
      <c r="B13" s="160"/>
      <c r="C13" s="160"/>
      <c r="D13" s="160"/>
      <c r="E13" s="160"/>
    </row>
    <row r="14" spans="1:5" ht="15.75" x14ac:dyDescent="0.25">
      <c r="A14" s="160"/>
      <c r="B14" s="163" t="s">
        <v>14</v>
      </c>
      <c r="C14" s="160"/>
      <c r="D14" s="160"/>
      <c r="E14" s="160"/>
    </row>
    <row r="15" spans="1:5" x14ac:dyDescent="0.25">
      <c r="A15" s="160">
        <v>1</v>
      </c>
      <c r="B15" s="160" t="s">
        <v>15</v>
      </c>
      <c r="C15" s="160" t="s">
        <v>13</v>
      </c>
      <c r="D15" s="160">
        <v>80888.94</v>
      </c>
      <c r="E15" s="160"/>
    </row>
    <row r="16" spans="1:5" x14ac:dyDescent="0.25">
      <c r="A16" s="160">
        <v>2</v>
      </c>
      <c r="B16" s="13" t="s">
        <v>73</v>
      </c>
      <c r="C16" s="160"/>
      <c r="D16" s="160">
        <v>195967.74</v>
      </c>
      <c r="E16" s="160"/>
    </row>
    <row r="17" spans="1:5" ht="15.75" x14ac:dyDescent="0.25">
      <c r="A17" s="160"/>
      <c r="B17" s="163" t="s">
        <v>17</v>
      </c>
      <c r="C17" s="160"/>
      <c r="D17" s="164">
        <f>D15+D16</f>
        <v>276856.68</v>
      </c>
      <c r="E17" s="160"/>
    </row>
    <row r="18" spans="1:5" ht="15.75" x14ac:dyDescent="0.25">
      <c r="A18" s="160"/>
      <c r="B18" s="163"/>
      <c r="C18" s="160"/>
      <c r="D18" s="165"/>
      <c r="E18" s="160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D21+D23</f>
        <v>13602.91</v>
      </c>
      <c r="E20" s="26">
        <f>E21</f>
        <v>2679.5966599999997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</f>
        <v>13265.33</v>
      </c>
      <c r="E21" s="26">
        <f>E22</f>
        <v>2679.5966599999997</v>
      </c>
    </row>
    <row r="22" spans="1:5" x14ac:dyDescent="0.25">
      <c r="A22" s="20"/>
      <c r="B22" s="20" t="s">
        <v>23</v>
      </c>
      <c r="C22" s="20"/>
      <c r="D22" s="20">
        <v>13265.33</v>
      </c>
      <c r="E22" s="28">
        <f>D22*20.2%</f>
        <v>2679.5966599999997</v>
      </c>
    </row>
    <row r="23" spans="1:5" x14ac:dyDescent="0.25">
      <c r="A23" s="20">
        <v>2</v>
      </c>
      <c r="B23" s="27" t="s">
        <v>26</v>
      </c>
      <c r="C23" s="20"/>
      <c r="D23" s="20">
        <v>337.58</v>
      </c>
      <c r="E23" s="28"/>
    </row>
    <row r="24" spans="1:5" x14ac:dyDescent="0.25">
      <c r="A24" s="24" t="s">
        <v>27</v>
      </c>
      <c r="B24" s="30" t="s">
        <v>28</v>
      </c>
      <c r="C24" s="20"/>
      <c r="D24" s="22">
        <f>D25+D26</f>
        <v>24785.329999999998</v>
      </c>
      <c r="E24" s="26">
        <f>E25</f>
        <v>4646.8423399999992</v>
      </c>
    </row>
    <row r="25" spans="1:5" x14ac:dyDescent="0.25">
      <c r="A25" s="20">
        <v>1</v>
      </c>
      <c r="B25" s="31" t="s">
        <v>29</v>
      </c>
      <c r="C25" s="20"/>
      <c r="D25" s="31">
        <v>23004.17</v>
      </c>
      <c r="E25" s="28">
        <f>D25*20.2%</f>
        <v>4646.8423399999992</v>
      </c>
    </row>
    <row r="26" spans="1:5" x14ac:dyDescent="0.25">
      <c r="A26" s="20">
        <v>2</v>
      </c>
      <c r="B26" s="31" t="s">
        <v>26</v>
      </c>
      <c r="C26" s="20"/>
      <c r="D26" s="31">
        <v>1781.16</v>
      </c>
      <c r="E26" s="20"/>
    </row>
    <row r="27" spans="1:5" x14ac:dyDescent="0.25">
      <c r="A27" s="24" t="s">
        <v>30</v>
      </c>
      <c r="B27" s="22" t="s">
        <v>31</v>
      </c>
      <c r="C27" s="20"/>
      <c r="D27" s="26">
        <f>D28+D29+D31+D32+D34+D37+D30+D35+D36+D33</f>
        <v>338829.36400000006</v>
      </c>
      <c r="E27" s="20"/>
    </row>
    <row r="28" spans="1:5" x14ac:dyDescent="0.25">
      <c r="A28" s="20"/>
      <c r="B28" s="20" t="s">
        <v>32</v>
      </c>
      <c r="C28" s="20"/>
      <c r="D28" s="28">
        <f>D17*5%</f>
        <v>13842.834000000001</v>
      </c>
      <c r="E28" s="20"/>
    </row>
    <row r="29" spans="1:5" x14ac:dyDescent="0.25">
      <c r="A29" s="20"/>
      <c r="B29" s="20" t="s">
        <v>62</v>
      </c>
      <c r="C29" s="20"/>
      <c r="D29" s="20">
        <v>460.11</v>
      </c>
      <c r="E29" s="20"/>
    </row>
    <row r="30" spans="1:5" x14ac:dyDescent="0.25">
      <c r="A30" s="20"/>
      <c r="B30" s="20" t="s">
        <v>33</v>
      </c>
      <c r="C30" s="20"/>
      <c r="D30" s="20">
        <v>2608</v>
      </c>
      <c r="E30" s="20"/>
    </row>
    <row r="31" spans="1:5" x14ac:dyDescent="0.25">
      <c r="A31" s="20"/>
      <c r="B31" s="20" t="s">
        <v>34</v>
      </c>
      <c r="C31" s="20"/>
      <c r="D31" s="28">
        <f>1906.79+1895.59</f>
        <v>3802.38</v>
      </c>
      <c r="E31" s="20"/>
    </row>
    <row r="32" spans="1:5" x14ac:dyDescent="0.25">
      <c r="A32" s="20"/>
      <c r="B32" s="27" t="s">
        <v>36</v>
      </c>
      <c r="C32" s="20"/>
      <c r="D32" s="20">
        <v>1161.3499999999999</v>
      </c>
      <c r="E32" s="20"/>
    </row>
    <row r="33" spans="1:5" x14ac:dyDescent="0.25">
      <c r="A33" s="20"/>
      <c r="B33" s="13" t="s">
        <v>52</v>
      </c>
      <c r="C33" s="20"/>
      <c r="D33" s="20">
        <v>0</v>
      </c>
      <c r="E33" s="20"/>
    </row>
    <row r="34" spans="1:5" x14ac:dyDescent="0.25">
      <c r="A34" s="20"/>
      <c r="B34" s="20" t="s">
        <v>38</v>
      </c>
      <c r="C34" s="20"/>
      <c r="D34" s="20">
        <f>1051.52+1001.75</f>
        <v>2053.27</v>
      </c>
      <c r="E34" s="20"/>
    </row>
    <row r="35" spans="1:5" x14ac:dyDescent="0.25">
      <c r="A35" s="20"/>
      <c r="B35" s="160" t="s">
        <v>128</v>
      </c>
      <c r="C35" s="20"/>
      <c r="D35" s="20">
        <v>124000</v>
      </c>
      <c r="E35" s="20"/>
    </row>
    <row r="36" spans="1:5" x14ac:dyDescent="0.25">
      <c r="A36" s="20"/>
      <c r="B36" s="160" t="s">
        <v>129</v>
      </c>
      <c r="C36" s="20"/>
      <c r="D36" s="20">
        <v>178901.42</v>
      </c>
      <c r="E36" s="20"/>
    </row>
    <row r="37" spans="1:5" x14ac:dyDescent="0.25">
      <c r="A37" s="20"/>
      <c r="B37" s="27" t="s">
        <v>74</v>
      </c>
      <c r="C37" s="20"/>
      <c r="D37" s="20">
        <v>12000</v>
      </c>
      <c r="E37" s="20"/>
    </row>
    <row r="38" spans="1:5" x14ac:dyDescent="0.25">
      <c r="A38" s="20"/>
      <c r="B38" s="22" t="s">
        <v>39</v>
      </c>
      <c r="C38" s="20"/>
      <c r="D38" s="26">
        <f>D39+D40</f>
        <v>15856.310000000001</v>
      </c>
      <c r="E38" s="26">
        <f>E39</f>
        <v>2611.4277200000001</v>
      </c>
    </row>
    <row r="39" spans="1:5" x14ac:dyDescent="0.25">
      <c r="A39" s="20"/>
      <c r="B39" s="31" t="s">
        <v>40</v>
      </c>
      <c r="C39" s="31"/>
      <c r="D39" s="32">
        <v>12927.86</v>
      </c>
      <c r="E39" s="28">
        <f>D39*20.2%</f>
        <v>2611.4277200000001</v>
      </c>
    </row>
    <row r="40" spans="1:5" x14ac:dyDescent="0.25">
      <c r="A40" s="20"/>
      <c r="B40" s="27" t="s">
        <v>41</v>
      </c>
      <c r="C40" s="20"/>
      <c r="D40" s="32">
        <v>2928.45</v>
      </c>
      <c r="E40" s="20"/>
    </row>
    <row r="41" spans="1:5" x14ac:dyDescent="0.25">
      <c r="A41" s="20"/>
      <c r="B41" s="22" t="s">
        <v>42</v>
      </c>
      <c r="C41" s="20"/>
      <c r="D41" s="26">
        <f>D20+E20+D24+E24+D27+D38+E38</f>
        <v>403011.78072000004</v>
      </c>
      <c r="E41" s="20"/>
    </row>
    <row r="42" spans="1:5" x14ac:dyDescent="0.25">
      <c r="A42" s="20"/>
      <c r="B42" s="20" t="s">
        <v>43</v>
      </c>
      <c r="C42" s="20"/>
      <c r="D42" s="26">
        <f>D17*6%</f>
        <v>16611.400799999999</v>
      </c>
      <c r="E42" s="20"/>
    </row>
    <row r="43" spans="1:5" x14ac:dyDescent="0.25">
      <c r="A43" s="20"/>
      <c r="B43" s="22" t="s">
        <v>44</v>
      </c>
      <c r="C43" s="20"/>
      <c r="D43" s="26">
        <f>D41+D42</f>
        <v>419623.18152000004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/>
      <c r="B45" s="22" t="s">
        <v>53</v>
      </c>
      <c r="C45" s="20"/>
      <c r="D45" s="26">
        <f>D17-D43</f>
        <v>-142766.50152000005</v>
      </c>
      <c r="E45" s="20"/>
    </row>
    <row r="46" spans="1:5" x14ac:dyDescent="0.25">
      <c r="A46" s="20"/>
      <c r="B46" s="22" t="s">
        <v>45</v>
      </c>
      <c r="C46" s="20"/>
      <c r="D46" s="26">
        <f>D9+D45</f>
        <v>113839.16847999996</v>
      </c>
      <c r="E46" s="20"/>
    </row>
    <row r="47" spans="1:5" x14ac:dyDescent="0.25">
      <c r="A47" s="33"/>
      <c r="B47" s="34"/>
      <c r="C47" s="33"/>
      <c r="D47" s="35"/>
      <c r="E47" s="33"/>
    </row>
    <row r="48" spans="1:5" x14ac:dyDescent="0.25">
      <c r="A48" s="36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B50" s="36" t="s">
        <v>48</v>
      </c>
      <c r="C50" s="36"/>
      <c r="D50" s="36" t="s">
        <v>49</v>
      </c>
      <c r="E50" s="36"/>
    </row>
  </sheetData>
  <mergeCells count="3">
    <mergeCell ref="D6:E6"/>
    <mergeCell ref="A4:C4"/>
    <mergeCell ref="D7:E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7" workbookViewId="0">
      <selection activeCell="D31" sqref="D31"/>
    </sheetView>
  </sheetViews>
  <sheetFormatPr defaultRowHeight="15" x14ac:dyDescent="0.25"/>
  <cols>
    <col min="2" max="2" width="39" customWidth="1"/>
    <col min="4" max="4" width="11.7109375" customWidth="1"/>
    <col min="5" max="5" width="9.7109375" customWidth="1"/>
  </cols>
  <sheetData>
    <row r="1" spans="1:5" ht="15.75" x14ac:dyDescent="0.25">
      <c r="A1" s="166"/>
      <c r="B1" s="167" t="s">
        <v>0</v>
      </c>
      <c r="C1" s="166"/>
      <c r="D1" s="166"/>
      <c r="E1" s="166"/>
    </row>
    <row r="2" spans="1:5" x14ac:dyDescent="0.25">
      <c r="A2" s="166"/>
      <c r="B2" s="166" t="s">
        <v>130</v>
      </c>
      <c r="C2" s="166"/>
      <c r="D2" s="166"/>
      <c r="E2" s="166"/>
    </row>
    <row r="3" spans="1:5" x14ac:dyDescent="0.25">
      <c r="A3" s="166"/>
      <c r="B3" s="168" t="s">
        <v>131</v>
      </c>
      <c r="C3" s="166"/>
      <c r="D3" s="166"/>
      <c r="E3" s="166"/>
    </row>
    <row r="4" spans="1:5" x14ac:dyDescent="0.25">
      <c r="A4" s="536"/>
      <c r="B4" s="536"/>
      <c r="C4" s="536"/>
      <c r="D4" s="407"/>
      <c r="E4" s="169"/>
    </row>
    <row r="5" spans="1:5" x14ac:dyDescent="0.25">
      <c r="A5" s="170"/>
      <c r="B5" s="170"/>
      <c r="C5" s="170"/>
      <c r="D5" s="171"/>
      <c r="E5" s="172"/>
    </row>
    <row r="6" spans="1:5" ht="15.75" x14ac:dyDescent="0.25">
      <c r="A6" s="170"/>
      <c r="B6" s="173" t="s">
        <v>3</v>
      </c>
      <c r="C6" s="174" t="s">
        <v>4</v>
      </c>
      <c r="D6" s="537" t="s">
        <v>5</v>
      </c>
      <c r="E6" s="538"/>
    </row>
    <row r="7" spans="1:5" ht="15.75" x14ac:dyDescent="0.25">
      <c r="A7" s="175"/>
      <c r="B7" s="173" t="s">
        <v>6</v>
      </c>
      <c r="C7" s="174" t="s">
        <v>7</v>
      </c>
      <c r="D7" s="539" t="s">
        <v>132</v>
      </c>
      <c r="E7" s="540"/>
    </row>
    <row r="8" spans="1:5" x14ac:dyDescent="0.25">
      <c r="A8" s="176"/>
      <c r="B8" s="176"/>
      <c r="C8" s="176"/>
      <c r="D8" s="177"/>
      <c r="E8" s="178"/>
    </row>
    <row r="9" spans="1:5" x14ac:dyDescent="0.25">
      <c r="A9" s="176"/>
      <c r="B9" s="179" t="s">
        <v>8</v>
      </c>
      <c r="C9" s="176"/>
      <c r="D9" s="177">
        <v>-83823.429999999993</v>
      </c>
      <c r="E9" s="178"/>
    </row>
    <row r="10" spans="1:5" x14ac:dyDescent="0.25">
      <c r="A10" s="180"/>
      <c r="B10" s="181" t="s">
        <v>9</v>
      </c>
      <c r="C10" s="180" t="s">
        <v>10</v>
      </c>
      <c r="D10" s="180">
        <v>8085.8</v>
      </c>
      <c r="E10" s="180"/>
    </row>
    <row r="11" spans="1:5" x14ac:dyDescent="0.25">
      <c r="A11" s="180"/>
      <c r="B11" s="181" t="s">
        <v>11</v>
      </c>
      <c r="C11" s="180" t="s">
        <v>10</v>
      </c>
      <c r="D11" s="180">
        <v>6343.7</v>
      </c>
      <c r="E11" s="180"/>
    </row>
    <row r="12" spans="1:5" x14ac:dyDescent="0.25">
      <c r="A12" s="180"/>
      <c r="B12" s="182" t="s">
        <v>12</v>
      </c>
      <c r="C12" s="180" t="s">
        <v>13</v>
      </c>
      <c r="D12" s="180">
        <f>132643.17*2</f>
        <v>265286.34000000003</v>
      </c>
      <c r="E12" s="180"/>
    </row>
    <row r="13" spans="1:5" x14ac:dyDescent="0.25">
      <c r="A13" s="180"/>
      <c r="B13" s="180"/>
      <c r="C13" s="180"/>
      <c r="D13" s="180"/>
      <c r="E13" s="180"/>
    </row>
    <row r="14" spans="1:5" ht="15.75" x14ac:dyDescent="0.25">
      <c r="A14" s="180"/>
      <c r="B14" s="183" t="s">
        <v>14</v>
      </c>
      <c r="C14" s="180"/>
      <c r="D14" s="180"/>
      <c r="E14" s="180"/>
    </row>
    <row r="15" spans="1:5" x14ac:dyDescent="0.25">
      <c r="A15" s="180">
        <v>1</v>
      </c>
      <c r="B15" s="180" t="s">
        <v>15</v>
      </c>
      <c r="C15" s="180" t="s">
        <v>13</v>
      </c>
      <c r="D15" s="180">
        <v>239388.42</v>
      </c>
      <c r="E15" s="180"/>
    </row>
    <row r="16" spans="1:5" x14ac:dyDescent="0.25">
      <c r="A16" s="180"/>
      <c r="B16" s="180"/>
      <c r="C16" s="180"/>
      <c r="D16" s="180"/>
      <c r="E16" s="180"/>
    </row>
    <row r="17" spans="1:5" ht="15.75" x14ac:dyDescent="0.25">
      <c r="A17" s="180"/>
      <c r="B17" s="183" t="s">
        <v>17</v>
      </c>
      <c r="C17" s="180"/>
      <c r="D17" s="184">
        <f>D15</f>
        <v>239388.42</v>
      </c>
      <c r="E17" s="180"/>
    </row>
    <row r="18" spans="1:5" ht="15.75" x14ac:dyDescent="0.25">
      <c r="A18" s="180"/>
      <c r="B18" s="183"/>
      <c r="C18" s="180"/>
      <c r="D18" s="184"/>
      <c r="E18" s="180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D21+D26+D25</f>
        <v>73290.17</v>
      </c>
      <c r="E20" s="26">
        <f>E21</f>
        <v>13638.920819999999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D22+D23+D24</f>
        <v>67519.41</v>
      </c>
      <c r="E21" s="26">
        <f>E22+E23+E24</f>
        <v>13638.920819999999</v>
      </c>
    </row>
    <row r="22" spans="1:5" x14ac:dyDescent="0.25">
      <c r="A22" s="20"/>
      <c r="B22" s="20" t="s">
        <v>23</v>
      </c>
      <c r="C22" s="20"/>
      <c r="D22" s="20">
        <v>17912.47</v>
      </c>
      <c r="E22" s="28">
        <f>D22*20.2%</f>
        <v>3618.3189400000001</v>
      </c>
    </row>
    <row r="23" spans="1:5" x14ac:dyDescent="0.25">
      <c r="A23" s="20"/>
      <c r="B23" s="20" t="s">
        <v>24</v>
      </c>
      <c r="C23" s="20"/>
      <c r="D23" s="29">
        <v>24234.46</v>
      </c>
      <c r="E23" s="28">
        <f>D23*20.2%</f>
        <v>4895.3609199999992</v>
      </c>
    </row>
    <row r="24" spans="1:5" x14ac:dyDescent="0.25">
      <c r="A24" s="20"/>
      <c r="B24" s="20" t="s">
        <v>25</v>
      </c>
      <c r="C24" s="20"/>
      <c r="D24" s="20">
        <v>25372.48</v>
      </c>
      <c r="E24" s="28">
        <f>D24*20.2%</f>
        <v>5125.2409599999992</v>
      </c>
    </row>
    <row r="25" spans="1:5" x14ac:dyDescent="0.25">
      <c r="A25" s="20"/>
      <c r="B25" s="20" t="s">
        <v>79</v>
      </c>
      <c r="C25" s="20"/>
      <c r="D25" s="20">
        <v>2475.75</v>
      </c>
      <c r="E25" s="28"/>
    </row>
    <row r="26" spans="1:5" x14ac:dyDescent="0.25">
      <c r="A26" s="20">
        <v>2</v>
      </c>
      <c r="B26" s="27" t="s">
        <v>26</v>
      </c>
      <c r="C26" s="20"/>
      <c r="D26" s="20">
        <v>3295.01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74645.850000000006</v>
      </c>
      <c r="E27" s="26">
        <f>E28</f>
        <v>12126.940719999999</v>
      </c>
    </row>
    <row r="28" spans="1:5" x14ac:dyDescent="0.25">
      <c r="A28" s="20">
        <v>1</v>
      </c>
      <c r="B28" s="31" t="s">
        <v>29</v>
      </c>
      <c r="C28" s="20"/>
      <c r="D28" s="31">
        <v>60034.36</v>
      </c>
      <c r="E28" s="28">
        <f>D28*20.2%</f>
        <v>12126.940719999999</v>
      </c>
    </row>
    <row r="29" spans="1:5" x14ac:dyDescent="0.25">
      <c r="A29" s="20">
        <v>2</v>
      </c>
      <c r="B29" s="31" t="s">
        <v>26</v>
      </c>
      <c r="C29" s="20"/>
      <c r="D29" s="31">
        <v>1378.14</v>
      </c>
      <c r="E29" s="20"/>
    </row>
    <row r="30" spans="1:5" x14ac:dyDescent="0.25">
      <c r="A30" s="20">
        <v>3</v>
      </c>
      <c r="B30" s="31" t="s">
        <v>121</v>
      </c>
      <c r="C30" s="20"/>
      <c r="D30" s="31">
        <v>13233.35</v>
      </c>
      <c r="E30" s="20"/>
    </row>
    <row r="31" spans="1:5" x14ac:dyDescent="0.25">
      <c r="A31" s="24" t="s">
        <v>30</v>
      </c>
      <c r="B31" s="22" t="s">
        <v>31</v>
      </c>
      <c r="C31" s="20"/>
      <c r="D31" s="26">
        <f>D32+D33+D34+D36+D37+D35</f>
        <v>30731.921000000002</v>
      </c>
      <c r="E31" s="20"/>
    </row>
    <row r="32" spans="1:5" x14ac:dyDescent="0.25">
      <c r="A32" s="20"/>
      <c r="B32" s="20" t="s">
        <v>32</v>
      </c>
      <c r="C32" s="20"/>
      <c r="D32" s="28">
        <f>D17*5%</f>
        <v>11969.421000000002</v>
      </c>
      <c r="E32" s="20"/>
    </row>
    <row r="33" spans="1:5" x14ac:dyDescent="0.25">
      <c r="A33" s="20"/>
      <c r="B33" s="20" t="s">
        <v>62</v>
      </c>
      <c r="C33" s="20"/>
      <c r="D33" s="20">
        <v>450.12</v>
      </c>
      <c r="E33" s="20"/>
    </row>
    <row r="34" spans="1:5" x14ac:dyDescent="0.25">
      <c r="A34" s="20"/>
      <c r="B34" s="20" t="s">
        <v>34</v>
      </c>
      <c r="C34" s="20"/>
      <c r="D34" s="28">
        <f>4976.19+4946.95</f>
        <v>9923.14</v>
      </c>
      <c r="E34" s="20"/>
    </row>
    <row r="35" spans="1:5" x14ac:dyDescent="0.25">
      <c r="A35" s="20"/>
      <c r="B35" s="13" t="s">
        <v>52</v>
      </c>
      <c r="C35" s="20"/>
      <c r="D35" s="28">
        <v>0</v>
      </c>
      <c r="E35" s="20"/>
    </row>
    <row r="36" spans="1:5" x14ac:dyDescent="0.25">
      <c r="A36" s="20"/>
      <c r="B36" s="27" t="s">
        <v>36</v>
      </c>
      <c r="C36" s="20"/>
      <c r="D36" s="20">
        <v>3030.8</v>
      </c>
      <c r="E36" s="20"/>
    </row>
    <row r="37" spans="1:5" x14ac:dyDescent="0.25">
      <c r="A37" s="20"/>
      <c r="B37" s="20" t="s">
        <v>38</v>
      </c>
      <c r="C37" s="20"/>
      <c r="D37" s="20">
        <f>2744.16+2614.28</f>
        <v>5358.4400000000005</v>
      </c>
      <c r="E37" s="20"/>
    </row>
    <row r="38" spans="1:5" x14ac:dyDescent="0.25">
      <c r="A38" s="20">
        <v>4</v>
      </c>
      <c r="B38" s="22" t="s">
        <v>39</v>
      </c>
      <c r="C38" s="20"/>
      <c r="D38" s="26">
        <f>D39+D40</f>
        <v>41380.460000000006</v>
      </c>
      <c r="E38" s="26">
        <f>E39</f>
        <v>6815.0861000000004</v>
      </c>
    </row>
    <row r="39" spans="1:5" x14ac:dyDescent="0.25">
      <c r="A39" s="20"/>
      <c r="B39" s="31" t="s">
        <v>40</v>
      </c>
      <c r="C39" s="31"/>
      <c r="D39" s="32">
        <v>33738.050000000003</v>
      </c>
      <c r="E39" s="28">
        <f>D39*20.2%</f>
        <v>6815.0861000000004</v>
      </c>
    </row>
    <row r="40" spans="1:5" x14ac:dyDescent="0.25">
      <c r="A40" s="20"/>
      <c r="B40" s="27" t="s">
        <v>41</v>
      </c>
      <c r="C40" s="20"/>
      <c r="D40" s="32">
        <v>7642.41</v>
      </c>
      <c r="E40" s="20"/>
    </row>
    <row r="41" spans="1:5" x14ac:dyDescent="0.25">
      <c r="A41" s="20">
        <v>5</v>
      </c>
      <c r="B41" s="22" t="s">
        <v>42</v>
      </c>
      <c r="C41" s="20"/>
      <c r="D41" s="26">
        <f>D20+E20+D27+E27+D31+D38+E38</f>
        <v>252629.34864000004</v>
      </c>
      <c r="E41" s="20"/>
    </row>
    <row r="42" spans="1:5" x14ac:dyDescent="0.25">
      <c r="A42" s="20">
        <v>6</v>
      </c>
      <c r="B42" s="20" t="s">
        <v>43</v>
      </c>
      <c r="C42" s="20"/>
      <c r="D42" s="26">
        <f>D17*6%</f>
        <v>14363.305200000001</v>
      </c>
      <c r="E42" s="20"/>
    </row>
    <row r="43" spans="1:5" x14ac:dyDescent="0.25">
      <c r="A43" s="20">
        <v>7</v>
      </c>
      <c r="B43" s="22" t="s">
        <v>44</v>
      </c>
      <c r="C43" s="20"/>
      <c r="D43" s="26">
        <f>D41+D42</f>
        <v>266992.65384000004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53</v>
      </c>
      <c r="C45" s="20"/>
      <c r="D45" s="26">
        <f>D17-D43</f>
        <v>-27604.23384000003</v>
      </c>
      <c r="E45" s="20"/>
    </row>
    <row r="46" spans="1:5" x14ac:dyDescent="0.25">
      <c r="A46" s="20">
        <v>9</v>
      </c>
      <c r="B46" s="22" t="s">
        <v>45</v>
      </c>
      <c r="C46" s="20"/>
      <c r="D46" s="26">
        <f>D9+D45</f>
        <v>-111427.66384000002</v>
      </c>
      <c r="E46" s="20"/>
    </row>
    <row r="47" spans="1:5" x14ac:dyDescent="0.25">
      <c r="A47" s="33"/>
      <c r="B47" s="34"/>
      <c r="C47" s="33"/>
      <c r="D47" s="35"/>
      <c r="E47" s="33"/>
    </row>
    <row r="48" spans="1:5" x14ac:dyDescent="0.25">
      <c r="A48" s="36"/>
      <c r="B48" s="36" t="s">
        <v>46</v>
      </c>
      <c r="C48" s="36"/>
      <c r="D48" s="36" t="s">
        <v>47</v>
      </c>
      <c r="E48" s="36"/>
    </row>
    <row r="49" spans="1:5" x14ac:dyDescent="0.25">
      <c r="A49" s="36"/>
      <c r="B49" s="36" t="s">
        <v>48</v>
      </c>
      <c r="C49" s="36"/>
      <c r="D49" s="36" t="s">
        <v>49</v>
      </c>
      <c r="E49" s="36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D29" sqref="D29"/>
    </sheetView>
  </sheetViews>
  <sheetFormatPr defaultRowHeight="15" x14ac:dyDescent="0.25"/>
  <cols>
    <col min="2" max="2" width="41.140625" customWidth="1"/>
    <col min="4" max="4" width="10.5703125" customWidth="1"/>
    <col min="5" max="5" width="10.28515625" customWidth="1"/>
  </cols>
  <sheetData>
    <row r="1" spans="1:5" ht="15.75" x14ac:dyDescent="0.25">
      <c r="A1" s="185"/>
      <c r="B1" s="186" t="s">
        <v>0</v>
      </c>
      <c r="C1" s="185"/>
      <c r="D1" s="185"/>
      <c r="E1" s="185"/>
    </row>
    <row r="2" spans="1:5" x14ac:dyDescent="0.25">
      <c r="A2" s="185"/>
      <c r="B2" s="185" t="s">
        <v>1</v>
      </c>
      <c r="C2" s="185"/>
      <c r="D2" s="185"/>
      <c r="E2" s="185"/>
    </row>
    <row r="3" spans="1:5" x14ac:dyDescent="0.25">
      <c r="A3" s="185"/>
      <c r="B3" s="421" t="s">
        <v>133</v>
      </c>
      <c r="C3" s="185"/>
      <c r="D3" s="185"/>
      <c r="E3" s="185"/>
    </row>
    <row r="4" spans="1:5" x14ac:dyDescent="0.25">
      <c r="A4" s="187"/>
      <c r="B4" s="185" t="s">
        <v>50</v>
      </c>
      <c r="C4" s="185"/>
      <c r="D4" s="185"/>
      <c r="E4" s="185"/>
    </row>
    <row r="5" spans="1:5" ht="15.75" x14ac:dyDescent="0.25">
      <c r="A5" s="188"/>
      <c r="B5" s="423" t="s">
        <v>3</v>
      </c>
      <c r="C5" s="424" t="s">
        <v>4</v>
      </c>
      <c r="D5" s="541" t="s">
        <v>5</v>
      </c>
      <c r="E5" s="542"/>
    </row>
    <row r="6" spans="1:5" ht="15.75" x14ac:dyDescent="0.25">
      <c r="A6" s="191"/>
      <c r="B6" s="189" t="s">
        <v>6</v>
      </c>
      <c r="C6" s="190" t="s">
        <v>7</v>
      </c>
      <c r="D6" s="543" t="s">
        <v>120</v>
      </c>
      <c r="E6" s="544"/>
    </row>
    <row r="7" spans="1:5" x14ac:dyDescent="0.25">
      <c r="A7" s="192"/>
      <c r="B7" s="192"/>
      <c r="C7" s="192"/>
      <c r="D7" s="193"/>
      <c r="E7" s="194"/>
    </row>
    <row r="8" spans="1:5" x14ac:dyDescent="0.25">
      <c r="A8" s="192"/>
      <c r="B8" s="195" t="s">
        <v>134</v>
      </c>
      <c r="C8" s="192"/>
      <c r="D8" s="193">
        <v>-159835.75</v>
      </c>
      <c r="E8" s="194"/>
    </row>
    <row r="9" spans="1:5" x14ac:dyDescent="0.25">
      <c r="A9" s="192"/>
      <c r="B9" s="195" t="s">
        <v>135</v>
      </c>
      <c r="C9" s="192"/>
      <c r="D9" s="193">
        <v>54711.78</v>
      </c>
      <c r="E9" s="194"/>
    </row>
    <row r="10" spans="1:5" x14ac:dyDescent="0.25">
      <c r="A10" s="196"/>
      <c r="B10" s="197" t="s">
        <v>9</v>
      </c>
      <c r="C10" s="196" t="s">
        <v>10</v>
      </c>
      <c r="D10" s="196">
        <v>3011.34</v>
      </c>
      <c r="E10" s="196"/>
    </row>
    <row r="11" spans="1:5" x14ac:dyDescent="0.25">
      <c r="A11" s="196"/>
      <c r="B11" s="197" t="s">
        <v>11</v>
      </c>
      <c r="C11" s="196" t="s">
        <v>10</v>
      </c>
      <c r="D11" s="198">
        <v>2135</v>
      </c>
      <c r="E11" s="196"/>
    </row>
    <row r="12" spans="1:5" x14ac:dyDescent="0.25">
      <c r="A12" s="196"/>
      <c r="B12" s="199" t="s">
        <v>12</v>
      </c>
      <c r="C12" s="196" t="s">
        <v>56</v>
      </c>
      <c r="D12" s="196">
        <v>164308.88</v>
      </c>
      <c r="E12" s="196"/>
    </row>
    <row r="13" spans="1:5" ht="15.75" x14ac:dyDescent="0.25">
      <c r="A13" s="196"/>
      <c r="B13" s="200" t="s">
        <v>14</v>
      </c>
      <c r="C13" s="196"/>
      <c r="D13" s="196"/>
      <c r="E13" s="196"/>
    </row>
    <row r="14" spans="1:5" x14ac:dyDescent="0.25">
      <c r="A14" s="196">
        <v>1</v>
      </c>
      <c r="B14" s="196" t="s">
        <v>15</v>
      </c>
      <c r="C14" s="196" t="s">
        <v>13</v>
      </c>
      <c r="D14" s="198">
        <v>92467.76</v>
      </c>
      <c r="E14" s="196"/>
    </row>
    <row r="15" spans="1:5" x14ac:dyDescent="0.25">
      <c r="A15" s="196">
        <v>2</v>
      </c>
      <c r="B15" s="422" t="s">
        <v>16</v>
      </c>
      <c r="C15" s="196"/>
      <c r="D15" s="196">
        <v>43303.14</v>
      </c>
      <c r="E15" s="196"/>
    </row>
    <row r="16" spans="1:5" ht="15.75" x14ac:dyDescent="0.25">
      <c r="A16" s="196"/>
      <c r="B16" s="200" t="s">
        <v>17</v>
      </c>
      <c r="C16" s="196"/>
      <c r="D16" s="201">
        <f>D14+D15</f>
        <v>135770.9</v>
      </c>
      <c r="E16" s="196"/>
    </row>
    <row r="17" spans="1:5" ht="15.75" x14ac:dyDescent="0.25">
      <c r="A17" s="196"/>
      <c r="B17" s="200"/>
      <c r="C17" s="196"/>
      <c r="D17" s="202"/>
      <c r="E17" s="196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D20+D24</f>
        <v>41568.729999999996</v>
      </c>
      <c r="E19" s="26">
        <f>E20</f>
        <v>8336.9904600000009</v>
      </c>
    </row>
    <row r="20" spans="1:5" x14ac:dyDescent="0.25">
      <c r="A20" s="20">
        <v>1</v>
      </c>
      <c r="B20" s="22" t="s">
        <v>22</v>
      </c>
      <c r="C20" s="27" t="s">
        <v>13</v>
      </c>
      <c r="D20" s="26">
        <f>D21+D22+D23</f>
        <v>41272.229999999996</v>
      </c>
      <c r="E20" s="26">
        <f>E21+E22+E23</f>
        <v>8336.9904600000009</v>
      </c>
    </row>
    <row r="21" spans="1:5" x14ac:dyDescent="0.25">
      <c r="A21" s="20"/>
      <c r="B21" s="20" t="s">
        <v>23</v>
      </c>
      <c r="C21" s="20"/>
      <c r="D21" s="20">
        <v>15022.52</v>
      </c>
      <c r="E21" s="28">
        <f>D21*20.2%</f>
        <v>3034.5490399999999</v>
      </c>
    </row>
    <row r="22" spans="1:5" x14ac:dyDescent="0.25">
      <c r="A22" s="20"/>
      <c r="B22" s="20" t="s">
        <v>24</v>
      </c>
      <c r="C22" s="20"/>
      <c r="D22" s="29">
        <v>13036.98</v>
      </c>
      <c r="E22" s="28">
        <f>D22*20.2%</f>
        <v>2633.4699599999999</v>
      </c>
    </row>
    <row r="23" spans="1:5" x14ac:dyDescent="0.25">
      <c r="A23" s="20"/>
      <c r="B23" s="20" t="s">
        <v>25</v>
      </c>
      <c r="C23" s="20"/>
      <c r="D23" s="20">
        <v>13212.73</v>
      </c>
      <c r="E23" s="28">
        <f>D23*20.2%</f>
        <v>2668.9714599999998</v>
      </c>
    </row>
    <row r="24" spans="1:5" x14ac:dyDescent="0.25">
      <c r="A24" s="20">
        <v>2</v>
      </c>
      <c r="B24" s="27" t="s">
        <v>26</v>
      </c>
      <c r="C24" s="20"/>
      <c r="D24" s="20">
        <v>296.5</v>
      </c>
      <c r="E24" s="28"/>
    </row>
    <row r="25" spans="1:5" x14ac:dyDescent="0.25">
      <c r="A25" s="24" t="s">
        <v>27</v>
      </c>
      <c r="B25" s="30" t="s">
        <v>28</v>
      </c>
      <c r="C25" s="20"/>
      <c r="D25" s="22">
        <f>D26+D27+D28</f>
        <v>38862.18</v>
      </c>
      <c r="E25" s="26">
        <f>E26</f>
        <v>4081.3756600000002</v>
      </c>
    </row>
    <row r="26" spans="1:5" x14ac:dyDescent="0.25">
      <c r="A26" s="20">
        <v>1</v>
      </c>
      <c r="B26" s="31" t="s">
        <v>29</v>
      </c>
      <c r="C26" s="20"/>
      <c r="D26" s="31">
        <v>20204.830000000002</v>
      </c>
      <c r="E26" s="28">
        <f>D26*20.2%</f>
        <v>4081.3756600000002</v>
      </c>
    </row>
    <row r="27" spans="1:5" x14ac:dyDescent="0.25">
      <c r="A27" s="20">
        <v>2</v>
      </c>
      <c r="B27" s="31" t="s">
        <v>26</v>
      </c>
      <c r="C27" s="20"/>
      <c r="D27" s="31">
        <v>1006.94</v>
      </c>
      <c r="E27" s="20"/>
    </row>
    <row r="28" spans="1:5" x14ac:dyDescent="0.25">
      <c r="A28" s="20">
        <v>3</v>
      </c>
      <c r="B28" s="31" t="s">
        <v>121</v>
      </c>
      <c r="C28" s="20"/>
      <c r="D28" s="31">
        <v>17650.41</v>
      </c>
      <c r="E28" s="20"/>
    </row>
    <row r="29" spans="1:5" x14ac:dyDescent="0.25">
      <c r="A29" s="24" t="s">
        <v>30</v>
      </c>
      <c r="B29" s="22" t="s">
        <v>31</v>
      </c>
      <c r="C29" s="20"/>
      <c r="D29" s="26">
        <f>D30+D31+D34+D35+D36+D37+D32+D33</f>
        <v>14658.605000000001</v>
      </c>
      <c r="E29" s="20"/>
    </row>
    <row r="30" spans="1:5" x14ac:dyDescent="0.25">
      <c r="A30" s="20"/>
      <c r="B30" s="20" t="s">
        <v>32</v>
      </c>
      <c r="C30" s="20"/>
      <c r="D30" s="28">
        <f>D16*5%</f>
        <v>6788.5450000000001</v>
      </c>
      <c r="E30" s="20"/>
    </row>
    <row r="31" spans="1:5" x14ac:dyDescent="0.25">
      <c r="A31" s="20"/>
      <c r="B31" s="20" t="s">
        <v>62</v>
      </c>
      <c r="C31" s="20"/>
      <c r="D31" s="20">
        <v>266.94</v>
      </c>
      <c r="E31" s="20"/>
    </row>
    <row r="32" spans="1:5" x14ac:dyDescent="0.25">
      <c r="A32" s="20"/>
      <c r="B32" s="20" t="s">
        <v>33</v>
      </c>
      <c r="C32" s="20"/>
      <c r="D32" s="20">
        <v>1440</v>
      </c>
      <c r="E32" s="20"/>
    </row>
    <row r="33" spans="1:5" x14ac:dyDescent="0.25">
      <c r="A33" s="20"/>
      <c r="B33" s="13" t="s">
        <v>52</v>
      </c>
      <c r="C33" s="20"/>
      <c r="D33" s="20">
        <v>0</v>
      </c>
      <c r="E33" s="20"/>
    </row>
    <row r="34" spans="1:5" x14ac:dyDescent="0.25">
      <c r="A34" s="20"/>
      <c r="B34" s="20" t="s">
        <v>34</v>
      </c>
      <c r="C34" s="20"/>
      <c r="D34" s="28">
        <f>1674.76+1664.92</f>
        <v>3339.6800000000003</v>
      </c>
      <c r="E34" s="20"/>
    </row>
    <row r="35" spans="1:5" x14ac:dyDescent="0.25">
      <c r="A35" s="20"/>
      <c r="B35" s="27" t="s">
        <v>35</v>
      </c>
      <c r="C35" s="20"/>
      <c r="D35" s="20">
        <v>0</v>
      </c>
      <c r="E35" s="20"/>
    </row>
    <row r="36" spans="1:5" x14ac:dyDescent="0.25">
      <c r="A36" s="20"/>
      <c r="B36" s="27" t="s">
        <v>36</v>
      </c>
      <c r="C36" s="20"/>
      <c r="D36" s="20">
        <v>1020.03</v>
      </c>
      <c r="E36" s="20"/>
    </row>
    <row r="37" spans="1:5" x14ac:dyDescent="0.25">
      <c r="A37" s="20"/>
      <c r="B37" s="20" t="s">
        <v>38</v>
      </c>
      <c r="C37" s="20"/>
      <c r="D37" s="20">
        <f>923.56+879.85</f>
        <v>1803.4099999999999</v>
      </c>
      <c r="E37" s="20"/>
    </row>
    <row r="38" spans="1:5" x14ac:dyDescent="0.25">
      <c r="A38" s="20">
        <v>4</v>
      </c>
      <c r="B38" s="22" t="s">
        <v>39</v>
      </c>
      <c r="C38" s="20"/>
      <c r="D38" s="26">
        <f>D39+D40</f>
        <v>13926.77</v>
      </c>
      <c r="E38" s="26">
        <f>E39</f>
        <v>2293.6473799999999</v>
      </c>
    </row>
    <row r="39" spans="1:5" x14ac:dyDescent="0.25">
      <c r="A39" s="20"/>
      <c r="B39" s="31" t="s">
        <v>40</v>
      </c>
      <c r="C39" s="31"/>
      <c r="D39" s="32">
        <v>11354.69</v>
      </c>
      <c r="E39" s="28">
        <f>D39*20.2%</f>
        <v>2293.6473799999999</v>
      </c>
    </row>
    <row r="40" spans="1:5" x14ac:dyDescent="0.25">
      <c r="A40" s="20"/>
      <c r="B40" s="27" t="s">
        <v>41</v>
      </c>
      <c r="C40" s="20"/>
      <c r="D40" s="32">
        <v>2572.08</v>
      </c>
      <c r="E40" s="20"/>
    </row>
    <row r="41" spans="1:5" x14ac:dyDescent="0.25">
      <c r="A41" s="20">
        <v>5</v>
      </c>
      <c r="B41" s="22" t="s">
        <v>42</v>
      </c>
      <c r="C41" s="20"/>
      <c r="D41" s="26">
        <f>D19+E19+D25+E25+D29+D38+E38</f>
        <v>123728.2985</v>
      </c>
      <c r="E41" s="20"/>
    </row>
    <row r="42" spans="1:5" x14ac:dyDescent="0.25">
      <c r="A42" s="20">
        <v>6</v>
      </c>
      <c r="B42" s="20" t="s">
        <v>43</v>
      </c>
      <c r="C42" s="20"/>
      <c r="D42" s="26">
        <f>D16*6%</f>
        <v>8146.253999999999</v>
      </c>
      <c r="E42" s="20"/>
    </row>
    <row r="43" spans="1:5" x14ac:dyDescent="0.25">
      <c r="A43" s="20">
        <v>7</v>
      </c>
      <c r="B43" s="22" t="s">
        <v>44</v>
      </c>
      <c r="C43" s="20"/>
      <c r="D43" s="26">
        <f>D41+D42</f>
        <v>131874.55249999999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53</v>
      </c>
      <c r="C45" s="20"/>
      <c r="D45" s="26">
        <f>D14-D43</f>
        <v>-39406.792499999996</v>
      </c>
      <c r="E45" s="20"/>
    </row>
    <row r="46" spans="1:5" x14ac:dyDescent="0.25">
      <c r="A46" s="20">
        <v>9</v>
      </c>
      <c r="B46" s="22" t="s">
        <v>45</v>
      </c>
      <c r="C46" s="20"/>
      <c r="D46" s="26">
        <f>D8+D45</f>
        <v>-199242.54249999998</v>
      </c>
      <c r="E46" s="20"/>
    </row>
    <row r="47" spans="1:5" x14ac:dyDescent="0.25">
      <c r="A47" s="33"/>
      <c r="B47" s="34" t="s">
        <v>136</v>
      </c>
      <c r="C47" s="33"/>
      <c r="D47" s="35">
        <f>D9+D15</f>
        <v>98014.92</v>
      </c>
      <c r="E47" s="33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E40" sqref="E40"/>
    </sheetView>
  </sheetViews>
  <sheetFormatPr defaultRowHeight="15" x14ac:dyDescent="0.25"/>
  <cols>
    <col min="1" max="1" width="6.42578125" customWidth="1"/>
    <col min="2" max="2" width="41.140625" customWidth="1"/>
    <col min="4" max="4" width="11" customWidth="1"/>
    <col min="5" max="5" width="11.28515625" customWidth="1"/>
  </cols>
  <sheetData>
    <row r="1" spans="1:5" ht="15.75" x14ac:dyDescent="0.25">
      <c r="A1" s="203"/>
      <c r="B1" s="204" t="s">
        <v>0</v>
      </c>
      <c r="C1" s="203"/>
      <c r="D1" s="203"/>
      <c r="E1" s="203"/>
    </row>
    <row r="2" spans="1:5" x14ac:dyDescent="0.25">
      <c r="A2" s="203"/>
      <c r="B2" s="203"/>
      <c r="C2" s="203"/>
      <c r="D2" s="203"/>
      <c r="E2" s="203"/>
    </row>
    <row r="3" spans="1:5" x14ac:dyDescent="0.25">
      <c r="A3" s="203"/>
      <c r="B3" s="205" t="s">
        <v>76</v>
      </c>
      <c r="C3" s="203"/>
      <c r="D3" s="203"/>
      <c r="E3" s="203"/>
    </row>
    <row r="4" spans="1:5" x14ac:dyDescent="0.25">
      <c r="A4" s="203"/>
      <c r="B4" s="205" t="s">
        <v>137</v>
      </c>
      <c r="C4" s="203"/>
      <c r="D4" s="203"/>
      <c r="E4" s="203"/>
    </row>
    <row r="5" spans="1:5" x14ac:dyDescent="0.25">
      <c r="A5" s="203"/>
      <c r="B5" s="203" t="s">
        <v>71</v>
      </c>
      <c r="C5" s="203"/>
      <c r="D5" s="203"/>
      <c r="E5" s="203"/>
    </row>
    <row r="6" spans="1:5" ht="15.75" x14ac:dyDescent="0.25">
      <c r="A6" s="206"/>
      <c r="B6" s="428" t="s">
        <v>3</v>
      </c>
      <c r="C6" s="429" t="s">
        <v>4</v>
      </c>
      <c r="D6" s="545" t="s">
        <v>5</v>
      </c>
      <c r="E6" s="546"/>
    </row>
    <row r="7" spans="1:5" ht="15.75" x14ac:dyDescent="0.25">
      <c r="A7" s="209"/>
      <c r="B7" s="207" t="s">
        <v>6</v>
      </c>
      <c r="C7" s="208" t="s">
        <v>7</v>
      </c>
      <c r="D7" s="547" t="s">
        <v>138</v>
      </c>
      <c r="E7" s="548"/>
    </row>
    <row r="8" spans="1:5" x14ac:dyDescent="0.25">
      <c r="A8" s="210"/>
      <c r="B8" s="210"/>
      <c r="C8" s="210"/>
      <c r="D8" s="211"/>
      <c r="E8" s="212"/>
    </row>
    <row r="9" spans="1:5" x14ac:dyDescent="0.25">
      <c r="A9" s="210"/>
      <c r="B9" s="213" t="s">
        <v>8</v>
      </c>
      <c r="C9" s="210"/>
      <c r="D9" s="211">
        <v>64348.49</v>
      </c>
      <c r="E9" s="212"/>
    </row>
    <row r="10" spans="1:5" x14ac:dyDescent="0.25">
      <c r="A10" s="214"/>
      <c r="B10" s="215" t="s">
        <v>9</v>
      </c>
      <c r="C10" s="214" t="s">
        <v>10</v>
      </c>
      <c r="D10" s="214">
        <v>5460.6</v>
      </c>
      <c r="E10" s="214"/>
    </row>
    <row r="11" spans="1:5" x14ac:dyDescent="0.25">
      <c r="A11" s="214"/>
      <c r="B11" s="215" t="s">
        <v>11</v>
      </c>
      <c r="C11" s="214" t="s">
        <v>10</v>
      </c>
      <c r="D11" s="214">
        <v>4405.1000000000004</v>
      </c>
      <c r="E11" s="214"/>
    </row>
    <row r="12" spans="1:5" x14ac:dyDescent="0.25">
      <c r="A12" s="214"/>
      <c r="B12" s="216" t="s">
        <v>12</v>
      </c>
      <c r="C12" s="214" t="s">
        <v>56</v>
      </c>
      <c r="D12" s="214">
        <v>244665.34</v>
      </c>
      <c r="E12" s="214"/>
    </row>
    <row r="13" spans="1:5" x14ac:dyDescent="0.25">
      <c r="A13" s="214"/>
      <c r="B13" s="214"/>
      <c r="C13" s="214"/>
      <c r="D13" s="214"/>
      <c r="E13" s="214"/>
    </row>
    <row r="14" spans="1:5" ht="15.75" x14ac:dyDescent="0.25">
      <c r="A14" s="214"/>
      <c r="B14" s="217" t="s">
        <v>14</v>
      </c>
      <c r="C14" s="214"/>
      <c r="D14" s="214"/>
      <c r="E14" s="214"/>
    </row>
    <row r="15" spans="1:5" x14ac:dyDescent="0.25">
      <c r="A15" s="214">
        <v>1</v>
      </c>
      <c r="B15" s="214" t="s">
        <v>15</v>
      </c>
      <c r="C15" s="214" t="s">
        <v>13</v>
      </c>
      <c r="D15" s="214">
        <v>175366.28</v>
      </c>
      <c r="E15" s="214"/>
    </row>
    <row r="16" spans="1:5" x14ac:dyDescent="0.25">
      <c r="A16" s="214">
        <v>2</v>
      </c>
      <c r="B16" s="214" t="s">
        <v>139</v>
      </c>
      <c r="C16" s="214"/>
      <c r="D16" s="214">
        <f>3843.5+3000+1200</f>
        <v>8043.5</v>
      </c>
      <c r="E16" s="214"/>
    </row>
    <row r="17" spans="1:5" ht="15.75" x14ac:dyDescent="0.25">
      <c r="A17" s="214"/>
      <c r="B17" s="217" t="s">
        <v>17</v>
      </c>
      <c r="C17" s="214"/>
      <c r="D17" s="218">
        <f>D15+D16</f>
        <v>183409.78</v>
      </c>
      <c r="E17" s="214"/>
    </row>
    <row r="18" spans="1:5" ht="15.75" x14ac:dyDescent="0.25">
      <c r="A18" s="214"/>
      <c r="B18" s="217"/>
      <c r="C18" s="214"/>
      <c r="D18" s="218"/>
      <c r="E18" s="214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D21+D25+D24</f>
        <v>15535.619999999999</v>
      </c>
      <c r="E20" s="26">
        <f>E21</f>
        <v>2195.2127799999998</v>
      </c>
    </row>
    <row r="21" spans="1:5" x14ac:dyDescent="0.25">
      <c r="A21" s="20">
        <v>1</v>
      </c>
      <c r="B21" s="22" t="s">
        <v>22</v>
      </c>
      <c r="C21" s="214" t="s">
        <v>13</v>
      </c>
      <c r="D21" s="218">
        <f>SUM(D22:D24)</f>
        <v>12893.099999999999</v>
      </c>
      <c r="E21" s="425">
        <f>SUM(E22:E24)</f>
        <v>2195.2127799999998</v>
      </c>
    </row>
    <row r="22" spans="1:5" x14ac:dyDescent="0.25">
      <c r="A22" s="20"/>
      <c r="B22" s="20" t="s">
        <v>23</v>
      </c>
      <c r="C22" s="214"/>
      <c r="D22" s="214">
        <v>10867.39</v>
      </c>
      <c r="E22" s="426">
        <f>D22*20.2%</f>
        <v>2195.2127799999998</v>
      </c>
    </row>
    <row r="23" spans="1:5" x14ac:dyDescent="0.25">
      <c r="A23" s="20"/>
      <c r="B23" s="20" t="s">
        <v>24</v>
      </c>
      <c r="C23" s="214"/>
      <c r="D23" s="214">
        <v>0</v>
      </c>
      <c r="E23" s="426">
        <f>D23*14.2%</f>
        <v>0</v>
      </c>
    </row>
    <row r="24" spans="1:5" x14ac:dyDescent="0.25">
      <c r="A24" s="20"/>
      <c r="B24" s="20" t="s">
        <v>79</v>
      </c>
      <c r="C24" s="214"/>
      <c r="D24" s="214">
        <v>2025.71</v>
      </c>
      <c r="E24" s="426"/>
    </row>
    <row r="25" spans="1:5" x14ac:dyDescent="0.25">
      <c r="A25" s="20">
        <v>2</v>
      </c>
      <c r="B25" s="27" t="s">
        <v>26</v>
      </c>
      <c r="C25" s="214"/>
      <c r="D25" s="214">
        <v>616.80999999999995</v>
      </c>
      <c r="E25" s="426"/>
    </row>
    <row r="26" spans="1:5" x14ac:dyDescent="0.25">
      <c r="A26" s="24" t="s">
        <v>27</v>
      </c>
      <c r="B26" s="30" t="s">
        <v>28</v>
      </c>
      <c r="C26" s="214"/>
      <c r="D26" s="218">
        <f>D27+D28</f>
        <v>50678.270000000004</v>
      </c>
      <c r="E26" s="425">
        <f>E27</f>
        <v>8490.407439999999</v>
      </c>
    </row>
    <row r="27" spans="1:5" x14ac:dyDescent="0.25">
      <c r="A27" s="20">
        <v>1</v>
      </c>
      <c r="B27" s="31" t="s">
        <v>29</v>
      </c>
      <c r="C27" s="214"/>
      <c r="D27" s="214">
        <v>42031.72</v>
      </c>
      <c r="E27" s="426">
        <f>D27*20.2%</f>
        <v>8490.407439999999</v>
      </c>
    </row>
    <row r="28" spans="1:5" x14ac:dyDescent="0.25">
      <c r="A28" s="20">
        <v>2</v>
      </c>
      <c r="B28" s="31" t="s">
        <v>26</v>
      </c>
      <c r="C28" s="214"/>
      <c r="D28" s="427">
        <v>8646.5499999999993</v>
      </c>
      <c r="E28" s="214"/>
    </row>
    <row r="29" spans="1:5" x14ac:dyDescent="0.25">
      <c r="A29" s="24" t="s">
        <v>30</v>
      </c>
      <c r="B29" s="218" t="s">
        <v>31</v>
      </c>
      <c r="C29" s="214"/>
      <c r="D29" s="425">
        <f>SUM(D30:D38)</f>
        <v>129737.07899999998</v>
      </c>
      <c r="E29" s="214"/>
    </row>
    <row r="30" spans="1:5" x14ac:dyDescent="0.25">
      <c r="A30" s="20"/>
      <c r="B30" s="214" t="s">
        <v>32</v>
      </c>
      <c r="C30" s="214"/>
      <c r="D30" s="426">
        <f>D17*5%</f>
        <v>9170.4889999999996</v>
      </c>
      <c r="E30" s="214"/>
    </row>
    <row r="31" spans="1:5" x14ac:dyDescent="0.25">
      <c r="A31" s="20"/>
      <c r="B31" s="20" t="s">
        <v>62</v>
      </c>
      <c r="C31" s="214"/>
      <c r="D31" s="426">
        <v>475.1</v>
      </c>
      <c r="E31" s="214"/>
    </row>
    <row r="32" spans="1:5" x14ac:dyDescent="0.25">
      <c r="A32" s="20"/>
      <c r="B32" s="412" t="s">
        <v>103</v>
      </c>
      <c r="C32" s="214"/>
      <c r="D32" s="426">
        <v>14496.92</v>
      </c>
      <c r="E32" s="214"/>
    </row>
    <row r="33" spans="1:5" x14ac:dyDescent="0.25">
      <c r="A33" s="20"/>
      <c r="B33" s="412" t="s">
        <v>140</v>
      </c>
      <c r="C33" s="214"/>
      <c r="D33" s="426">
        <v>49000</v>
      </c>
      <c r="E33" s="214"/>
    </row>
    <row r="34" spans="1:5" x14ac:dyDescent="0.25">
      <c r="A34" s="20"/>
      <c r="B34" s="412" t="s">
        <v>141</v>
      </c>
      <c r="C34" s="214"/>
      <c r="D34" s="426">
        <v>43773.56</v>
      </c>
      <c r="E34" s="214"/>
    </row>
    <row r="35" spans="1:5" x14ac:dyDescent="0.25">
      <c r="A35" s="20"/>
      <c r="B35" s="214" t="s">
        <v>34</v>
      </c>
      <c r="C35" s="214"/>
      <c r="D35" s="214">
        <f>3483.97+3463.5</f>
        <v>6947.4699999999993</v>
      </c>
      <c r="E35" s="214"/>
    </row>
    <row r="36" spans="1:5" x14ac:dyDescent="0.25">
      <c r="A36" s="20"/>
      <c r="B36" s="214" t="s">
        <v>52</v>
      </c>
      <c r="C36" s="214"/>
      <c r="D36" s="214">
        <v>0</v>
      </c>
      <c r="E36" s="214"/>
    </row>
    <row r="37" spans="1:5" x14ac:dyDescent="0.25">
      <c r="A37" s="20"/>
      <c r="B37" s="27" t="s">
        <v>36</v>
      </c>
      <c r="C37" s="214"/>
      <c r="D37" s="214">
        <v>2121.9499999999998</v>
      </c>
      <c r="E37" s="214"/>
    </row>
    <row r="38" spans="1:5" x14ac:dyDescent="0.25">
      <c r="A38" s="20"/>
      <c r="B38" s="214" t="s">
        <v>38</v>
      </c>
      <c r="C38" s="214"/>
      <c r="D38" s="214">
        <f>1921.26+1830.33</f>
        <v>3751.59</v>
      </c>
      <c r="E38" s="214"/>
    </row>
    <row r="39" spans="1:5" x14ac:dyDescent="0.25">
      <c r="A39" s="20">
        <v>4</v>
      </c>
      <c r="B39" s="22" t="s">
        <v>39</v>
      </c>
      <c r="C39" s="20"/>
      <c r="D39" s="26">
        <f>D40+D41</f>
        <v>28971.589999999997</v>
      </c>
      <c r="E39" s="26">
        <f>E40</f>
        <v>4771.4298799999997</v>
      </c>
    </row>
    <row r="40" spans="1:5" x14ac:dyDescent="0.25">
      <c r="A40" s="20"/>
      <c r="B40" s="31" t="s">
        <v>40</v>
      </c>
      <c r="C40" s="31"/>
      <c r="D40" s="32">
        <v>23620.94</v>
      </c>
      <c r="E40" s="28">
        <f>D40*20.2%</f>
        <v>4771.4298799999997</v>
      </c>
    </row>
    <row r="41" spans="1:5" x14ac:dyDescent="0.25">
      <c r="A41" s="20"/>
      <c r="B41" s="27" t="s">
        <v>41</v>
      </c>
      <c r="C41" s="20"/>
      <c r="D41" s="32">
        <v>5350.65</v>
      </c>
      <c r="E41" s="20"/>
    </row>
    <row r="42" spans="1:5" x14ac:dyDescent="0.25">
      <c r="A42" s="20">
        <v>5</v>
      </c>
      <c r="B42" s="22" t="s">
        <v>42</v>
      </c>
      <c r="C42" s="20"/>
      <c r="D42" s="26">
        <f>D20+E20+D26+E26+D29+D39+E39</f>
        <v>240379.60909999997</v>
      </c>
      <c r="E42" s="20"/>
    </row>
    <row r="43" spans="1:5" x14ac:dyDescent="0.25">
      <c r="A43" s="20">
        <v>6</v>
      </c>
      <c r="B43" s="20" t="s">
        <v>43</v>
      </c>
      <c r="C43" s="20"/>
      <c r="D43" s="26">
        <f>D17*6%</f>
        <v>11004.586799999999</v>
      </c>
      <c r="E43" s="20"/>
    </row>
    <row r="44" spans="1:5" x14ac:dyDescent="0.25">
      <c r="A44" s="20">
        <v>7</v>
      </c>
      <c r="B44" s="22" t="s">
        <v>44</v>
      </c>
      <c r="C44" s="20"/>
      <c r="D44" s="26">
        <f>D42+D43</f>
        <v>251384.19589999996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80</v>
      </c>
      <c r="C46" s="20"/>
      <c r="D46" s="26">
        <f>D17-D44</f>
        <v>-67974.415899999964</v>
      </c>
      <c r="E46" s="20"/>
    </row>
    <row r="47" spans="1:5" x14ac:dyDescent="0.25">
      <c r="A47" s="20">
        <v>9</v>
      </c>
      <c r="B47" s="22" t="s">
        <v>45</v>
      </c>
      <c r="C47" s="20"/>
      <c r="D47" s="26">
        <f>D9+D46</f>
        <v>-3625.9258999999656</v>
      </c>
      <c r="E47" s="20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D31" sqref="D31"/>
    </sheetView>
  </sheetViews>
  <sheetFormatPr defaultRowHeight="15" x14ac:dyDescent="0.25"/>
  <cols>
    <col min="2" max="2" width="40.7109375" customWidth="1"/>
    <col min="4" max="4" width="11" customWidth="1"/>
    <col min="5" max="5" width="10.5703125" customWidth="1"/>
  </cols>
  <sheetData>
    <row r="1" spans="1:5" ht="15.75" x14ac:dyDescent="0.25">
      <c r="A1" s="219"/>
      <c r="B1" s="220" t="s">
        <v>0</v>
      </c>
      <c r="C1" s="219"/>
      <c r="D1" s="219"/>
      <c r="E1" s="219"/>
    </row>
    <row r="2" spans="1:5" x14ac:dyDescent="0.25">
      <c r="A2" s="219"/>
      <c r="B2" s="219"/>
      <c r="C2" s="219"/>
      <c r="D2" s="219"/>
      <c r="E2" s="219"/>
    </row>
    <row r="3" spans="1:5" x14ac:dyDescent="0.25">
      <c r="A3" s="219"/>
      <c r="B3" s="219" t="s">
        <v>1</v>
      </c>
      <c r="C3" s="219"/>
      <c r="D3" s="219"/>
      <c r="E3" s="219"/>
    </row>
    <row r="4" spans="1:5" x14ac:dyDescent="0.25">
      <c r="A4" s="219"/>
      <c r="B4" s="430" t="s">
        <v>142</v>
      </c>
      <c r="C4" s="219"/>
      <c r="D4" s="219"/>
      <c r="E4" s="219"/>
    </row>
    <row r="5" spans="1:5" x14ac:dyDescent="0.25">
      <c r="A5" s="219"/>
      <c r="B5" s="219" t="s">
        <v>77</v>
      </c>
      <c r="C5" s="219"/>
      <c r="D5" s="219"/>
      <c r="E5" s="219"/>
    </row>
    <row r="6" spans="1:5" x14ac:dyDescent="0.25">
      <c r="A6" s="221"/>
      <c r="B6" s="221"/>
      <c r="C6" s="221"/>
      <c r="D6" s="222"/>
      <c r="E6" s="223"/>
    </row>
    <row r="7" spans="1:5" ht="15.75" x14ac:dyDescent="0.25">
      <c r="A7" s="224"/>
      <c r="B7" s="225" t="s">
        <v>3</v>
      </c>
      <c r="C7" s="226" t="s">
        <v>4</v>
      </c>
      <c r="D7" s="549" t="s">
        <v>5</v>
      </c>
      <c r="E7" s="550"/>
    </row>
    <row r="8" spans="1:5" ht="15.75" x14ac:dyDescent="0.25">
      <c r="A8" s="227"/>
      <c r="B8" s="225" t="s">
        <v>6</v>
      </c>
      <c r="C8" s="226" t="s">
        <v>7</v>
      </c>
      <c r="D8" s="551" t="s">
        <v>132</v>
      </c>
      <c r="E8" s="552"/>
    </row>
    <row r="9" spans="1:5" x14ac:dyDescent="0.25">
      <c r="A9" s="228"/>
      <c r="B9" s="228"/>
      <c r="C9" s="228"/>
      <c r="D9" s="229"/>
      <c r="E9" s="230"/>
    </row>
    <row r="10" spans="1:5" x14ac:dyDescent="0.25">
      <c r="A10" s="228"/>
      <c r="B10" s="231" t="s">
        <v>8</v>
      </c>
      <c r="C10" s="228"/>
      <c r="D10" s="229">
        <v>-100784.68</v>
      </c>
      <c r="E10" s="230"/>
    </row>
    <row r="11" spans="1:5" x14ac:dyDescent="0.25">
      <c r="A11" s="232"/>
      <c r="B11" s="233" t="s">
        <v>9</v>
      </c>
      <c r="C11" s="232" t="s">
        <v>10</v>
      </c>
      <c r="D11" s="232">
        <v>4143.2</v>
      </c>
      <c r="E11" s="232"/>
    </row>
    <row r="12" spans="1:5" x14ac:dyDescent="0.25">
      <c r="A12" s="232"/>
      <c r="B12" s="233" t="s">
        <v>11</v>
      </c>
      <c r="C12" s="232" t="s">
        <v>10</v>
      </c>
      <c r="D12" s="232">
        <v>2538.1999999999998</v>
      </c>
      <c r="E12" s="232"/>
    </row>
    <row r="13" spans="1:5" x14ac:dyDescent="0.25">
      <c r="A13" s="232"/>
      <c r="B13" s="234" t="s">
        <v>12</v>
      </c>
      <c r="C13" s="232" t="s">
        <v>56</v>
      </c>
      <c r="D13" s="232">
        <v>120413.31</v>
      </c>
      <c r="E13" s="232"/>
    </row>
    <row r="14" spans="1:5" x14ac:dyDescent="0.25">
      <c r="A14" s="232"/>
      <c r="B14" s="232"/>
      <c r="C14" s="232"/>
      <c r="D14" s="232"/>
      <c r="E14" s="232"/>
    </row>
    <row r="15" spans="1:5" ht="15.75" x14ac:dyDescent="0.25">
      <c r="A15" s="232"/>
      <c r="B15" s="235" t="s">
        <v>14</v>
      </c>
      <c r="C15" s="232"/>
      <c r="D15" s="232"/>
      <c r="E15" s="232"/>
    </row>
    <row r="16" spans="1:5" x14ac:dyDescent="0.25">
      <c r="A16" s="232">
        <v>1</v>
      </c>
      <c r="B16" s="232" t="s">
        <v>15</v>
      </c>
      <c r="C16" s="232" t="s">
        <v>13</v>
      </c>
      <c r="D16" s="232">
        <v>99346.99</v>
      </c>
      <c r="E16" s="232"/>
    </row>
    <row r="17" spans="1:5" x14ac:dyDescent="0.25">
      <c r="A17" s="232"/>
      <c r="B17" s="232"/>
      <c r="C17" s="232"/>
      <c r="D17" s="232"/>
      <c r="E17" s="232"/>
    </row>
    <row r="18" spans="1:5" ht="15.75" x14ac:dyDescent="0.25">
      <c r="A18" s="232"/>
      <c r="B18" s="235" t="s">
        <v>17</v>
      </c>
      <c r="C18" s="232"/>
      <c r="D18" s="236">
        <f>D16</f>
        <v>99346.99</v>
      </c>
      <c r="E18" s="232"/>
    </row>
    <row r="19" spans="1:5" ht="15.75" x14ac:dyDescent="0.25">
      <c r="A19" s="232"/>
      <c r="B19" s="235"/>
      <c r="C19" s="232"/>
      <c r="D19" s="236"/>
      <c r="E19" s="232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2">
        <f>D22+D26</f>
        <v>14416.17</v>
      </c>
      <c r="E21" s="26">
        <f>E22</f>
        <v>2840.8613399999999</v>
      </c>
    </row>
    <row r="22" spans="1:5" x14ac:dyDescent="0.25">
      <c r="A22" s="20">
        <v>1</v>
      </c>
      <c r="B22" s="22" t="s">
        <v>22</v>
      </c>
      <c r="C22" s="27" t="s">
        <v>13</v>
      </c>
      <c r="D22" s="22">
        <f>D23</f>
        <v>14063.67</v>
      </c>
      <c r="E22" s="26">
        <f>E23</f>
        <v>2840.8613399999999</v>
      </c>
    </row>
    <row r="23" spans="1:5" x14ac:dyDescent="0.25">
      <c r="A23" s="20"/>
      <c r="B23" s="20" t="s">
        <v>23</v>
      </c>
      <c r="C23" s="20"/>
      <c r="D23" s="20">
        <v>14063.67</v>
      </c>
      <c r="E23" s="28">
        <f>D23*20.2%</f>
        <v>2840.8613399999999</v>
      </c>
    </row>
    <row r="24" spans="1:5" x14ac:dyDescent="0.25">
      <c r="A24" s="20"/>
      <c r="B24" s="20" t="s">
        <v>24</v>
      </c>
      <c r="C24" s="20"/>
      <c r="D24" s="29"/>
      <c r="E24" s="28"/>
    </row>
    <row r="25" spans="1:5" x14ac:dyDescent="0.25">
      <c r="A25" s="20"/>
      <c r="B25" s="20" t="s">
        <v>25</v>
      </c>
      <c r="C25" s="20"/>
      <c r="D25" s="20"/>
      <c r="E25" s="28"/>
    </row>
    <row r="26" spans="1:5" x14ac:dyDescent="0.25">
      <c r="A26" s="20">
        <v>2</v>
      </c>
      <c r="B26" s="27" t="s">
        <v>26</v>
      </c>
      <c r="C26" s="20"/>
      <c r="D26" s="20">
        <v>352.5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41477.54</v>
      </c>
      <c r="E27" s="26">
        <f>E28</f>
        <v>4852.1531199999999</v>
      </c>
    </row>
    <row r="28" spans="1:5" x14ac:dyDescent="0.25">
      <c r="A28" s="20">
        <v>1</v>
      </c>
      <c r="B28" s="31" t="s">
        <v>29</v>
      </c>
      <c r="C28" s="20"/>
      <c r="D28" s="31">
        <v>24020.560000000001</v>
      </c>
      <c r="E28" s="28">
        <f>D28*20.2%</f>
        <v>4852.1531199999999</v>
      </c>
    </row>
    <row r="29" spans="1:5" x14ac:dyDescent="0.25">
      <c r="A29" s="20">
        <v>2</v>
      </c>
      <c r="B29" s="31" t="s">
        <v>26</v>
      </c>
      <c r="C29" s="20"/>
      <c r="D29" s="31">
        <v>8556.18</v>
      </c>
      <c r="E29" s="20"/>
    </row>
    <row r="30" spans="1:5" x14ac:dyDescent="0.25">
      <c r="A30" s="20">
        <v>3</v>
      </c>
      <c r="B30" s="31" t="s">
        <v>143</v>
      </c>
      <c r="C30" s="20"/>
      <c r="D30" s="31">
        <v>8900.7999999999993</v>
      </c>
      <c r="E30" s="20"/>
    </row>
    <row r="31" spans="1:5" x14ac:dyDescent="0.25">
      <c r="A31" s="24" t="s">
        <v>30</v>
      </c>
      <c r="B31" s="22" t="s">
        <v>31</v>
      </c>
      <c r="C31" s="20"/>
      <c r="D31" s="26">
        <f>D32+D33+D35+D37+D38+D34+D36</f>
        <v>15526.289499999999</v>
      </c>
      <c r="E31" s="20"/>
    </row>
    <row r="32" spans="1:5" x14ac:dyDescent="0.25">
      <c r="A32" s="20"/>
      <c r="B32" s="20" t="s">
        <v>32</v>
      </c>
      <c r="C32" s="20"/>
      <c r="D32" s="28">
        <f>D18*5%</f>
        <v>4967.3495000000003</v>
      </c>
      <c r="E32" s="20"/>
    </row>
    <row r="33" spans="1:5" x14ac:dyDescent="0.25">
      <c r="A33" s="20"/>
      <c r="B33" s="20" t="s">
        <v>62</v>
      </c>
      <c r="C33" s="20"/>
      <c r="D33" s="20">
        <v>623.95000000000005</v>
      </c>
      <c r="E33" s="20"/>
    </row>
    <row r="34" spans="1:5" x14ac:dyDescent="0.25">
      <c r="A34" s="20"/>
      <c r="B34" s="27" t="s">
        <v>33</v>
      </c>
      <c r="C34" s="20"/>
      <c r="D34" s="20">
        <v>2608</v>
      </c>
      <c r="E34" s="20"/>
    </row>
    <row r="35" spans="1:5" x14ac:dyDescent="0.25">
      <c r="A35" s="20"/>
      <c r="B35" s="20" t="s">
        <v>34</v>
      </c>
      <c r="C35" s="20"/>
      <c r="D35" s="28">
        <f>1991.04+1979.31</f>
        <v>3970.35</v>
      </c>
      <c r="E35" s="20"/>
    </row>
    <row r="36" spans="1:5" x14ac:dyDescent="0.25">
      <c r="A36" s="20"/>
      <c r="B36" s="13" t="s">
        <v>52</v>
      </c>
      <c r="C36" s="20"/>
      <c r="D36" s="28">
        <v>0</v>
      </c>
      <c r="E36" s="20"/>
    </row>
    <row r="37" spans="1:5" x14ac:dyDescent="0.25">
      <c r="A37" s="20"/>
      <c r="B37" s="27" t="s">
        <v>36</v>
      </c>
      <c r="C37" s="20"/>
      <c r="D37" s="20">
        <v>1212.6600000000001</v>
      </c>
      <c r="E37" s="20"/>
    </row>
    <row r="38" spans="1:5" x14ac:dyDescent="0.25">
      <c r="A38" s="20"/>
      <c r="B38" s="20" t="s">
        <v>38</v>
      </c>
      <c r="C38" s="20"/>
      <c r="D38" s="20">
        <f>1097.97+1046.01</f>
        <v>2143.98</v>
      </c>
      <c r="E38" s="20"/>
    </row>
    <row r="39" spans="1:5" x14ac:dyDescent="0.25">
      <c r="A39" s="20">
        <v>4</v>
      </c>
      <c r="B39" s="22" t="s">
        <v>39</v>
      </c>
      <c r="C39" s="20"/>
      <c r="D39" s="26">
        <f>D40+D41</f>
        <v>16556.899999999998</v>
      </c>
      <c r="E39" s="22">
        <f>E40</f>
        <v>2726.8080999999997</v>
      </c>
    </row>
    <row r="40" spans="1:5" x14ac:dyDescent="0.25">
      <c r="A40" s="20"/>
      <c r="B40" s="31" t="s">
        <v>40</v>
      </c>
      <c r="C40" s="31"/>
      <c r="D40" s="32">
        <v>13499.05</v>
      </c>
      <c r="E40" s="28">
        <f>D40*20.2%</f>
        <v>2726.8080999999997</v>
      </c>
    </row>
    <row r="41" spans="1:5" x14ac:dyDescent="0.25">
      <c r="A41" s="20"/>
      <c r="B41" s="31" t="s">
        <v>41</v>
      </c>
      <c r="C41" s="20"/>
      <c r="D41" s="32">
        <v>3057.85</v>
      </c>
      <c r="E41" s="20"/>
    </row>
    <row r="42" spans="1:5" x14ac:dyDescent="0.25">
      <c r="A42" s="20">
        <v>5</v>
      </c>
      <c r="B42" s="22" t="s">
        <v>42</v>
      </c>
      <c r="C42" s="20"/>
      <c r="D42" s="26">
        <f>D21+E21+D27+E27+D31+D39</f>
        <v>95669.913960000005</v>
      </c>
      <c r="E42" s="20"/>
    </row>
    <row r="43" spans="1:5" x14ac:dyDescent="0.25">
      <c r="A43" s="20">
        <v>6</v>
      </c>
      <c r="B43" s="20" t="s">
        <v>43</v>
      </c>
      <c r="C43" s="20"/>
      <c r="D43" s="26">
        <f>D18*6%</f>
        <v>5960.8194000000003</v>
      </c>
      <c r="E43" s="20"/>
    </row>
    <row r="44" spans="1:5" x14ac:dyDescent="0.25">
      <c r="A44" s="20">
        <v>7</v>
      </c>
      <c r="B44" s="22" t="s">
        <v>44</v>
      </c>
      <c r="C44" s="20"/>
      <c r="D44" s="26">
        <f>D42+D43</f>
        <v>101630.73336000001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53</v>
      </c>
      <c r="C46" s="20"/>
      <c r="D46" s="26">
        <f>D18-D44</f>
        <v>-2283.7433600000077</v>
      </c>
      <c r="E46" s="20"/>
    </row>
    <row r="47" spans="1:5" x14ac:dyDescent="0.25">
      <c r="A47" s="20">
        <v>9</v>
      </c>
      <c r="B47" s="22" t="s">
        <v>45</v>
      </c>
      <c r="C47" s="20"/>
      <c r="D47" s="26">
        <f>D10+D46</f>
        <v>-103068.42336</v>
      </c>
      <c r="E47" s="20"/>
    </row>
    <row r="48" spans="1:5" x14ac:dyDescent="0.25">
      <c r="A48" s="33"/>
      <c r="B48" s="34"/>
      <c r="C48" s="33"/>
      <c r="D48" s="219"/>
    </row>
    <row r="49" spans="1:4" x14ac:dyDescent="0.25">
      <c r="A49" s="36"/>
      <c r="B49" s="36" t="s">
        <v>46</v>
      </c>
      <c r="C49" s="237" t="s">
        <v>47</v>
      </c>
      <c r="D49" s="219"/>
    </row>
    <row r="50" spans="1:4" x14ac:dyDescent="0.25">
      <c r="A50" s="36"/>
      <c r="B50" s="36" t="s">
        <v>48</v>
      </c>
      <c r="C50" s="237" t="s">
        <v>49</v>
      </c>
      <c r="D50" s="219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0" workbookViewId="0">
      <selection activeCell="E28" sqref="E28"/>
    </sheetView>
  </sheetViews>
  <sheetFormatPr defaultRowHeight="15" x14ac:dyDescent="0.25"/>
  <cols>
    <col min="2" max="2" width="40.28515625" customWidth="1"/>
    <col min="4" max="4" width="10.7109375" customWidth="1"/>
    <col min="5" max="5" width="10.42578125" customWidth="1"/>
  </cols>
  <sheetData>
    <row r="1" spans="1:5" ht="15.75" x14ac:dyDescent="0.25">
      <c r="A1" s="238"/>
      <c r="B1" s="239" t="s">
        <v>0</v>
      </c>
      <c r="C1" s="238"/>
      <c r="D1" s="238"/>
      <c r="E1" s="238"/>
    </row>
    <row r="2" spans="1:5" x14ac:dyDescent="0.25">
      <c r="A2" s="238"/>
      <c r="B2" s="238"/>
      <c r="C2" s="238"/>
      <c r="D2" s="238"/>
      <c r="E2" s="238"/>
    </row>
    <row r="3" spans="1:5" x14ac:dyDescent="0.25">
      <c r="A3" s="238"/>
      <c r="B3" s="238" t="s">
        <v>125</v>
      </c>
      <c r="C3" s="238"/>
      <c r="D3" s="238"/>
      <c r="E3" s="238"/>
    </row>
    <row r="4" spans="1:5" x14ac:dyDescent="0.25">
      <c r="A4" s="238"/>
      <c r="B4" s="431" t="s">
        <v>144</v>
      </c>
      <c r="C4" s="238"/>
      <c r="D4" s="238"/>
      <c r="E4" s="238"/>
    </row>
    <row r="5" spans="1:5" x14ac:dyDescent="0.25">
      <c r="A5" s="238"/>
      <c r="B5" s="238" t="s">
        <v>71</v>
      </c>
      <c r="C5" s="238"/>
      <c r="D5" s="238"/>
      <c r="E5" s="238"/>
    </row>
    <row r="6" spans="1:5" x14ac:dyDescent="0.25">
      <c r="A6" s="240"/>
      <c r="B6" s="240"/>
      <c r="C6" s="240"/>
      <c r="D6" s="241"/>
      <c r="E6" s="242"/>
    </row>
    <row r="7" spans="1:5" ht="15.75" x14ac:dyDescent="0.25">
      <c r="A7" s="243"/>
      <c r="B7" s="244" t="s">
        <v>3</v>
      </c>
      <c r="C7" s="245" t="s">
        <v>4</v>
      </c>
      <c r="D7" s="553" t="s">
        <v>5</v>
      </c>
      <c r="E7" s="554"/>
    </row>
    <row r="8" spans="1:5" ht="15.75" x14ac:dyDescent="0.25">
      <c r="A8" s="246"/>
      <c r="B8" s="244" t="s">
        <v>6</v>
      </c>
      <c r="C8" s="245" t="s">
        <v>7</v>
      </c>
      <c r="D8" s="555" t="s">
        <v>132</v>
      </c>
      <c r="E8" s="556"/>
    </row>
    <row r="9" spans="1:5" x14ac:dyDescent="0.25">
      <c r="A9" s="247"/>
      <c r="B9" s="247"/>
      <c r="C9" s="247"/>
      <c r="D9" s="248"/>
      <c r="E9" s="249"/>
    </row>
    <row r="10" spans="1:5" x14ac:dyDescent="0.25">
      <c r="A10" s="247"/>
      <c r="B10" s="250" t="s">
        <v>8</v>
      </c>
      <c r="C10" s="247"/>
      <c r="D10" s="248">
        <v>12610.74</v>
      </c>
      <c r="E10" s="249"/>
    </row>
    <row r="11" spans="1:5" x14ac:dyDescent="0.25">
      <c r="A11" s="251"/>
      <c r="B11" s="252" t="s">
        <v>9</v>
      </c>
      <c r="C11" s="251" t="s">
        <v>10</v>
      </c>
      <c r="D11" s="251">
        <v>5388.2</v>
      </c>
      <c r="E11" s="251"/>
    </row>
    <row r="12" spans="1:5" x14ac:dyDescent="0.25">
      <c r="A12" s="251"/>
      <c r="B12" s="252" t="s">
        <v>11</v>
      </c>
      <c r="C12" s="251" t="s">
        <v>10</v>
      </c>
      <c r="D12" s="251">
        <v>4378</v>
      </c>
      <c r="E12" s="251"/>
    </row>
    <row r="13" spans="1:5" x14ac:dyDescent="0.25">
      <c r="A13" s="251"/>
      <c r="B13" s="253" t="s">
        <v>12</v>
      </c>
      <c r="C13" s="251" t="s">
        <v>56</v>
      </c>
      <c r="D13" s="251">
        <v>193505.39</v>
      </c>
      <c r="E13" s="251"/>
    </row>
    <row r="14" spans="1:5" x14ac:dyDescent="0.25">
      <c r="A14" s="251"/>
      <c r="B14" s="251"/>
      <c r="C14" s="251"/>
      <c r="D14" s="251"/>
      <c r="E14" s="251"/>
    </row>
    <row r="15" spans="1:5" ht="15.75" x14ac:dyDescent="0.25">
      <c r="A15" s="251"/>
      <c r="B15" s="254" t="s">
        <v>14</v>
      </c>
      <c r="C15" s="251"/>
      <c r="D15" s="251"/>
      <c r="E15" s="251"/>
    </row>
    <row r="16" spans="1:5" x14ac:dyDescent="0.25">
      <c r="A16" s="251">
        <v>1</v>
      </c>
      <c r="B16" s="251" t="s">
        <v>15</v>
      </c>
      <c r="C16" s="251" t="s">
        <v>13</v>
      </c>
      <c r="D16" s="251">
        <v>167933.16</v>
      </c>
      <c r="E16" s="251"/>
    </row>
    <row r="17" spans="1:5" x14ac:dyDescent="0.25">
      <c r="A17" s="251"/>
      <c r="B17" s="251"/>
      <c r="C17" s="251"/>
      <c r="D17" s="251"/>
      <c r="E17" s="251"/>
    </row>
    <row r="18" spans="1:5" ht="15.75" x14ac:dyDescent="0.25">
      <c r="A18" s="251"/>
      <c r="B18" s="254" t="s">
        <v>17</v>
      </c>
      <c r="C18" s="251"/>
      <c r="D18" s="255">
        <f>D16</f>
        <v>167933.16</v>
      </c>
      <c r="E18" s="251"/>
    </row>
    <row r="19" spans="1:5" ht="15.75" x14ac:dyDescent="0.25">
      <c r="A19" s="251"/>
      <c r="B19" s="254"/>
      <c r="C19" s="251"/>
      <c r="D19" s="255"/>
      <c r="E19" s="251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51"/>
      <c r="D21" s="432">
        <f>D22+D26+D25</f>
        <v>23008.84</v>
      </c>
      <c r="E21" s="433">
        <f>E22</f>
        <v>3744.7669000000001</v>
      </c>
    </row>
    <row r="22" spans="1:5" x14ac:dyDescent="0.25">
      <c r="A22" s="20">
        <v>1</v>
      </c>
      <c r="B22" s="22" t="s">
        <v>22</v>
      </c>
      <c r="C22" s="251" t="s">
        <v>13</v>
      </c>
      <c r="D22" s="432">
        <f>SUM(D23:D24)</f>
        <v>18538.45</v>
      </c>
      <c r="E22" s="432">
        <f>SUM(E23:E25)</f>
        <v>3744.7669000000001</v>
      </c>
    </row>
    <row r="23" spans="1:5" x14ac:dyDescent="0.25">
      <c r="A23" s="20"/>
      <c r="B23" s="20" t="s">
        <v>23</v>
      </c>
      <c r="C23" s="251"/>
      <c r="D23" s="251">
        <v>18538.45</v>
      </c>
      <c r="E23" s="433">
        <f>D23*20.2%</f>
        <v>3744.7669000000001</v>
      </c>
    </row>
    <row r="24" spans="1:5" x14ac:dyDescent="0.25">
      <c r="A24" s="20"/>
      <c r="B24" s="20" t="s">
        <v>24</v>
      </c>
      <c r="C24" s="251"/>
      <c r="D24" s="251">
        <v>0</v>
      </c>
      <c r="E24" s="433">
        <f>D24*26.2%</f>
        <v>0</v>
      </c>
    </row>
    <row r="25" spans="1:5" x14ac:dyDescent="0.25">
      <c r="A25" s="20"/>
      <c r="B25" s="20" t="s">
        <v>79</v>
      </c>
      <c r="C25" s="251"/>
      <c r="D25" s="251">
        <v>3862.38</v>
      </c>
      <c r="E25" s="433"/>
    </row>
    <row r="26" spans="1:5" x14ac:dyDescent="0.25">
      <c r="A26" s="20">
        <v>2</v>
      </c>
      <c r="B26" s="27" t="s">
        <v>26</v>
      </c>
      <c r="C26" s="251"/>
      <c r="D26" s="251">
        <v>608.01</v>
      </c>
      <c r="E26" s="433"/>
    </row>
    <row r="27" spans="1:5" x14ac:dyDescent="0.25">
      <c r="A27" s="24" t="s">
        <v>27</v>
      </c>
      <c r="B27" s="30" t="s">
        <v>28</v>
      </c>
      <c r="C27" s="251"/>
      <c r="D27" s="255">
        <f>D28+D29</f>
        <v>50347.920000000006</v>
      </c>
      <c r="E27" s="432">
        <f>E28</f>
        <v>8369.20946</v>
      </c>
    </row>
    <row r="28" spans="1:5" x14ac:dyDescent="0.25">
      <c r="A28" s="20">
        <v>1</v>
      </c>
      <c r="B28" s="31" t="s">
        <v>29</v>
      </c>
      <c r="C28" s="251"/>
      <c r="D28" s="251">
        <v>41431.730000000003</v>
      </c>
      <c r="E28" s="433">
        <f>D28*20.2%</f>
        <v>8369.20946</v>
      </c>
    </row>
    <row r="29" spans="1:5" x14ac:dyDescent="0.25">
      <c r="A29" s="20">
        <v>2</v>
      </c>
      <c r="B29" s="31" t="s">
        <v>26</v>
      </c>
      <c r="C29" s="251"/>
      <c r="D29" s="434">
        <v>8916.19</v>
      </c>
      <c r="E29" s="433"/>
    </row>
    <row r="30" spans="1:5" x14ac:dyDescent="0.25">
      <c r="A30" s="24" t="s">
        <v>30</v>
      </c>
      <c r="B30" s="255" t="s">
        <v>31</v>
      </c>
      <c r="C30" s="251"/>
      <c r="D30" s="432">
        <f>SUM(D31:D38)</f>
        <v>34554.518000000004</v>
      </c>
      <c r="E30" s="251"/>
    </row>
    <row r="31" spans="1:5" x14ac:dyDescent="0.25">
      <c r="A31" s="20"/>
      <c r="B31" s="251" t="s">
        <v>32</v>
      </c>
      <c r="C31" s="251"/>
      <c r="D31" s="435">
        <f>D18*5%</f>
        <v>8396.6580000000013</v>
      </c>
      <c r="E31" s="251"/>
    </row>
    <row r="32" spans="1:5" x14ac:dyDescent="0.25">
      <c r="A32" s="20"/>
      <c r="B32" s="251" t="s">
        <v>62</v>
      </c>
      <c r="C32" s="251"/>
      <c r="D32" s="433">
        <v>1059.28</v>
      </c>
      <c r="E32" s="251"/>
    </row>
    <row r="33" spans="1:5" x14ac:dyDescent="0.25">
      <c r="A33" s="20"/>
      <c r="B33" s="251" t="s">
        <v>33</v>
      </c>
      <c r="C33" s="251"/>
      <c r="D33" s="251">
        <v>0</v>
      </c>
      <c r="E33" s="251"/>
    </row>
    <row r="34" spans="1:5" x14ac:dyDescent="0.25">
      <c r="A34" s="20"/>
      <c r="B34" s="251" t="s">
        <v>34</v>
      </c>
      <c r="C34" s="251"/>
      <c r="D34" s="251">
        <f>3434.24+3414.06</f>
        <v>6848.2999999999993</v>
      </c>
      <c r="E34" s="251"/>
    </row>
    <row r="35" spans="1:5" x14ac:dyDescent="0.25">
      <c r="A35" s="20"/>
      <c r="B35" s="13" t="s">
        <v>52</v>
      </c>
      <c r="C35" s="251"/>
      <c r="D35" s="251">
        <v>0</v>
      </c>
      <c r="E35" s="251"/>
    </row>
    <row r="36" spans="1:5" x14ac:dyDescent="0.25">
      <c r="A36" s="20"/>
      <c r="B36" s="27" t="s">
        <v>36</v>
      </c>
      <c r="C36" s="251"/>
      <c r="D36" s="251">
        <v>2091.66</v>
      </c>
      <c r="E36" s="251"/>
    </row>
    <row r="37" spans="1:5" x14ac:dyDescent="0.25">
      <c r="A37" s="20"/>
      <c r="B37" s="251" t="s">
        <v>145</v>
      </c>
      <c r="C37" s="251"/>
      <c r="D37" s="251">
        <f>10444.88+2015.7</f>
        <v>12460.58</v>
      </c>
      <c r="E37" s="251"/>
    </row>
    <row r="38" spans="1:5" x14ac:dyDescent="0.25">
      <c r="A38" s="20"/>
      <c r="B38" s="251" t="s">
        <v>38</v>
      </c>
      <c r="C38" s="251"/>
      <c r="D38" s="251">
        <f>1893.84+1804.2</f>
        <v>3698.04</v>
      </c>
      <c r="E38" s="251"/>
    </row>
    <row r="39" spans="1:5" x14ac:dyDescent="0.25">
      <c r="A39" s="20">
        <v>4</v>
      </c>
      <c r="B39" s="22" t="s">
        <v>39</v>
      </c>
      <c r="C39" s="20"/>
      <c r="D39" s="26">
        <f>D40+D41</f>
        <v>28558.059999999998</v>
      </c>
      <c r="E39" s="26">
        <f>E40</f>
        <v>4703.3195199999991</v>
      </c>
    </row>
    <row r="40" spans="1:5" x14ac:dyDescent="0.25">
      <c r="A40" s="20"/>
      <c r="B40" s="31" t="s">
        <v>64</v>
      </c>
      <c r="C40" s="31"/>
      <c r="D40" s="32">
        <v>23283.759999999998</v>
      </c>
      <c r="E40" s="28">
        <f>D40*20.2%</f>
        <v>4703.3195199999991</v>
      </c>
    </row>
    <row r="41" spans="1:5" x14ac:dyDescent="0.25">
      <c r="A41" s="20"/>
      <c r="B41" s="27" t="s">
        <v>41</v>
      </c>
      <c r="C41" s="20"/>
      <c r="D41" s="32">
        <v>5274.3</v>
      </c>
      <c r="E41" s="20"/>
    </row>
    <row r="42" spans="1:5" x14ac:dyDescent="0.25">
      <c r="A42" s="20">
        <v>5</v>
      </c>
      <c r="B42" s="22" t="s">
        <v>42</v>
      </c>
      <c r="C42" s="20"/>
      <c r="D42" s="26">
        <f>D21+E21+D27+E27+D30+D39+E39</f>
        <v>153286.63387999998</v>
      </c>
      <c r="E42" s="20"/>
    </row>
    <row r="43" spans="1:5" x14ac:dyDescent="0.25">
      <c r="A43" s="20">
        <v>6</v>
      </c>
      <c r="B43" s="20" t="s">
        <v>43</v>
      </c>
      <c r="C43" s="20"/>
      <c r="D43" s="26">
        <f>D18*6%</f>
        <v>10075.989599999999</v>
      </c>
      <c r="E43" s="20"/>
    </row>
    <row r="44" spans="1:5" x14ac:dyDescent="0.25">
      <c r="A44" s="20">
        <v>7</v>
      </c>
      <c r="B44" s="22" t="s">
        <v>44</v>
      </c>
      <c r="C44" s="20"/>
      <c r="D44" s="26">
        <f>D42+D43</f>
        <v>163362.62347999998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80</v>
      </c>
      <c r="C46" s="20"/>
      <c r="D46" s="26">
        <f>D18-D44</f>
        <v>4570.5365200000233</v>
      </c>
      <c r="E46" s="20"/>
    </row>
    <row r="47" spans="1:5" x14ac:dyDescent="0.25">
      <c r="A47" s="20">
        <v>9</v>
      </c>
      <c r="B47" s="22" t="s">
        <v>45</v>
      </c>
      <c r="C47" s="20"/>
      <c r="D47" s="26">
        <f>D10+D46</f>
        <v>17181.276520000021</v>
      </c>
      <c r="E47" s="20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7" workbookViewId="0">
      <selection activeCell="G15" sqref="G15"/>
    </sheetView>
  </sheetViews>
  <sheetFormatPr defaultRowHeight="15" x14ac:dyDescent="0.25"/>
  <cols>
    <col min="1" max="1" width="8" customWidth="1"/>
    <col min="2" max="2" width="43.140625" customWidth="1"/>
    <col min="4" max="4" width="12.28515625" customWidth="1"/>
    <col min="5" max="5" width="12" customWidth="1"/>
  </cols>
  <sheetData>
    <row r="1" spans="1:5" ht="15.75" x14ac:dyDescent="0.25">
      <c r="A1" s="256"/>
      <c r="B1" s="257" t="s">
        <v>0</v>
      </c>
      <c r="C1" s="256"/>
      <c r="D1" s="256"/>
      <c r="E1" s="256"/>
    </row>
    <row r="2" spans="1:5" x14ac:dyDescent="0.25">
      <c r="A2" s="256"/>
      <c r="B2" s="256"/>
      <c r="C2" s="256"/>
      <c r="D2" s="256"/>
      <c r="E2" s="256"/>
    </row>
    <row r="3" spans="1:5" x14ac:dyDescent="0.25">
      <c r="A3" s="256"/>
      <c r="B3" s="258" t="s">
        <v>76</v>
      </c>
      <c r="C3" s="256"/>
      <c r="D3" s="256"/>
      <c r="E3" s="256"/>
    </row>
    <row r="4" spans="1:5" x14ac:dyDescent="0.25">
      <c r="A4" s="256"/>
      <c r="B4" s="258" t="s">
        <v>146</v>
      </c>
      <c r="C4" s="256"/>
      <c r="D4" s="256"/>
      <c r="E4" s="256"/>
    </row>
    <row r="5" spans="1:5" x14ac:dyDescent="0.25">
      <c r="A5" s="557"/>
      <c r="B5" s="557"/>
      <c r="C5" s="557"/>
      <c r="D5" s="408"/>
      <c r="E5" s="259"/>
    </row>
    <row r="6" spans="1:5" x14ac:dyDescent="0.25">
      <c r="A6" s="260"/>
      <c r="B6" s="260"/>
      <c r="C6" s="260"/>
      <c r="D6" s="261"/>
      <c r="E6" s="262"/>
    </row>
    <row r="7" spans="1:5" ht="15.75" x14ac:dyDescent="0.25">
      <c r="A7" s="260"/>
      <c r="B7" s="263" t="s">
        <v>3</v>
      </c>
      <c r="C7" s="264" t="s">
        <v>4</v>
      </c>
      <c r="D7" s="558" t="s">
        <v>5</v>
      </c>
      <c r="E7" s="559"/>
    </row>
    <row r="8" spans="1:5" ht="15.75" x14ac:dyDescent="0.25">
      <c r="A8" s="265"/>
      <c r="B8" s="263" t="s">
        <v>6</v>
      </c>
      <c r="C8" s="264" t="s">
        <v>7</v>
      </c>
      <c r="D8" s="560" t="s">
        <v>127</v>
      </c>
      <c r="E8" s="561"/>
    </row>
    <row r="9" spans="1:5" x14ac:dyDescent="0.25">
      <c r="A9" s="266"/>
      <c r="B9" s="266"/>
      <c r="C9" s="266"/>
      <c r="D9" s="267"/>
      <c r="E9" s="268"/>
    </row>
    <row r="10" spans="1:5" x14ac:dyDescent="0.25">
      <c r="A10" s="266"/>
      <c r="B10" s="269" t="s">
        <v>8</v>
      </c>
      <c r="C10" s="266"/>
      <c r="D10" s="436">
        <v>-164913.78</v>
      </c>
      <c r="E10" s="268"/>
    </row>
    <row r="11" spans="1:5" x14ac:dyDescent="0.25">
      <c r="A11" s="270"/>
      <c r="B11" s="271" t="s">
        <v>9</v>
      </c>
      <c r="C11" s="270" t="s">
        <v>10</v>
      </c>
      <c r="D11" s="270">
        <v>6439.15</v>
      </c>
      <c r="E11" s="270"/>
    </row>
    <row r="12" spans="1:5" x14ac:dyDescent="0.25">
      <c r="A12" s="270"/>
      <c r="B12" s="271" t="s">
        <v>11</v>
      </c>
      <c r="C12" s="270" t="s">
        <v>10</v>
      </c>
      <c r="D12" s="272">
        <v>4391.3</v>
      </c>
      <c r="E12" s="270"/>
    </row>
    <row r="13" spans="1:5" x14ac:dyDescent="0.25">
      <c r="A13" s="270"/>
      <c r="B13" s="273" t="s">
        <v>78</v>
      </c>
      <c r="C13" s="270" t="s">
        <v>13</v>
      </c>
      <c r="D13" s="274">
        <v>185488.51</v>
      </c>
      <c r="E13" s="270"/>
    </row>
    <row r="14" spans="1:5" ht="15.75" x14ac:dyDescent="0.25">
      <c r="A14" s="270"/>
      <c r="B14" s="275" t="s">
        <v>14</v>
      </c>
      <c r="C14" s="270"/>
      <c r="D14" s="270"/>
      <c r="E14" s="270"/>
    </row>
    <row r="15" spans="1:5" x14ac:dyDescent="0.25">
      <c r="A15" s="270">
        <v>1</v>
      </c>
      <c r="B15" s="270" t="s">
        <v>15</v>
      </c>
      <c r="C15" s="270" t="s">
        <v>13</v>
      </c>
      <c r="D15" s="272">
        <v>184132.73</v>
      </c>
      <c r="E15" s="270"/>
    </row>
    <row r="16" spans="1:5" x14ac:dyDescent="0.25">
      <c r="A16" s="270"/>
      <c r="B16" s="270"/>
      <c r="C16" s="270"/>
      <c r="D16" s="270"/>
      <c r="E16" s="270"/>
    </row>
    <row r="17" spans="1:5" ht="15.75" x14ac:dyDescent="0.25">
      <c r="A17" s="270"/>
      <c r="B17" s="275" t="s">
        <v>17</v>
      </c>
      <c r="C17" s="270"/>
      <c r="D17" s="276">
        <f>D15</f>
        <v>184132.73</v>
      </c>
      <c r="E17" s="270"/>
    </row>
    <row r="18" spans="1:5" ht="15.75" x14ac:dyDescent="0.25">
      <c r="A18" s="270"/>
      <c r="B18" s="275"/>
      <c r="C18" s="270"/>
      <c r="D18" s="274"/>
      <c r="E18" s="270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D21+D25</f>
        <v>64369.64</v>
      </c>
      <c r="E20" s="26">
        <f>E21</f>
        <v>12879.477579999999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D22+D23+D24</f>
        <v>63759.79</v>
      </c>
      <c r="E21" s="26">
        <f>E22+E23+E24</f>
        <v>12879.477579999999</v>
      </c>
    </row>
    <row r="22" spans="1:5" x14ac:dyDescent="0.25">
      <c r="A22" s="20"/>
      <c r="B22" s="20" t="s">
        <v>23</v>
      </c>
      <c r="C22" s="20"/>
      <c r="D22" s="20">
        <v>13265.33</v>
      </c>
      <c r="E22" s="28">
        <f>D22*20.2%</f>
        <v>2679.5966599999997</v>
      </c>
    </row>
    <row r="23" spans="1:5" x14ac:dyDescent="0.25">
      <c r="A23" s="20"/>
      <c r="B23" s="20" t="s">
        <v>24</v>
      </c>
      <c r="C23" s="20"/>
      <c r="D23" s="29">
        <v>21790.93</v>
      </c>
      <c r="E23" s="28">
        <f>D23*20.2%</f>
        <v>4401.7678599999999</v>
      </c>
    </row>
    <row r="24" spans="1:5" x14ac:dyDescent="0.25">
      <c r="A24" s="20"/>
      <c r="B24" s="20" t="s">
        <v>25</v>
      </c>
      <c r="C24" s="20"/>
      <c r="D24" s="20">
        <v>28703.53</v>
      </c>
      <c r="E24" s="28">
        <f>D24*20.2%</f>
        <v>5798.1130599999997</v>
      </c>
    </row>
    <row r="25" spans="1:5" x14ac:dyDescent="0.25">
      <c r="A25" s="20">
        <v>2</v>
      </c>
      <c r="B25" s="27" t="s">
        <v>26</v>
      </c>
      <c r="C25" s="20"/>
      <c r="D25" s="20">
        <v>609.85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</f>
        <v>47086.189999999995</v>
      </c>
      <c r="E26" s="26">
        <f>E27</f>
        <v>8394.6331799999989</v>
      </c>
    </row>
    <row r="27" spans="1:5" x14ac:dyDescent="0.25">
      <c r="A27" s="20">
        <v>1</v>
      </c>
      <c r="B27" s="31" t="s">
        <v>29</v>
      </c>
      <c r="C27" s="20"/>
      <c r="D27" s="31">
        <v>41557.589999999997</v>
      </c>
      <c r="E27" s="28">
        <f>D27*20.2%</f>
        <v>8394.6331799999989</v>
      </c>
    </row>
    <row r="28" spans="1:5" x14ac:dyDescent="0.25">
      <c r="A28" s="20">
        <v>2</v>
      </c>
      <c r="B28" s="31" t="s">
        <v>26</v>
      </c>
      <c r="C28" s="20"/>
      <c r="D28" s="31">
        <v>5528.6</v>
      </c>
      <c r="E28" s="20"/>
    </row>
    <row r="29" spans="1:5" x14ac:dyDescent="0.25">
      <c r="A29" s="24" t="s">
        <v>30</v>
      </c>
      <c r="B29" s="22" t="s">
        <v>31</v>
      </c>
      <c r="C29" s="20"/>
      <c r="D29" s="26">
        <f>D30+D31+D33+D35+D36+D37+D32+D34</f>
        <v>31362.676499999998</v>
      </c>
      <c r="E29" s="20"/>
    </row>
    <row r="30" spans="1:5" x14ac:dyDescent="0.25">
      <c r="A30" s="20"/>
      <c r="B30" s="20" t="s">
        <v>32</v>
      </c>
      <c r="C30" s="20"/>
      <c r="D30" s="28">
        <f>D17*5%</f>
        <v>9206.6365000000005</v>
      </c>
      <c r="E30" s="20"/>
    </row>
    <row r="31" spans="1:5" x14ac:dyDescent="0.25">
      <c r="A31" s="20"/>
      <c r="B31" s="20" t="s">
        <v>62</v>
      </c>
      <c r="C31" s="20"/>
      <c r="D31" s="20">
        <v>451.99</v>
      </c>
      <c r="E31" s="20"/>
    </row>
    <row r="32" spans="1:5" x14ac:dyDescent="0.25">
      <c r="A32" s="20"/>
      <c r="B32" s="20" t="s">
        <v>33</v>
      </c>
      <c r="C32" s="20"/>
      <c r="D32" s="20">
        <v>2608</v>
      </c>
      <c r="E32" s="20"/>
    </row>
    <row r="33" spans="1:5" x14ac:dyDescent="0.25">
      <c r="A33" s="20"/>
      <c r="B33" s="20" t="s">
        <v>34</v>
      </c>
      <c r="C33" s="20"/>
      <c r="D33" s="28">
        <f>3444.67+3424.43</f>
        <v>6869.1</v>
      </c>
      <c r="E33" s="20"/>
    </row>
    <row r="34" spans="1:5" x14ac:dyDescent="0.25">
      <c r="A34" s="20"/>
      <c r="B34" s="13" t="s">
        <v>52</v>
      </c>
      <c r="C34" s="20"/>
      <c r="D34" s="28">
        <v>0</v>
      </c>
      <c r="E34" s="20"/>
    </row>
    <row r="35" spans="1:5" x14ac:dyDescent="0.25">
      <c r="A35" s="20"/>
      <c r="B35" s="27" t="s">
        <v>36</v>
      </c>
      <c r="C35" s="20"/>
      <c r="D35" s="20">
        <v>2098.0100000000002</v>
      </c>
      <c r="E35" s="20"/>
    </row>
    <row r="36" spans="1:5" x14ac:dyDescent="0.25">
      <c r="A36" s="20"/>
      <c r="B36" s="27" t="s">
        <v>67</v>
      </c>
      <c r="C36" s="20"/>
      <c r="D36" s="20">
        <v>6419.66</v>
      </c>
      <c r="E36" s="20"/>
    </row>
    <row r="37" spans="1:5" x14ac:dyDescent="0.25">
      <c r="A37" s="20"/>
      <c r="B37" s="20" t="s">
        <v>38</v>
      </c>
      <c r="C37" s="20"/>
      <c r="D37" s="20">
        <f>1899.59+1809.69</f>
        <v>3709.2799999999997</v>
      </c>
      <c r="E37" s="20"/>
    </row>
    <row r="38" spans="1:5" x14ac:dyDescent="0.25">
      <c r="A38" s="20">
        <v>4</v>
      </c>
      <c r="B38" s="22" t="s">
        <v>39</v>
      </c>
      <c r="C38" s="20"/>
      <c r="D38" s="26">
        <f>D39+D40</f>
        <v>28644.800000000003</v>
      </c>
      <c r="E38" s="26">
        <f>E39</f>
        <v>4717.6069799999996</v>
      </c>
    </row>
    <row r="39" spans="1:5" x14ac:dyDescent="0.25">
      <c r="A39" s="31"/>
      <c r="B39" s="31" t="s">
        <v>40</v>
      </c>
      <c r="C39" s="31"/>
      <c r="D39" s="32">
        <v>23354.49</v>
      </c>
      <c r="E39" s="28">
        <f>D39*20.2%</f>
        <v>4717.6069799999996</v>
      </c>
    </row>
    <row r="40" spans="1:5" x14ac:dyDescent="0.25">
      <c r="A40" s="20"/>
      <c r="B40" s="27" t="s">
        <v>41</v>
      </c>
      <c r="C40" s="20"/>
      <c r="D40" s="32">
        <v>5290.31</v>
      </c>
      <c r="E40" s="20"/>
    </row>
    <row r="41" spans="1:5" x14ac:dyDescent="0.25">
      <c r="A41" s="20">
        <v>5</v>
      </c>
      <c r="B41" s="22" t="s">
        <v>42</v>
      </c>
      <c r="C41" s="20"/>
      <c r="D41" s="26">
        <f>D20+E20+D26+E26+D29+D38+E38</f>
        <v>197455.02424000003</v>
      </c>
      <c r="E41" s="20"/>
    </row>
    <row r="42" spans="1:5" x14ac:dyDescent="0.25">
      <c r="A42" s="20">
        <v>6</v>
      </c>
      <c r="B42" s="20" t="s">
        <v>43</v>
      </c>
      <c r="C42" s="20"/>
      <c r="D42" s="26">
        <f>D17*6%</f>
        <v>11047.9638</v>
      </c>
      <c r="E42" s="20"/>
    </row>
    <row r="43" spans="1:5" x14ac:dyDescent="0.25">
      <c r="A43" s="20">
        <v>7</v>
      </c>
      <c r="B43" s="22" t="s">
        <v>44</v>
      </c>
      <c r="C43" s="20"/>
      <c r="D43" s="26">
        <f>D41+D42</f>
        <v>208502.98804000003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53</v>
      </c>
      <c r="C45" s="20"/>
      <c r="D45" s="26">
        <f>D17-D43</f>
        <v>-24370.258040000015</v>
      </c>
      <c r="E45" s="20"/>
    </row>
    <row r="46" spans="1:5" x14ac:dyDescent="0.25">
      <c r="A46" s="20">
        <v>9</v>
      </c>
      <c r="B46" s="22" t="s">
        <v>45</v>
      </c>
      <c r="C46" s="20"/>
      <c r="D46" s="26">
        <f>D10+D45</f>
        <v>-189284.03804000001</v>
      </c>
      <c r="E46" s="20"/>
    </row>
    <row r="47" spans="1:5" x14ac:dyDescent="0.25">
      <c r="A47" s="33"/>
      <c r="B47" s="34"/>
      <c r="C47" s="33"/>
      <c r="D47" s="35"/>
      <c r="E47" s="33"/>
    </row>
    <row r="48" spans="1:5" x14ac:dyDescent="0.25">
      <c r="A48" s="36"/>
      <c r="B48" s="36" t="s">
        <v>46</v>
      </c>
      <c r="C48" s="36"/>
      <c r="D48" s="36" t="s">
        <v>47</v>
      </c>
      <c r="E48" s="36"/>
    </row>
    <row r="49" spans="1:5" x14ac:dyDescent="0.25">
      <c r="A49" s="36"/>
      <c r="B49" s="36" t="s">
        <v>48</v>
      </c>
      <c r="C49" s="36"/>
      <c r="D49" s="36" t="s">
        <v>49</v>
      </c>
      <c r="E49" s="36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D14" sqref="D14"/>
    </sheetView>
  </sheetViews>
  <sheetFormatPr defaultRowHeight="15" x14ac:dyDescent="0.25"/>
  <cols>
    <col min="1" max="1" width="7.7109375" customWidth="1"/>
    <col min="2" max="2" width="42" customWidth="1"/>
    <col min="4" max="4" width="10.7109375" customWidth="1"/>
    <col min="5" max="5" width="11.28515625" customWidth="1"/>
  </cols>
  <sheetData>
    <row r="1" spans="1:5" ht="15.75" x14ac:dyDescent="0.25">
      <c r="A1" s="277"/>
      <c r="B1" s="278" t="s">
        <v>0</v>
      </c>
      <c r="C1" s="277"/>
      <c r="D1" s="277"/>
      <c r="E1" s="277"/>
    </row>
    <row r="2" spans="1:5" x14ac:dyDescent="0.25">
      <c r="A2" s="277"/>
      <c r="B2" s="277"/>
      <c r="C2" s="277"/>
      <c r="D2" s="277"/>
      <c r="E2" s="277"/>
    </row>
    <row r="3" spans="1:5" x14ac:dyDescent="0.25">
      <c r="A3" s="277"/>
      <c r="B3" s="277" t="s">
        <v>1</v>
      </c>
      <c r="C3" s="277"/>
      <c r="D3" s="277"/>
      <c r="E3" s="277"/>
    </row>
    <row r="4" spans="1:5" x14ac:dyDescent="0.25">
      <c r="A4" s="277"/>
      <c r="B4" s="437" t="s">
        <v>147</v>
      </c>
      <c r="C4" s="277"/>
      <c r="D4" s="277"/>
      <c r="E4" s="277"/>
    </row>
    <row r="5" spans="1:5" x14ac:dyDescent="0.25">
      <c r="A5" s="277"/>
      <c r="B5" s="277" t="s">
        <v>50</v>
      </c>
      <c r="C5" s="277"/>
      <c r="D5" s="277"/>
      <c r="E5" s="277"/>
    </row>
    <row r="6" spans="1:5" x14ac:dyDescent="0.25">
      <c r="A6" s="279"/>
      <c r="B6" s="279"/>
      <c r="C6" s="279"/>
      <c r="D6" s="280"/>
      <c r="E6" s="281"/>
    </row>
    <row r="7" spans="1:5" ht="15.75" x14ac:dyDescent="0.25">
      <c r="A7" s="282"/>
      <c r="B7" s="283" t="s">
        <v>3</v>
      </c>
      <c r="C7" s="284" t="s">
        <v>4</v>
      </c>
      <c r="D7" s="562" t="s">
        <v>5</v>
      </c>
      <c r="E7" s="563"/>
    </row>
    <row r="8" spans="1:5" ht="15.75" x14ac:dyDescent="0.25">
      <c r="A8" s="285"/>
      <c r="B8" s="283" t="s">
        <v>6</v>
      </c>
      <c r="C8" s="284" t="s">
        <v>7</v>
      </c>
      <c r="D8" s="564" t="s">
        <v>132</v>
      </c>
      <c r="E8" s="565"/>
    </row>
    <row r="9" spans="1:5" x14ac:dyDescent="0.25">
      <c r="A9" s="286"/>
      <c r="B9" s="286"/>
      <c r="C9" s="286"/>
      <c r="D9" s="287"/>
      <c r="E9" s="288"/>
    </row>
    <row r="10" spans="1:5" x14ac:dyDescent="0.25">
      <c r="A10" s="286"/>
      <c r="B10" s="289" t="s">
        <v>8</v>
      </c>
      <c r="C10" s="286"/>
      <c r="D10" s="287">
        <v>-41305.53</v>
      </c>
      <c r="E10" s="288"/>
    </row>
    <row r="11" spans="1:5" x14ac:dyDescent="0.25">
      <c r="A11" s="290"/>
      <c r="B11" s="291" t="s">
        <v>9</v>
      </c>
      <c r="C11" s="290" t="s">
        <v>10</v>
      </c>
      <c r="D11" s="290">
        <v>6610.9</v>
      </c>
      <c r="E11" s="290"/>
    </row>
    <row r="12" spans="1:5" x14ac:dyDescent="0.25">
      <c r="A12" s="290"/>
      <c r="B12" s="291" t="s">
        <v>11</v>
      </c>
      <c r="C12" s="290" t="s">
        <v>10</v>
      </c>
      <c r="D12" s="290">
        <v>5369.9</v>
      </c>
      <c r="E12" s="290"/>
    </row>
    <row r="13" spans="1:5" x14ac:dyDescent="0.25">
      <c r="A13" s="290"/>
      <c r="B13" s="292" t="s">
        <v>12</v>
      </c>
      <c r="C13" s="290" t="s">
        <v>56</v>
      </c>
      <c r="D13" s="293">
        <v>207891.75</v>
      </c>
      <c r="E13" s="290"/>
    </row>
    <row r="14" spans="1:5" x14ac:dyDescent="0.25">
      <c r="A14" s="290"/>
      <c r="B14" s="290"/>
      <c r="C14" s="290"/>
      <c r="D14" s="290"/>
      <c r="E14" s="290"/>
    </row>
    <row r="15" spans="1:5" ht="15.75" x14ac:dyDescent="0.25">
      <c r="A15" s="290"/>
      <c r="B15" s="294" t="s">
        <v>14</v>
      </c>
      <c r="C15" s="290"/>
      <c r="D15" s="290"/>
      <c r="E15" s="290"/>
    </row>
    <row r="16" spans="1:5" x14ac:dyDescent="0.25">
      <c r="A16" s="290">
        <v>1</v>
      </c>
      <c r="B16" s="290" t="s">
        <v>15</v>
      </c>
      <c r="C16" s="290" t="s">
        <v>13</v>
      </c>
      <c r="D16" s="290">
        <v>240549.67</v>
      </c>
      <c r="E16" s="290"/>
    </row>
    <row r="17" spans="1:5" x14ac:dyDescent="0.25">
      <c r="A17" s="290"/>
      <c r="B17" s="290"/>
      <c r="C17" s="290"/>
      <c r="D17" s="290"/>
      <c r="E17" s="290"/>
    </row>
    <row r="18" spans="1:5" ht="15.75" x14ac:dyDescent="0.25">
      <c r="A18" s="290"/>
      <c r="B18" s="294" t="s">
        <v>17</v>
      </c>
      <c r="C18" s="290"/>
      <c r="D18" s="293">
        <f>D16</f>
        <v>240549.67</v>
      </c>
      <c r="E18" s="290"/>
    </row>
    <row r="19" spans="1:5" ht="15.75" x14ac:dyDescent="0.25">
      <c r="A19" s="290"/>
      <c r="B19" s="294"/>
      <c r="C19" s="290"/>
      <c r="D19" s="293"/>
      <c r="E19" s="290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2">
        <f>D22+D26+D25</f>
        <v>32009.759999999998</v>
      </c>
      <c r="E21" s="28">
        <f>E22</f>
        <v>5606.1686199999995</v>
      </c>
    </row>
    <row r="22" spans="1:5" x14ac:dyDescent="0.25">
      <c r="A22" s="20">
        <v>1</v>
      </c>
      <c r="B22" s="22" t="s">
        <v>22</v>
      </c>
      <c r="C22" s="27" t="s">
        <v>13</v>
      </c>
      <c r="D22" s="22">
        <f>D23</f>
        <v>27753.31</v>
      </c>
      <c r="E22" s="32">
        <f>E23</f>
        <v>5606.1686199999995</v>
      </c>
    </row>
    <row r="23" spans="1:5" x14ac:dyDescent="0.25">
      <c r="A23" s="20"/>
      <c r="B23" s="20" t="s">
        <v>23</v>
      </c>
      <c r="C23" s="20"/>
      <c r="D23" s="20">
        <v>27753.31</v>
      </c>
      <c r="E23" s="28">
        <f>D23*20.2%</f>
        <v>5606.1686199999995</v>
      </c>
    </row>
    <row r="24" spans="1:5" x14ac:dyDescent="0.25">
      <c r="A24" s="20"/>
      <c r="B24" s="20" t="s">
        <v>24</v>
      </c>
      <c r="C24" s="20"/>
      <c r="D24" s="29"/>
      <c r="E24" s="28"/>
    </row>
    <row r="25" spans="1:5" x14ac:dyDescent="0.25">
      <c r="A25" s="20"/>
      <c r="B25" s="20" t="s">
        <v>79</v>
      </c>
      <c r="C25" s="20"/>
      <c r="D25" s="20">
        <v>3510.69</v>
      </c>
      <c r="E25" s="28"/>
    </row>
    <row r="26" spans="1:5" x14ac:dyDescent="0.25">
      <c r="A26" s="20">
        <v>2</v>
      </c>
      <c r="B26" s="27" t="s">
        <v>26</v>
      </c>
      <c r="C26" s="20"/>
      <c r="D26" s="20">
        <v>745.76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</f>
        <v>51414.840000000004</v>
      </c>
      <c r="E27" s="26">
        <f>E28</f>
        <v>10265.274379999999</v>
      </c>
    </row>
    <row r="28" spans="1:5" x14ac:dyDescent="0.25">
      <c r="A28" s="20">
        <v>1</v>
      </c>
      <c r="B28" s="31" t="s">
        <v>29</v>
      </c>
      <c r="C28" s="20"/>
      <c r="D28" s="31">
        <v>50818.19</v>
      </c>
      <c r="E28" s="28">
        <f>D28*20.2%</f>
        <v>10265.274379999999</v>
      </c>
    </row>
    <row r="29" spans="1:5" x14ac:dyDescent="0.25">
      <c r="A29" s="20">
        <v>2</v>
      </c>
      <c r="B29" s="31" t="s">
        <v>26</v>
      </c>
      <c r="C29" s="20"/>
      <c r="D29" s="31">
        <v>596.65</v>
      </c>
      <c r="E29" s="20"/>
    </row>
    <row r="30" spans="1:5" x14ac:dyDescent="0.25">
      <c r="A30" s="24" t="s">
        <v>30</v>
      </c>
      <c r="B30" s="22" t="s">
        <v>31</v>
      </c>
      <c r="C30" s="20"/>
      <c r="D30" s="26">
        <f>D31+D32+D33+D34+D36+D37+D38+D35</f>
        <v>45671.6535</v>
      </c>
      <c r="E30" s="20"/>
    </row>
    <row r="31" spans="1:5" x14ac:dyDescent="0.25">
      <c r="A31" s="20"/>
      <c r="B31" s="20" t="s">
        <v>32</v>
      </c>
      <c r="C31" s="20"/>
      <c r="D31" s="28">
        <f>D18*5%</f>
        <v>12027.483500000002</v>
      </c>
      <c r="E31" s="20"/>
    </row>
    <row r="32" spans="1:5" x14ac:dyDescent="0.25">
      <c r="A32" s="20"/>
      <c r="B32" s="20" t="s">
        <v>62</v>
      </c>
      <c r="C32" s="20"/>
      <c r="D32" s="20">
        <v>693.44</v>
      </c>
      <c r="E32" s="20"/>
    </row>
    <row r="33" spans="1:5" x14ac:dyDescent="0.25">
      <c r="A33" s="20"/>
      <c r="B33" s="20" t="s">
        <v>34</v>
      </c>
      <c r="C33" s="20"/>
      <c r="D33" s="28">
        <f>4212.31+4187.56</f>
        <v>8399.8700000000008</v>
      </c>
      <c r="E33" s="20"/>
    </row>
    <row r="34" spans="1:5" x14ac:dyDescent="0.25">
      <c r="A34" s="20"/>
      <c r="B34" s="27" t="s">
        <v>148</v>
      </c>
      <c r="C34" s="20"/>
      <c r="D34" s="20">
        <v>0</v>
      </c>
      <c r="E34" s="20"/>
    </row>
    <row r="35" spans="1:5" x14ac:dyDescent="0.25">
      <c r="A35" s="20"/>
      <c r="B35" s="13" t="s">
        <v>52</v>
      </c>
      <c r="C35" s="20"/>
      <c r="D35" s="20">
        <v>0</v>
      </c>
      <c r="E35" s="20"/>
    </row>
    <row r="36" spans="1:5" x14ac:dyDescent="0.25">
      <c r="A36" s="20"/>
      <c r="B36" s="27" t="s">
        <v>36</v>
      </c>
      <c r="C36" s="20"/>
      <c r="D36" s="20">
        <v>2565.5500000000002</v>
      </c>
      <c r="E36" s="20"/>
    </row>
    <row r="37" spans="1:5" x14ac:dyDescent="0.25">
      <c r="A37" s="20"/>
      <c r="B37" s="27" t="s">
        <v>67</v>
      </c>
      <c r="C37" s="20"/>
      <c r="D37" s="20">
        <v>17449.43</v>
      </c>
      <c r="E37" s="20"/>
    </row>
    <row r="38" spans="1:5" x14ac:dyDescent="0.25">
      <c r="A38" s="20"/>
      <c r="B38" s="20" t="s">
        <v>38</v>
      </c>
      <c r="C38" s="20"/>
      <c r="D38" s="20">
        <f>2322.91+2212.97</f>
        <v>4535.8799999999992</v>
      </c>
      <c r="E38" s="20"/>
    </row>
    <row r="39" spans="1:5" x14ac:dyDescent="0.25">
      <c r="A39" s="20">
        <v>4</v>
      </c>
      <c r="B39" s="22" t="s">
        <v>39</v>
      </c>
      <c r="C39" s="20"/>
      <c r="D39" s="26">
        <f>D40+D41</f>
        <v>35028.269999999997</v>
      </c>
      <c r="E39" s="26">
        <f>E40</f>
        <v>5768.9240599999994</v>
      </c>
    </row>
    <row r="40" spans="1:5" x14ac:dyDescent="0.25">
      <c r="A40" s="20"/>
      <c r="B40" s="31" t="s">
        <v>40</v>
      </c>
      <c r="C40" s="31"/>
      <c r="D40" s="32">
        <v>28559.03</v>
      </c>
      <c r="E40" s="28">
        <f>D40*20.2%</f>
        <v>5768.9240599999994</v>
      </c>
    </row>
    <row r="41" spans="1:5" x14ac:dyDescent="0.25">
      <c r="A41" s="20"/>
      <c r="B41" s="27" t="s">
        <v>41</v>
      </c>
      <c r="C41" s="20"/>
      <c r="D41" s="32">
        <v>6469.24</v>
      </c>
      <c r="E41" s="20"/>
    </row>
    <row r="42" spans="1:5" x14ac:dyDescent="0.25">
      <c r="A42" s="20">
        <v>5</v>
      </c>
      <c r="B42" s="22" t="s">
        <v>42</v>
      </c>
      <c r="C42" s="20"/>
      <c r="D42" s="26">
        <f>D21+E21+D27+E27+D30+D39+E39</f>
        <v>185764.89056</v>
      </c>
      <c r="E42" s="20"/>
    </row>
    <row r="43" spans="1:5" x14ac:dyDescent="0.25">
      <c r="A43" s="20">
        <v>6</v>
      </c>
      <c r="B43" s="20" t="s">
        <v>43</v>
      </c>
      <c r="C43" s="20"/>
      <c r="D43" s="26">
        <f>D18*6%</f>
        <v>14432.9802</v>
      </c>
      <c r="E43" s="20"/>
    </row>
    <row r="44" spans="1:5" x14ac:dyDescent="0.25">
      <c r="A44" s="20">
        <v>7</v>
      </c>
      <c r="B44" s="22" t="s">
        <v>44</v>
      </c>
      <c r="C44" s="20"/>
      <c r="D44" s="26">
        <f>D42+D43</f>
        <v>200197.87075999999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53</v>
      </c>
      <c r="C46" s="20"/>
      <c r="D46" s="26">
        <f>D18-D44</f>
        <v>40351.799240000022</v>
      </c>
      <c r="E46" s="20"/>
    </row>
    <row r="47" spans="1:5" x14ac:dyDescent="0.25">
      <c r="A47" s="20">
        <v>9</v>
      </c>
      <c r="B47" s="22" t="s">
        <v>45</v>
      </c>
      <c r="C47" s="20"/>
      <c r="D47" s="26">
        <f>D10+D46</f>
        <v>-953.73075999997673</v>
      </c>
      <c r="E47" s="20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3" workbookViewId="0">
      <selection activeCell="D46" sqref="D46"/>
    </sheetView>
  </sheetViews>
  <sheetFormatPr defaultRowHeight="15" x14ac:dyDescent="0.25"/>
  <cols>
    <col min="2" max="2" width="39.5703125" customWidth="1"/>
    <col min="4" max="4" width="10.85546875" customWidth="1"/>
    <col min="5" max="5" width="11.140625" customWidth="1"/>
  </cols>
  <sheetData>
    <row r="1" spans="1:5" ht="15.75" x14ac:dyDescent="0.25">
      <c r="A1" s="295"/>
      <c r="B1" s="296" t="s">
        <v>0</v>
      </c>
      <c r="C1" s="295"/>
      <c r="D1" s="295"/>
      <c r="E1" s="295"/>
    </row>
    <row r="2" spans="1:5" x14ac:dyDescent="0.25">
      <c r="A2" s="295"/>
      <c r="B2" s="295"/>
      <c r="C2" s="295"/>
      <c r="D2" s="295"/>
      <c r="E2" s="295"/>
    </row>
    <row r="3" spans="1:5" x14ac:dyDescent="0.25">
      <c r="A3" s="295"/>
      <c r="B3" s="295" t="s">
        <v>1</v>
      </c>
      <c r="C3" s="295"/>
      <c r="D3" s="295"/>
      <c r="E3" s="295"/>
    </row>
    <row r="4" spans="1:5" x14ac:dyDescent="0.25">
      <c r="A4" s="295"/>
      <c r="B4" s="438" t="s">
        <v>149</v>
      </c>
      <c r="C4" s="295"/>
      <c r="D4" s="295"/>
      <c r="E4" s="295"/>
    </row>
    <row r="5" spans="1:5" x14ac:dyDescent="0.25">
      <c r="A5" s="295"/>
      <c r="B5" s="295" t="s">
        <v>77</v>
      </c>
      <c r="C5" s="295"/>
      <c r="D5" s="295"/>
      <c r="E5" s="295"/>
    </row>
    <row r="6" spans="1:5" ht="15.75" x14ac:dyDescent="0.25">
      <c r="A6" s="297"/>
      <c r="B6" s="439" t="s">
        <v>3</v>
      </c>
      <c r="C6" s="440" t="s">
        <v>4</v>
      </c>
      <c r="D6" s="566" t="s">
        <v>5</v>
      </c>
      <c r="E6" s="567"/>
    </row>
    <row r="7" spans="1:5" ht="15.75" x14ac:dyDescent="0.25">
      <c r="A7" s="300"/>
      <c r="B7" s="298" t="s">
        <v>6</v>
      </c>
      <c r="C7" s="299" t="s">
        <v>7</v>
      </c>
      <c r="D7" s="568" t="s">
        <v>120</v>
      </c>
      <c r="E7" s="569"/>
    </row>
    <row r="8" spans="1:5" x14ac:dyDescent="0.25">
      <c r="A8" s="301"/>
      <c r="B8" s="301"/>
      <c r="C8" s="301"/>
      <c r="D8" s="302"/>
      <c r="E8" s="303"/>
    </row>
    <row r="9" spans="1:5" x14ac:dyDescent="0.25">
      <c r="A9" s="301"/>
      <c r="B9" s="304" t="s">
        <v>8</v>
      </c>
      <c r="C9" s="301"/>
      <c r="D9" s="302">
        <v>-144384.64000000001</v>
      </c>
      <c r="E9" s="303"/>
    </row>
    <row r="10" spans="1:5" x14ac:dyDescent="0.25">
      <c r="A10" s="305"/>
      <c r="B10" s="306" t="s">
        <v>9</v>
      </c>
      <c r="C10" s="305" t="s">
        <v>10</v>
      </c>
      <c r="D10" s="305">
        <v>5109.3</v>
      </c>
      <c r="E10" s="305"/>
    </row>
    <row r="11" spans="1:5" x14ac:dyDescent="0.25">
      <c r="A11" s="305"/>
      <c r="B11" s="306" t="s">
        <v>11</v>
      </c>
      <c r="C11" s="305" t="s">
        <v>10</v>
      </c>
      <c r="D11" s="305">
        <v>3548.4</v>
      </c>
      <c r="E11" s="305"/>
    </row>
    <row r="12" spans="1:5" x14ac:dyDescent="0.25">
      <c r="A12" s="305"/>
      <c r="B12" s="307" t="s">
        <v>12</v>
      </c>
      <c r="C12" s="305" t="s">
        <v>56</v>
      </c>
      <c r="D12" s="308">
        <v>165044.79</v>
      </c>
      <c r="E12" s="305"/>
    </row>
    <row r="13" spans="1:5" x14ac:dyDescent="0.25">
      <c r="A13" s="305"/>
      <c r="B13" s="305"/>
      <c r="C13" s="305"/>
      <c r="D13" s="305"/>
      <c r="E13" s="305"/>
    </row>
    <row r="14" spans="1:5" ht="15.75" x14ac:dyDescent="0.25">
      <c r="A14" s="305"/>
      <c r="B14" s="309" t="s">
        <v>14</v>
      </c>
      <c r="C14" s="305"/>
      <c r="D14" s="305"/>
      <c r="E14" s="305"/>
    </row>
    <row r="15" spans="1:5" x14ac:dyDescent="0.25">
      <c r="A15" s="305">
        <v>1</v>
      </c>
      <c r="B15" s="305" t="s">
        <v>15</v>
      </c>
      <c r="C15" s="305" t="s">
        <v>13</v>
      </c>
      <c r="D15" s="305">
        <v>154112.41</v>
      </c>
      <c r="E15" s="305"/>
    </row>
    <row r="16" spans="1:5" x14ac:dyDescent="0.25">
      <c r="A16" s="305"/>
      <c r="B16" s="305"/>
      <c r="C16" s="305"/>
      <c r="D16" s="305"/>
      <c r="E16" s="305"/>
    </row>
    <row r="17" spans="1:5" ht="15.75" x14ac:dyDescent="0.25">
      <c r="A17" s="305"/>
      <c r="B17" s="309" t="s">
        <v>17</v>
      </c>
      <c r="C17" s="305"/>
      <c r="D17" s="308">
        <f>D15</f>
        <v>154112.41</v>
      </c>
      <c r="E17" s="305"/>
    </row>
    <row r="18" spans="1:5" ht="15.75" x14ac:dyDescent="0.25">
      <c r="A18" s="305"/>
      <c r="B18" s="309"/>
      <c r="C18" s="305"/>
      <c r="D18" s="308"/>
      <c r="E18" s="305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D21+D25</f>
        <v>56333.420000000006</v>
      </c>
      <c r="E20" s="26">
        <f>E21+E25</f>
        <v>11279.80726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D22+D23+D24</f>
        <v>55840.630000000005</v>
      </c>
      <c r="E21" s="26">
        <f>E22+E23+E24</f>
        <v>11279.80726</v>
      </c>
    </row>
    <row r="22" spans="1:5" x14ac:dyDescent="0.25">
      <c r="A22" s="20"/>
      <c r="B22" s="20" t="s">
        <v>23</v>
      </c>
      <c r="C22" s="20"/>
      <c r="D22" s="20">
        <v>8378.06</v>
      </c>
      <c r="E22" s="28">
        <f>D22*20.2%</f>
        <v>1692.3681199999999</v>
      </c>
    </row>
    <row r="23" spans="1:5" x14ac:dyDescent="0.25">
      <c r="A23" s="20"/>
      <c r="B23" s="20" t="s">
        <v>24</v>
      </c>
      <c r="C23" s="20"/>
      <c r="D23" s="29">
        <v>27871.31</v>
      </c>
      <c r="E23" s="28">
        <f>D23*20.2%</f>
        <v>5630.0046199999997</v>
      </c>
    </row>
    <row r="24" spans="1:5" x14ac:dyDescent="0.25">
      <c r="A24" s="20"/>
      <c r="B24" s="20" t="s">
        <v>25</v>
      </c>
      <c r="C24" s="20"/>
      <c r="D24" s="20">
        <v>19591.259999999998</v>
      </c>
      <c r="E24" s="28">
        <f>D24*20.2%</f>
        <v>3957.4345199999993</v>
      </c>
    </row>
    <row r="25" spans="1:5" x14ac:dyDescent="0.25">
      <c r="A25" s="20">
        <v>2</v>
      </c>
      <c r="B25" s="27" t="s">
        <v>26</v>
      </c>
      <c r="C25" s="20"/>
      <c r="D25" s="20">
        <v>492.79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D27+D28+D29</f>
        <v>54970.97</v>
      </c>
      <c r="E26" s="26">
        <f>E27</f>
        <v>6783.3034199999993</v>
      </c>
    </row>
    <row r="27" spans="1:5" x14ac:dyDescent="0.25">
      <c r="A27" s="20">
        <v>1</v>
      </c>
      <c r="B27" s="31" t="s">
        <v>29</v>
      </c>
      <c r="C27" s="20"/>
      <c r="D27" s="31">
        <v>33580.71</v>
      </c>
      <c r="E27" s="28">
        <f>D27*20.2%</f>
        <v>6783.3034199999993</v>
      </c>
    </row>
    <row r="28" spans="1:5" x14ac:dyDescent="0.25">
      <c r="A28" s="20">
        <v>2</v>
      </c>
      <c r="B28" s="31" t="s">
        <v>26</v>
      </c>
      <c r="C28" s="20"/>
      <c r="D28" s="31">
        <v>2436.3000000000002</v>
      </c>
      <c r="E28" s="20"/>
    </row>
    <row r="29" spans="1:5" x14ac:dyDescent="0.25">
      <c r="A29" s="20">
        <v>3</v>
      </c>
      <c r="B29" s="31" t="s">
        <v>150</v>
      </c>
      <c r="C29" s="20"/>
      <c r="D29" s="31">
        <v>18953.96</v>
      </c>
      <c r="E29" s="20"/>
    </row>
    <row r="30" spans="1:5" x14ac:dyDescent="0.25">
      <c r="A30" s="24" t="s">
        <v>30</v>
      </c>
      <c r="B30" s="22" t="s">
        <v>31</v>
      </c>
      <c r="C30" s="20"/>
      <c r="D30" s="26">
        <f>D31+D32+D34+D36+D37+D33+D35</f>
        <v>20998.930500000002</v>
      </c>
      <c r="E30" s="20"/>
    </row>
    <row r="31" spans="1:5" x14ac:dyDescent="0.25">
      <c r="A31" s="20"/>
      <c r="B31" s="20" t="s">
        <v>32</v>
      </c>
      <c r="C31" s="20"/>
      <c r="D31" s="28">
        <f>D17*5%</f>
        <v>7705.6205000000009</v>
      </c>
      <c r="E31" s="20"/>
    </row>
    <row r="32" spans="1:5" x14ac:dyDescent="0.25">
      <c r="A32" s="20"/>
      <c r="B32" s="20" t="s">
        <v>62</v>
      </c>
      <c r="C32" s="20"/>
      <c r="D32" s="20">
        <v>442.13</v>
      </c>
      <c r="E32" s="20"/>
    </row>
    <row r="33" spans="1:5" x14ac:dyDescent="0.25">
      <c r="A33" s="20"/>
      <c r="B33" s="251" t="s">
        <v>33</v>
      </c>
      <c r="C33" s="20"/>
      <c r="D33" s="20">
        <v>2608</v>
      </c>
      <c r="E33" s="20"/>
    </row>
    <row r="34" spans="1:5" x14ac:dyDescent="0.25">
      <c r="A34" s="20"/>
      <c r="B34" s="20" t="s">
        <v>34</v>
      </c>
      <c r="C34" s="20"/>
      <c r="D34" s="28">
        <f>2783.47+2767.12</f>
        <v>5550.59</v>
      </c>
      <c r="E34" s="20"/>
    </row>
    <row r="35" spans="1:5" x14ac:dyDescent="0.25">
      <c r="A35" s="20"/>
      <c r="B35" s="13" t="s">
        <v>52</v>
      </c>
      <c r="C35" s="20"/>
      <c r="D35" s="28">
        <v>0</v>
      </c>
      <c r="E35" s="20"/>
    </row>
    <row r="36" spans="1:5" x14ac:dyDescent="0.25">
      <c r="A36" s="20"/>
      <c r="B36" s="27" t="s">
        <v>36</v>
      </c>
      <c r="C36" s="20"/>
      <c r="D36" s="20">
        <v>1695.3</v>
      </c>
      <c r="E36" s="20"/>
    </row>
    <row r="37" spans="1:5" x14ac:dyDescent="0.25">
      <c r="A37" s="20"/>
      <c r="B37" s="20" t="s">
        <v>38</v>
      </c>
      <c r="C37" s="20"/>
      <c r="D37" s="20">
        <f>1534.97+1462.32</f>
        <v>2997.29</v>
      </c>
      <c r="E37" s="20"/>
    </row>
    <row r="38" spans="1:5" x14ac:dyDescent="0.25">
      <c r="A38" s="20">
        <v>4</v>
      </c>
      <c r="B38" s="22" t="s">
        <v>39</v>
      </c>
      <c r="C38" s="20"/>
      <c r="D38" s="26">
        <f>D39+D40</f>
        <v>23146.49</v>
      </c>
      <c r="E38" s="26">
        <f>E39</f>
        <v>3812.0733</v>
      </c>
    </row>
    <row r="39" spans="1:5" x14ac:dyDescent="0.25">
      <c r="A39" s="31"/>
      <c r="B39" s="31" t="s">
        <v>40</v>
      </c>
      <c r="C39" s="31"/>
      <c r="D39" s="32">
        <v>18871.650000000001</v>
      </c>
      <c r="E39" s="28">
        <f>D39*20.2%</f>
        <v>3812.0733</v>
      </c>
    </row>
    <row r="40" spans="1:5" x14ac:dyDescent="0.25">
      <c r="A40" s="20"/>
      <c r="B40" s="27" t="s">
        <v>41</v>
      </c>
      <c r="C40" s="20"/>
      <c r="D40" s="32">
        <v>4274.84</v>
      </c>
      <c r="E40" s="20"/>
    </row>
    <row r="41" spans="1:5" x14ac:dyDescent="0.25">
      <c r="A41" s="20">
        <v>5</v>
      </c>
      <c r="B41" s="22" t="s">
        <v>42</v>
      </c>
      <c r="C41" s="20"/>
      <c r="D41" s="26">
        <f>D20+E20+D26+E26+D30+D38+E38</f>
        <v>177324.99447999999</v>
      </c>
      <c r="E41" s="20"/>
    </row>
    <row r="42" spans="1:5" x14ac:dyDescent="0.25">
      <c r="A42" s="20">
        <v>6</v>
      </c>
      <c r="B42" s="20" t="s">
        <v>43</v>
      </c>
      <c r="C42" s="20"/>
      <c r="D42" s="26">
        <f>D17*6%</f>
        <v>9246.7446</v>
      </c>
      <c r="E42" s="20"/>
    </row>
    <row r="43" spans="1:5" x14ac:dyDescent="0.25">
      <c r="A43" s="20">
        <v>7</v>
      </c>
      <c r="B43" s="22" t="s">
        <v>44</v>
      </c>
      <c r="C43" s="20"/>
      <c r="D43" s="26">
        <f>D41+D42</f>
        <v>186571.73908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53</v>
      </c>
      <c r="C45" s="20"/>
      <c r="D45" s="26">
        <f>D17-D43</f>
        <v>-32459.329079999996</v>
      </c>
      <c r="E45" s="20"/>
    </row>
    <row r="46" spans="1:5" x14ac:dyDescent="0.25">
      <c r="A46" s="20">
        <v>9</v>
      </c>
      <c r="B46" s="22" t="s">
        <v>45</v>
      </c>
      <c r="C46" s="20"/>
      <c r="D46" s="26">
        <f>D9+D45</f>
        <v>-176843.96908000001</v>
      </c>
      <c r="E46" s="20"/>
    </row>
    <row r="47" spans="1:5" x14ac:dyDescent="0.25">
      <c r="A47" s="33"/>
      <c r="B47" s="34"/>
      <c r="C47" s="33"/>
      <c r="D47" s="35"/>
      <c r="E47" s="33"/>
    </row>
    <row r="48" spans="1:5" x14ac:dyDescent="0.25">
      <c r="A48" s="36"/>
      <c r="B48" s="36" t="s">
        <v>46</v>
      </c>
      <c r="C48" s="36"/>
      <c r="D48" s="36" t="s">
        <v>47</v>
      </c>
      <c r="E48" s="36"/>
    </row>
    <row r="49" spans="1:5" x14ac:dyDescent="0.25">
      <c r="A49" s="36"/>
      <c r="B49" s="36" t="s">
        <v>48</v>
      </c>
      <c r="C49" s="36"/>
      <c r="D49" s="36" t="s">
        <v>49</v>
      </c>
      <c r="E49" s="36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E27" sqref="E27"/>
    </sheetView>
  </sheetViews>
  <sheetFormatPr defaultRowHeight="15" x14ac:dyDescent="0.25"/>
  <cols>
    <col min="1" max="1" width="5.85546875" customWidth="1"/>
    <col min="2" max="2" width="42.42578125" customWidth="1"/>
    <col min="4" max="4" width="10.7109375" customWidth="1"/>
    <col min="5" max="5" width="11.42578125" customWidth="1"/>
  </cols>
  <sheetData>
    <row r="1" spans="1:5" ht="15.75" x14ac:dyDescent="0.25">
      <c r="A1" s="310"/>
      <c r="B1" s="311" t="s">
        <v>0</v>
      </c>
      <c r="C1" s="310"/>
      <c r="D1" s="310"/>
      <c r="E1" s="310"/>
    </row>
    <row r="2" spans="1:5" x14ac:dyDescent="0.25">
      <c r="A2" s="310"/>
      <c r="B2" s="310"/>
      <c r="C2" s="310"/>
      <c r="D2" s="310"/>
      <c r="E2" s="310"/>
    </row>
    <row r="3" spans="1:5" x14ac:dyDescent="0.25">
      <c r="A3" s="310"/>
      <c r="B3" s="310" t="s">
        <v>1</v>
      </c>
      <c r="C3" s="310"/>
      <c r="D3" s="310"/>
      <c r="E3" s="310"/>
    </row>
    <row r="4" spans="1:5" x14ac:dyDescent="0.25">
      <c r="A4" s="310"/>
      <c r="B4" s="312" t="s">
        <v>151</v>
      </c>
      <c r="C4" s="310"/>
      <c r="D4" s="310"/>
      <c r="E4" s="310"/>
    </row>
    <row r="5" spans="1:5" x14ac:dyDescent="0.25">
      <c r="A5" s="310"/>
      <c r="B5" s="310" t="s">
        <v>50</v>
      </c>
      <c r="C5" s="310"/>
      <c r="D5" s="310"/>
      <c r="E5" s="310"/>
    </row>
    <row r="6" spans="1:5" x14ac:dyDescent="0.25">
      <c r="A6" s="313"/>
      <c r="B6" s="313"/>
      <c r="C6" s="313"/>
      <c r="D6" s="314"/>
      <c r="E6" s="315"/>
    </row>
    <row r="7" spans="1:5" ht="15.75" x14ac:dyDescent="0.25">
      <c r="A7" s="316"/>
      <c r="B7" s="317" t="s">
        <v>3</v>
      </c>
      <c r="C7" s="318" t="s">
        <v>4</v>
      </c>
      <c r="D7" s="570" t="s">
        <v>5</v>
      </c>
      <c r="E7" s="571"/>
    </row>
    <row r="8" spans="1:5" ht="15.75" x14ac:dyDescent="0.25">
      <c r="A8" s="319"/>
      <c r="B8" s="317" t="s">
        <v>6</v>
      </c>
      <c r="C8" s="318" t="s">
        <v>7</v>
      </c>
      <c r="D8" s="572" t="s">
        <v>132</v>
      </c>
      <c r="E8" s="573"/>
    </row>
    <row r="9" spans="1:5" x14ac:dyDescent="0.25">
      <c r="A9" s="320"/>
      <c r="B9" s="320"/>
      <c r="C9" s="320"/>
      <c r="D9" s="321"/>
      <c r="E9" s="322"/>
    </row>
    <row r="10" spans="1:5" x14ac:dyDescent="0.25">
      <c r="A10" s="320"/>
      <c r="B10" s="323" t="s">
        <v>8</v>
      </c>
      <c r="C10" s="320"/>
      <c r="D10" s="321">
        <v>-76096.31</v>
      </c>
      <c r="E10" s="322"/>
    </row>
    <row r="11" spans="1:5" x14ac:dyDescent="0.25">
      <c r="A11" s="324"/>
      <c r="B11" s="325" t="s">
        <v>9</v>
      </c>
      <c r="C11" s="324" t="s">
        <v>10</v>
      </c>
      <c r="D11" s="324">
        <v>5631.46</v>
      </c>
      <c r="E11" s="324"/>
    </row>
    <row r="12" spans="1:5" x14ac:dyDescent="0.25">
      <c r="A12" s="324"/>
      <c r="B12" s="325" t="s">
        <v>11</v>
      </c>
      <c r="C12" s="324" t="s">
        <v>10</v>
      </c>
      <c r="D12" s="324">
        <v>4522.7</v>
      </c>
      <c r="E12" s="324"/>
    </row>
    <row r="13" spans="1:5" x14ac:dyDescent="0.25">
      <c r="A13" s="324"/>
      <c r="B13" s="326" t="s">
        <v>12</v>
      </c>
      <c r="C13" s="324" t="s">
        <v>56</v>
      </c>
      <c r="D13" s="327">
        <f>86971.74*2</f>
        <v>173943.48</v>
      </c>
      <c r="E13" s="324"/>
    </row>
    <row r="14" spans="1:5" x14ac:dyDescent="0.25">
      <c r="A14" s="324"/>
      <c r="B14" s="324"/>
      <c r="C14" s="324"/>
      <c r="D14" s="324"/>
      <c r="E14" s="324"/>
    </row>
    <row r="15" spans="1:5" ht="15.75" x14ac:dyDescent="0.25">
      <c r="A15" s="324"/>
      <c r="B15" s="328" t="s">
        <v>14</v>
      </c>
      <c r="C15" s="324"/>
      <c r="D15" s="324"/>
      <c r="E15" s="324"/>
    </row>
    <row r="16" spans="1:5" x14ac:dyDescent="0.25">
      <c r="A16" s="324">
        <v>1</v>
      </c>
      <c r="B16" s="324" t="s">
        <v>15</v>
      </c>
      <c r="C16" s="324" t="s">
        <v>13</v>
      </c>
      <c r="D16" s="324">
        <v>163200.9</v>
      </c>
      <c r="E16" s="324"/>
    </row>
    <row r="17" spans="1:5" x14ac:dyDescent="0.25">
      <c r="A17" s="324"/>
      <c r="B17" s="324"/>
      <c r="C17" s="324"/>
      <c r="D17" s="324"/>
      <c r="E17" s="324"/>
    </row>
    <row r="18" spans="1:5" ht="15.75" x14ac:dyDescent="0.25">
      <c r="A18" s="324"/>
      <c r="B18" s="328" t="s">
        <v>17</v>
      </c>
      <c r="C18" s="324"/>
      <c r="D18" s="327">
        <f>D16</f>
        <v>163200.9</v>
      </c>
      <c r="E18" s="324"/>
    </row>
    <row r="19" spans="1:5" ht="15.75" x14ac:dyDescent="0.25">
      <c r="A19" s="324"/>
      <c r="B19" s="328"/>
      <c r="C19" s="324"/>
      <c r="D19" s="327"/>
      <c r="E19" s="324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2">
        <f>D22+D26+D25</f>
        <v>28889.719999999998</v>
      </c>
      <c r="E21" s="26">
        <f>E22</f>
        <v>5065.238879999999</v>
      </c>
    </row>
    <row r="22" spans="1:5" x14ac:dyDescent="0.25">
      <c r="A22" s="20">
        <v>1</v>
      </c>
      <c r="B22" s="22" t="s">
        <v>22</v>
      </c>
      <c r="C22" s="27" t="s">
        <v>13</v>
      </c>
      <c r="D22" s="22">
        <f>D23</f>
        <v>25075.439999999999</v>
      </c>
      <c r="E22" s="26">
        <f>E23</f>
        <v>5065.238879999999</v>
      </c>
    </row>
    <row r="23" spans="1:5" x14ac:dyDescent="0.25">
      <c r="A23" s="20"/>
      <c r="B23" s="20" t="s">
        <v>23</v>
      </c>
      <c r="C23" s="20"/>
      <c r="D23" s="20">
        <v>25075.439999999999</v>
      </c>
      <c r="E23" s="28">
        <f>D23*20.2%</f>
        <v>5065.238879999999</v>
      </c>
    </row>
    <row r="24" spans="1:5" x14ac:dyDescent="0.25">
      <c r="A24" s="20"/>
      <c r="B24" s="20" t="s">
        <v>24</v>
      </c>
      <c r="C24" s="20"/>
      <c r="D24" s="29"/>
      <c r="E24" s="28"/>
    </row>
    <row r="25" spans="1:5" x14ac:dyDescent="0.25">
      <c r="A25" s="20"/>
      <c r="B25" s="20" t="s">
        <v>79</v>
      </c>
      <c r="C25" s="20"/>
      <c r="D25" s="20">
        <v>3186.18</v>
      </c>
      <c r="E25" s="28"/>
    </row>
    <row r="26" spans="1:5" x14ac:dyDescent="0.25">
      <c r="A26" s="20">
        <v>2</v>
      </c>
      <c r="B26" s="27" t="s">
        <v>26</v>
      </c>
      <c r="C26" s="20"/>
      <c r="D26" s="20">
        <v>628.1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</f>
        <v>43434.38</v>
      </c>
      <c r="E27" s="26">
        <f>E28</f>
        <v>8645.8242199999986</v>
      </c>
    </row>
    <row r="28" spans="1:5" x14ac:dyDescent="0.25">
      <c r="A28" s="20">
        <v>1</v>
      </c>
      <c r="B28" s="31" t="s">
        <v>29</v>
      </c>
      <c r="C28" s="20"/>
      <c r="D28" s="31">
        <v>42801.11</v>
      </c>
      <c r="E28" s="28">
        <f>D28*20.2%</f>
        <v>8645.8242199999986</v>
      </c>
    </row>
    <row r="29" spans="1:5" x14ac:dyDescent="0.25">
      <c r="A29" s="20">
        <v>2</v>
      </c>
      <c r="B29" s="31" t="s">
        <v>26</v>
      </c>
      <c r="C29" s="20"/>
      <c r="D29" s="31">
        <v>633.27</v>
      </c>
      <c r="E29" s="20"/>
    </row>
    <row r="30" spans="1:5" x14ac:dyDescent="0.25">
      <c r="A30" s="24" t="s">
        <v>30</v>
      </c>
      <c r="B30" s="22" t="s">
        <v>31</v>
      </c>
      <c r="C30" s="20"/>
      <c r="D30" s="26">
        <f>D31+D32+D33+D35+D36+D37+D34</f>
        <v>29566.364999999998</v>
      </c>
      <c r="E30" s="20"/>
    </row>
    <row r="31" spans="1:5" x14ac:dyDescent="0.25">
      <c r="A31" s="20"/>
      <c r="B31" s="20" t="s">
        <v>32</v>
      </c>
      <c r="C31" s="20"/>
      <c r="D31" s="28">
        <f>D18*5%</f>
        <v>8160.0450000000001</v>
      </c>
      <c r="E31" s="20"/>
    </row>
    <row r="32" spans="1:5" x14ac:dyDescent="0.25">
      <c r="A32" s="20"/>
      <c r="B32" s="20" t="s">
        <v>62</v>
      </c>
      <c r="C32" s="20"/>
      <c r="D32" s="20">
        <v>1066.5899999999999</v>
      </c>
      <c r="E32" s="20"/>
    </row>
    <row r="33" spans="1:5" x14ac:dyDescent="0.25">
      <c r="A33" s="20"/>
      <c r="B33" s="20" t="s">
        <v>34</v>
      </c>
      <c r="C33" s="20"/>
      <c r="D33" s="28">
        <f>3547.74+3526.9</f>
        <v>7074.6399999999994</v>
      </c>
      <c r="E33" s="20"/>
    </row>
    <row r="34" spans="1:5" x14ac:dyDescent="0.25">
      <c r="A34" s="20"/>
      <c r="B34" s="13" t="s">
        <v>52</v>
      </c>
      <c r="C34" s="20"/>
      <c r="D34" s="28">
        <v>0</v>
      </c>
      <c r="E34" s="20"/>
    </row>
    <row r="35" spans="1:5" x14ac:dyDescent="0.25">
      <c r="A35" s="20"/>
      <c r="B35" s="27" t="s">
        <v>36</v>
      </c>
      <c r="C35" s="20"/>
      <c r="D35" s="20">
        <v>2160.79</v>
      </c>
      <c r="E35" s="20"/>
    </row>
    <row r="36" spans="1:5" x14ac:dyDescent="0.25">
      <c r="A36" s="20"/>
      <c r="B36" s="27" t="s">
        <v>67</v>
      </c>
      <c r="C36" s="20"/>
      <c r="D36" s="20">
        <v>7284.03</v>
      </c>
      <c r="E36" s="20"/>
    </row>
    <row r="37" spans="1:5" x14ac:dyDescent="0.25">
      <c r="A37" s="20"/>
      <c r="B37" s="20" t="s">
        <v>38</v>
      </c>
      <c r="C37" s="20"/>
      <c r="D37" s="20">
        <f>1956.43+1863.84</f>
        <v>3820.27</v>
      </c>
      <c r="E37" s="20"/>
    </row>
    <row r="38" spans="1:5" x14ac:dyDescent="0.25">
      <c r="A38" s="20">
        <v>4</v>
      </c>
      <c r="B38" s="22" t="s">
        <v>39</v>
      </c>
      <c r="C38" s="20"/>
      <c r="D38" s="26">
        <f>D39+D40</f>
        <v>29501.93</v>
      </c>
      <c r="E38" s="26">
        <f>E39</f>
        <v>4858.7706399999997</v>
      </c>
    </row>
    <row r="39" spans="1:5" x14ac:dyDescent="0.25">
      <c r="A39" s="31"/>
      <c r="B39" s="31" t="s">
        <v>40</v>
      </c>
      <c r="C39" s="31"/>
      <c r="D39" s="32">
        <v>24053.32</v>
      </c>
      <c r="E39" s="28">
        <f>D39*20.2%</f>
        <v>4858.7706399999997</v>
      </c>
    </row>
    <row r="40" spans="1:5" x14ac:dyDescent="0.25">
      <c r="A40" s="20"/>
      <c r="B40" s="27" t="s">
        <v>41</v>
      </c>
      <c r="C40" s="20"/>
      <c r="D40" s="32">
        <v>5448.61</v>
      </c>
      <c r="E40" s="20"/>
    </row>
    <row r="41" spans="1:5" x14ac:dyDescent="0.25">
      <c r="A41" s="20">
        <v>5</v>
      </c>
      <c r="B41" s="22" t="s">
        <v>42</v>
      </c>
      <c r="C41" s="20"/>
      <c r="D41" s="26">
        <f>D21+E21+D27+E27+D30+D38+E38</f>
        <v>149962.22873999999</v>
      </c>
      <c r="E41" s="20"/>
    </row>
    <row r="42" spans="1:5" x14ac:dyDescent="0.25">
      <c r="A42" s="20">
        <v>6</v>
      </c>
      <c r="B42" s="20" t="s">
        <v>43</v>
      </c>
      <c r="C42" s="20"/>
      <c r="D42" s="26">
        <f>D18*6%</f>
        <v>9792.0540000000001</v>
      </c>
      <c r="E42" s="20"/>
    </row>
    <row r="43" spans="1:5" x14ac:dyDescent="0.25">
      <c r="A43" s="20">
        <v>7</v>
      </c>
      <c r="B43" s="22" t="s">
        <v>44</v>
      </c>
      <c r="C43" s="20"/>
      <c r="D43" s="26">
        <f>D41+D42</f>
        <v>159754.28274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53</v>
      </c>
      <c r="C45" s="20"/>
      <c r="D45" s="26">
        <f>D18-D43</f>
        <v>3446.6172599999991</v>
      </c>
      <c r="E45" s="20"/>
    </row>
    <row r="46" spans="1:5" x14ac:dyDescent="0.25">
      <c r="A46" s="20">
        <v>9</v>
      </c>
      <c r="B46" s="22" t="s">
        <v>45</v>
      </c>
      <c r="C46" s="20"/>
      <c r="D46" s="26">
        <f>D10+D45</f>
        <v>-72649.692739999999</v>
      </c>
      <c r="E46" s="20"/>
    </row>
    <row r="47" spans="1:5" x14ac:dyDescent="0.25">
      <c r="A47" s="33"/>
      <c r="B47" s="34"/>
      <c r="C47" s="33"/>
      <c r="D47" s="35"/>
      <c r="E47" s="33"/>
    </row>
    <row r="48" spans="1:5" x14ac:dyDescent="0.25">
      <c r="A48" s="36"/>
      <c r="B48" s="36" t="s">
        <v>46</v>
      </c>
      <c r="C48" s="36"/>
      <c r="D48" s="36" t="s">
        <v>47</v>
      </c>
      <c r="E48" s="36"/>
    </row>
    <row r="49" spans="1:5" x14ac:dyDescent="0.25">
      <c r="A49" s="36"/>
      <c r="B49" s="36" t="s">
        <v>48</v>
      </c>
      <c r="C49" s="36"/>
      <c r="D49" s="36" t="s">
        <v>49</v>
      </c>
      <c r="E49" s="36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9" workbookViewId="0">
      <selection activeCell="B4" sqref="B4"/>
    </sheetView>
  </sheetViews>
  <sheetFormatPr defaultRowHeight="15" x14ac:dyDescent="0.25"/>
  <cols>
    <col min="1" max="1" width="7.28515625" customWidth="1"/>
    <col min="2" max="2" width="40" customWidth="1"/>
    <col min="4" max="4" width="11.5703125" customWidth="1"/>
    <col min="5" max="5" width="11.7109375" customWidth="1"/>
  </cols>
  <sheetData>
    <row r="1" spans="1:5" ht="15.75" x14ac:dyDescent="0.25">
      <c r="A1" s="237"/>
      <c r="B1" s="46" t="s">
        <v>0</v>
      </c>
      <c r="C1" s="237"/>
      <c r="D1" s="237"/>
      <c r="E1" s="237"/>
    </row>
    <row r="2" spans="1:5" x14ac:dyDescent="0.25">
      <c r="A2" s="237"/>
      <c r="B2" s="237"/>
      <c r="C2" s="237"/>
      <c r="D2" s="237"/>
      <c r="E2" s="237"/>
    </row>
    <row r="3" spans="1:5" x14ac:dyDescent="0.25">
      <c r="A3" s="237"/>
      <c r="B3" s="237" t="s">
        <v>1</v>
      </c>
      <c r="C3" s="237"/>
      <c r="D3" s="237"/>
      <c r="E3" s="237"/>
    </row>
    <row r="4" spans="1:5" x14ac:dyDescent="0.25">
      <c r="A4" s="237"/>
      <c r="B4" s="237" t="s">
        <v>105</v>
      </c>
      <c r="C4" s="237"/>
      <c r="D4" s="237"/>
      <c r="E4" s="237"/>
    </row>
    <row r="5" spans="1:5" x14ac:dyDescent="0.25">
      <c r="A5" s="500"/>
      <c r="B5" s="500"/>
      <c r="C5" s="500"/>
      <c r="D5" s="466"/>
      <c r="E5" s="467"/>
    </row>
    <row r="6" spans="1:5" x14ac:dyDescent="0.25">
      <c r="A6" s="468"/>
      <c r="B6" s="468"/>
      <c r="C6" s="468"/>
      <c r="D6" s="399"/>
      <c r="E6" s="469"/>
    </row>
    <row r="7" spans="1:5" ht="15.75" x14ac:dyDescent="0.25">
      <c r="A7" s="470"/>
      <c r="B7" s="47" t="s">
        <v>3</v>
      </c>
      <c r="C7" s="48" t="s">
        <v>4</v>
      </c>
      <c r="D7" s="498" t="s">
        <v>5</v>
      </c>
      <c r="E7" s="499"/>
    </row>
    <row r="8" spans="1:5" ht="15.75" x14ac:dyDescent="0.25">
      <c r="A8" s="470"/>
      <c r="B8" s="47" t="s">
        <v>6</v>
      </c>
      <c r="C8" s="48" t="s">
        <v>7</v>
      </c>
      <c r="D8" s="501" t="s">
        <v>100</v>
      </c>
      <c r="E8" s="502"/>
    </row>
    <row r="9" spans="1:5" x14ac:dyDescent="0.25">
      <c r="A9" s="460"/>
      <c r="B9" s="460"/>
      <c r="C9" s="460"/>
      <c r="D9" s="471"/>
      <c r="E9" s="472"/>
    </row>
    <row r="10" spans="1:5" x14ac:dyDescent="0.25">
      <c r="A10" s="460"/>
      <c r="B10" s="49" t="s">
        <v>61</v>
      </c>
      <c r="C10" s="460"/>
      <c r="D10" s="31">
        <v>-12093.59</v>
      </c>
      <c r="E10" s="472"/>
    </row>
    <row r="11" spans="1:5" x14ac:dyDescent="0.25">
      <c r="A11" s="31"/>
      <c r="B11" s="465" t="s">
        <v>9</v>
      </c>
      <c r="C11" s="31" t="s">
        <v>10</v>
      </c>
      <c r="D11" s="31">
        <v>8417.7000000000007</v>
      </c>
      <c r="E11" s="31"/>
    </row>
    <row r="12" spans="1:5" x14ac:dyDescent="0.25">
      <c r="A12" s="31"/>
      <c r="B12" s="465" t="s">
        <v>11</v>
      </c>
      <c r="C12" s="31" t="s">
        <v>10</v>
      </c>
      <c r="D12" s="31">
        <v>5992</v>
      </c>
      <c r="E12" s="31"/>
    </row>
    <row r="13" spans="1:5" x14ac:dyDescent="0.25">
      <c r="A13" s="31"/>
      <c r="B13" s="25" t="s">
        <v>12</v>
      </c>
      <c r="C13" s="31" t="s">
        <v>13</v>
      </c>
      <c r="D13" s="22">
        <v>230452.32</v>
      </c>
      <c r="E13" s="31"/>
    </row>
    <row r="14" spans="1:5" x14ac:dyDescent="0.25">
      <c r="A14" s="31"/>
      <c r="B14" s="31"/>
      <c r="C14" s="31"/>
      <c r="D14" s="31"/>
      <c r="E14" s="31"/>
    </row>
    <row r="15" spans="1:5" ht="15.75" x14ac:dyDescent="0.25">
      <c r="A15" s="31"/>
      <c r="B15" s="21" t="s">
        <v>14</v>
      </c>
      <c r="C15" s="31"/>
      <c r="D15" s="31"/>
      <c r="E15" s="31"/>
    </row>
    <row r="16" spans="1:5" x14ac:dyDescent="0.25">
      <c r="A16" s="31">
        <v>1</v>
      </c>
      <c r="B16" s="31" t="s">
        <v>15</v>
      </c>
      <c r="C16" s="31" t="s">
        <v>13</v>
      </c>
      <c r="D16" s="22">
        <v>216477.55</v>
      </c>
      <c r="E16" s="31"/>
    </row>
    <row r="17" spans="1:5" x14ac:dyDescent="0.25">
      <c r="A17" s="31">
        <v>2</v>
      </c>
      <c r="B17" s="31" t="s">
        <v>101</v>
      </c>
      <c r="C17" s="31"/>
      <c r="D17" s="22">
        <v>2400</v>
      </c>
      <c r="E17" s="31"/>
    </row>
    <row r="18" spans="1:5" ht="15.75" x14ac:dyDescent="0.25">
      <c r="A18" s="31"/>
      <c r="B18" s="21" t="s">
        <v>17</v>
      </c>
      <c r="C18" s="31"/>
      <c r="D18" s="26">
        <f>D16+D17</f>
        <v>218877.55</v>
      </c>
      <c r="E18" s="31"/>
    </row>
    <row r="19" spans="1:5" ht="15.75" x14ac:dyDescent="0.25">
      <c r="A19" s="31"/>
      <c r="B19" s="21"/>
      <c r="C19" s="31"/>
      <c r="D19" s="26"/>
      <c r="E19" s="31"/>
    </row>
    <row r="20" spans="1:5" ht="15.75" x14ac:dyDescent="0.25">
      <c r="A20" s="31"/>
      <c r="B20" s="21" t="s">
        <v>18</v>
      </c>
      <c r="C20" s="31"/>
      <c r="D20" s="22"/>
      <c r="E20" s="31" t="s">
        <v>63</v>
      </c>
    </row>
    <row r="21" spans="1:5" x14ac:dyDescent="0.25">
      <c r="A21" s="465" t="s">
        <v>20</v>
      </c>
      <c r="B21" s="25" t="s">
        <v>21</v>
      </c>
      <c r="C21" s="31"/>
      <c r="D21" s="26">
        <f>D22+D26+D25</f>
        <v>23888.45</v>
      </c>
      <c r="E21" s="26">
        <f>E22</f>
        <v>3938.4667199999999</v>
      </c>
    </row>
    <row r="22" spans="1:5" x14ac:dyDescent="0.25">
      <c r="A22" s="31">
        <v>1</v>
      </c>
      <c r="B22" s="22" t="s">
        <v>22</v>
      </c>
      <c r="C22" s="31" t="s">
        <v>13</v>
      </c>
      <c r="D22" s="26">
        <f>D23</f>
        <v>19497.36</v>
      </c>
      <c r="E22" s="26">
        <f>E23+E24+E25</f>
        <v>3938.4667199999999</v>
      </c>
    </row>
    <row r="23" spans="1:5" x14ac:dyDescent="0.25">
      <c r="A23" s="31"/>
      <c r="B23" s="31" t="s">
        <v>23</v>
      </c>
      <c r="C23" s="31"/>
      <c r="D23" s="31">
        <v>19497.36</v>
      </c>
      <c r="E23" s="32">
        <f>D23*20.2%</f>
        <v>3938.4667199999999</v>
      </c>
    </row>
    <row r="24" spans="1:5" x14ac:dyDescent="0.25">
      <c r="A24" s="31"/>
      <c r="B24" s="31" t="s">
        <v>24</v>
      </c>
      <c r="C24" s="31"/>
      <c r="D24" s="473">
        <v>0</v>
      </c>
      <c r="E24" s="32"/>
    </row>
    <row r="25" spans="1:5" x14ac:dyDescent="0.25">
      <c r="A25" s="31"/>
      <c r="B25" s="31" t="s">
        <v>79</v>
      </c>
      <c r="C25" s="31"/>
      <c r="D25" s="31">
        <v>3528.95</v>
      </c>
      <c r="E25" s="32"/>
    </row>
    <row r="26" spans="1:5" x14ac:dyDescent="0.25">
      <c r="A26" s="31">
        <v>2</v>
      </c>
      <c r="B26" s="31" t="s">
        <v>26</v>
      </c>
      <c r="C26" s="31"/>
      <c r="D26" s="31">
        <v>862.14</v>
      </c>
      <c r="E26" s="32"/>
    </row>
    <row r="27" spans="1:5" x14ac:dyDescent="0.25">
      <c r="A27" s="465" t="s">
        <v>27</v>
      </c>
      <c r="B27" s="30" t="s">
        <v>28</v>
      </c>
      <c r="C27" s="31"/>
      <c r="D27" s="22">
        <f>D28+D29</f>
        <v>62266.369999999995</v>
      </c>
      <c r="E27" s="26">
        <f>E28</f>
        <v>11867.340419999999</v>
      </c>
    </row>
    <row r="28" spans="1:5" x14ac:dyDescent="0.25">
      <c r="A28" s="31">
        <v>1</v>
      </c>
      <c r="B28" s="31" t="s">
        <v>29</v>
      </c>
      <c r="C28" s="31"/>
      <c r="D28" s="31">
        <v>58749.21</v>
      </c>
      <c r="E28" s="32">
        <f>D28*20.2%</f>
        <v>11867.340419999999</v>
      </c>
    </row>
    <row r="29" spans="1:5" x14ac:dyDescent="0.25">
      <c r="A29" s="31">
        <v>2</v>
      </c>
      <c r="B29" s="31" t="s">
        <v>26</v>
      </c>
      <c r="C29" s="31"/>
      <c r="D29" s="31">
        <v>3517.16</v>
      </c>
      <c r="E29" s="31"/>
    </row>
    <row r="30" spans="1:5" x14ac:dyDescent="0.25">
      <c r="A30" s="465" t="s">
        <v>30</v>
      </c>
      <c r="B30" s="22" t="s">
        <v>31</v>
      </c>
      <c r="C30" s="31"/>
      <c r="D30" s="26">
        <f>D31+D34+D35+D36+D37+D32+D33</f>
        <v>29546.087500000001</v>
      </c>
      <c r="E30" s="31"/>
    </row>
    <row r="31" spans="1:5" x14ac:dyDescent="0.25">
      <c r="A31" s="31"/>
      <c r="B31" s="31" t="s">
        <v>32</v>
      </c>
      <c r="C31" s="31"/>
      <c r="D31" s="32">
        <f>D18*5%</f>
        <v>10943.877500000001</v>
      </c>
      <c r="E31" s="31"/>
    </row>
    <row r="32" spans="1:5" x14ac:dyDescent="0.25">
      <c r="A32" s="31"/>
      <c r="B32" s="31" t="s">
        <v>62</v>
      </c>
      <c r="C32" s="31"/>
      <c r="D32" s="32">
        <v>681.84</v>
      </c>
      <c r="E32" s="31"/>
    </row>
    <row r="33" spans="1:5" x14ac:dyDescent="0.25">
      <c r="A33" s="31"/>
      <c r="B33" s="31" t="s">
        <v>106</v>
      </c>
      <c r="C33" s="31"/>
      <c r="D33" s="32">
        <v>0</v>
      </c>
      <c r="E33" s="31"/>
    </row>
    <row r="34" spans="1:5" x14ac:dyDescent="0.25">
      <c r="A34" s="31"/>
      <c r="B34" s="31" t="s">
        <v>34</v>
      </c>
      <c r="C34" s="31"/>
      <c r="D34" s="32">
        <f>4869.67+4841.05</f>
        <v>9710.7200000000012</v>
      </c>
      <c r="E34" s="31"/>
    </row>
    <row r="35" spans="1:5" x14ac:dyDescent="0.25">
      <c r="A35" s="31"/>
      <c r="B35" s="31" t="s">
        <v>36</v>
      </c>
      <c r="C35" s="31"/>
      <c r="D35" s="31">
        <v>2965.92</v>
      </c>
      <c r="E35" s="31"/>
    </row>
    <row r="36" spans="1:5" x14ac:dyDescent="0.25">
      <c r="A36" s="31"/>
      <c r="B36" s="31" t="s">
        <v>67</v>
      </c>
      <c r="C36" s="31"/>
      <c r="D36" s="31">
        <v>0</v>
      </c>
      <c r="E36" s="31"/>
    </row>
    <row r="37" spans="1:5" x14ac:dyDescent="0.25">
      <c r="A37" s="31"/>
      <c r="B37" s="31" t="s">
        <v>38</v>
      </c>
      <c r="C37" s="31"/>
      <c r="D37" s="31">
        <f>2685.41+2558.32</f>
        <v>5243.73</v>
      </c>
      <c r="E37" s="31"/>
    </row>
    <row r="38" spans="1:5" x14ac:dyDescent="0.25">
      <c r="A38" s="31">
        <v>4</v>
      </c>
      <c r="B38" s="22" t="s">
        <v>39</v>
      </c>
      <c r="C38" s="31"/>
      <c r="D38" s="26">
        <f>D39+D40</f>
        <v>36745.57</v>
      </c>
      <c r="E38" s="26">
        <f>E39</f>
        <v>6669.1936199999991</v>
      </c>
    </row>
    <row r="39" spans="1:5" x14ac:dyDescent="0.25">
      <c r="A39" s="31"/>
      <c r="B39" s="31" t="s">
        <v>64</v>
      </c>
      <c r="C39" s="31"/>
      <c r="D39" s="32">
        <v>33015.81</v>
      </c>
      <c r="E39" s="32">
        <f>D39*20.2%</f>
        <v>6669.1936199999991</v>
      </c>
    </row>
    <row r="40" spans="1:5" x14ac:dyDescent="0.25">
      <c r="A40" s="31"/>
      <c r="B40" s="31" t="s">
        <v>41</v>
      </c>
      <c r="C40" s="31"/>
      <c r="D40" s="32">
        <v>3729.76</v>
      </c>
      <c r="E40" s="31"/>
    </row>
    <row r="41" spans="1:5" x14ac:dyDescent="0.25">
      <c r="A41" s="31">
        <v>5</v>
      </c>
      <c r="B41" s="22" t="s">
        <v>42</v>
      </c>
      <c r="C41" s="31"/>
      <c r="D41" s="26">
        <f>D21+E21+D27+E27+D30+D38+E38</f>
        <v>174921.47826</v>
      </c>
      <c r="E41" s="31"/>
    </row>
    <row r="42" spans="1:5" x14ac:dyDescent="0.25">
      <c r="A42" s="31">
        <v>6</v>
      </c>
      <c r="B42" s="31" t="s">
        <v>43</v>
      </c>
      <c r="C42" s="31"/>
      <c r="D42" s="26">
        <f>D18*6%</f>
        <v>13132.652999999998</v>
      </c>
      <c r="E42" s="31"/>
    </row>
    <row r="43" spans="1:5" x14ac:dyDescent="0.25">
      <c r="A43" s="31">
        <v>7</v>
      </c>
      <c r="B43" s="22" t="s">
        <v>44</v>
      </c>
      <c r="C43" s="31"/>
      <c r="D43" s="26">
        <f>D41+D42</f>
        <v>188054.13125999999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53</v>
      </c>
      <c r="C45" s="31"/>
      <c r="D45" s="26">
        <f>D18-D43</f>
        <v>30823.418739999994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D10+D45</f>
        <v>18729.828739999994</v>
      </c>
      <c r="E46" s="31"/>
    </row>
    <row r="47" spans="1:5" x14ac:dyDescent="0.25">
      <c r="A47" s="399"/>
      <c r="B47" s="34"/>
      <c r="C47" s="399"/>
      <c r="D47" s="35"/>
      <c r="E47" s="399"/>
    </row>
    <row r="48" spans="1:5" x14ac:dyDescent="0.25">
      <c r="A48" s="237"/>
      <c r="B48" s="237" t="s">
        <v>46</v>
      </c>
      <c r="C48" s="237"/>
      <c r="D48" s="237" t="s">
        <v>47</v>
      </c>
      <c r="E48" s="237"/>
    </row>
    <row r="49" spans="1:5" x14ac:dyDescent="0.25">
      <c r="A49" s="237"/>
      <c r="B49" s="237" t="s">
        <v>48</v>
      </c>
      <c r="C49" s="237"/>
      <c r="D49" s="237" t="s">
        <v>49</v>
      </c>
      <c r="E49" s="237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4" workbookViewId="0">
      <selection activeCell="D30" sqref="D30"/>
    </sheetView>
  </sheetViews>
  <sheetFormatPr defaultRowHeight="15" x14ac:dyDescent="0.25"/>
  <cols>
    <col min="1" max="1" width="6.42578125" customWidth="1"/>
    <col min="2" max="2" width="44.7109375" customWidth="1"/>
    <col min="4" max="4" width="11.140625" customWidth="1"/>
    <col min="5" max="5" width="11.28515625" customWidth="1"/>
  </cols>
  <sheetData>
    <row r="1" spans="1:5" ht="15.75" x14ac:dyDescent="0.25">
      <c r="A1" s="329"/>
      <c r="B1" s="330" t="s">
        <v>0</v>
      </c>
      <c r="C1" s="329"/>
      <c r="D1" s="329"/>
      <c r="E1" s="329"/>
    </row>
    <row r="2" spans="1:5" x14ac:dyDescent="0.25">
      <c r="A2" s="329"/>
      <c r="B2" s="329" t="s">
        <v>1</v>
      </c>
      <c r="C2" s="329"/>
      <c r="D2" s="329"/>
      <c r="E2" s="329"/>
    </row>
    <row r="3" spans="1:5" x14ac:dyDescent="0.25">
      <c r="A3" s="329"/>
      <c r="B3" s="441" t="s">
        <v>155</v>
      </c>
      <c r="C3" s="329"/>
      <c r="D3" s="329"/>
      <c r="E3" s="329"/>
    </row>
    <row r="4" spans="1:5" x14ac:dyDescent="0.25">
      <c r="A4" s="329"/>
      <c r="B4" s="329" t="s">
        <v>50</v>
      </c>
      <c r="C4" s="329"/>
      <c r="D4" s="329"/>
      <c r="E4" s="329"/>
    </row>
    <row r="5" spans="1:5" ht="15.75" x14ac:dyDescent="0.25">
      <c r="A5" s="331"/>
      <c r="B5" s="442" t="s">
        <v>3</v>
      </c>
      <c r="C5" s="443" t="s">
        <v>4</v>
      </c>
      <c r="D5" s="574" t="s">
        <v>5</v>
      </c>
      <c r="E5" s="575"/>
    </row>
    <row r="6" spans="1:5" ht="15.75" x14ac:dyDescent="0.25">
      <c r="A6" s="334"/>
      <c r="B6" s="332" t="s">
        <v>6</v>
      </c>
      <c r="C6" s="333" t="s">
        <v>7</v>
      </c>
      <c r="D6" s="576" t="s">
        <v>132</v>
      </c>
      <c r="E6" s="577"/>
    </row>
    <row r="7" spans="1:5" x14ac:dyDescent="0.25">
      <c r="A7" s="335"/>
      <c r="B7" s="335"/>
      <c r="C7" s="335"/>
      <c r="D7" s="336"/>
      <c r="E7" s="337"/>
    </row>
    <row r="8" spans="1:5" x14ac:dyDescent="0.25">
      <c r="A8" s="335"/>
      <c r="B8" s="338" t="s">
        <v>8</v>
      </c>
      <c r="C8" s="335"/>
      <c r="D8" s="336">
        <v>-123544.32000000001</v>
      </c>
      <c r="E8" s="337"/>
    </row>
    <row r="9" spans="1:5" x14ac:dyDescent="0.25">
      <c r="A9" s="339"/>
      <c r="B9" s="340" t="s">
        <v>9</v>
      </c>
      <c r="C9" s="339" t="s">
        <v>10</v>
      </c>
      <c r="D9" s="339">
        <v>3614.7</v>
      </c>
      <c r="E9" s="339"/>
    </row>
    <row r="10" spans="1:5" x14ac:dyDescent="0.25">
      <c r="A10" s="339"/>
      <c r="B10" s="340" t="s">
        <v>11</v>
      </c>
      <c r="C10" s="339" t="s">
        <v>10</v>
      </c>
      <c r="D10" s="339">
        <v>2649.9</v>
      </c>
      <c r="E10" s="339"/>
    </row>
    <row r="11" spans="1:5" x14ac:dyDescent="0.25">
      <c r="A11" s="339"/>
      <c r="B11" s="341" t="s">
        <v>12</v>
      </c>
      <c r="C11" s="339" t="s">
        <v>56</v>
      </c>
      <c r="D11" s="342">
        <v>119642.3</v>
      </c>
      <c r="E11" s="339"/>
    </row>
    <row r="12" spans="1:5" x14ac:dyDescent="0.25">
      <c r="A12" s="339"/>
      <c r="B12" s="339"/>
      <c r="C12" s="339"/>
      <c r="D12" s="339"/>
      <c r="E12" s="339"/>
    </row>
    <row r="13" spans="1:5" ht="15.75" x14ac:dyDescent="0.25">
      <c r="A13" s="339"/>
      <c r="B13" s="343" t="s">
        <v>14</v>
      </c>
      <c r="C13" s="339"/>
      <c r="D13" s="339"/>
      <c r="E13" s="339"/>
    </row>
    <row r="14" spans="1:5" x14ac:dyDescent="0.25">
      <c r="A14" s="339">
        <v>1</v>
      </c>
      <c r="B14" s="339" t="s">
        <v>15</v>
      </c>
      <c r="C14" s="339" t="s">
        <v>13</v>
      </c>
      <c r="D14" s="339">
        <v>105221.33</v>
      </c>
      <c r="E14" s="339"/>
    </row>
    <row r="15" spans="1:5" x14ac:dyDescent="0.25">
      <c r="A15" s="339"/>
      <c r="B15" s="339"/>
      <c r="C15" s="339"/>
      <c r="D15" s="339"/>
      <c r="E15" s="339"/>
    </row>
    <row r="16" spans="1:5" ht="15.75" x14ac:dyDescent="0.25">
      <c r="A16" s="339"/>
      <c r="B16" s="343" t="s">
        <v>17</v>
      </c>
      <c r="C16" s="339"/>
      <c r="D16" s="342">
        <f>D14</f>
        <v>105221.33</v>
      </c>
      <c r="E16" s="339"/>
    </row>
    <row r="17" spans="1:5" ht="15.75" x14ac:dyDescent="0.25">
      <c r="A17" s="339"/>
      <c r="B17" s="343"/>
      <c r="C17" s="339"/>
      <c r="D17" s="342"/>
      <c r="E17" s="339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D20+D25+D24</f>
        <v>48103.199999999997</v>
      </c>
      <c r="E19" s="26">
        <f>E20</f>
        <v>9518.2238400000006</v>
      </c>
    </row>
    <row r="20" spans="1:5" x14ac:dyDescent="0.25">
      <c r="A20" s="20">
        <v>1</v>
      </c>
      <c r="B20" s="22" t="s">
        <v>22</v>
      </c>
      <c r="C20" s="27" t="s">
        <v>13</v>
      </c>
      <c r="D20" s="26">
        <f>D21+D22+D23</f>
        <v>47119.92</v>
      </c>
      <c r="E20" s="26">
        <f>E21+E22+E23</f>
        <v>9518.2238400000006</v>
      </c>
    </row>
    <row r="21" spans="1:5" x14ac:dyDescent="0.25">
      <c r="A21" s="20"/>
      <c r="B21" s="20" t="s">
        <v>23</v>
      </c>
      <c r="C21" s="20"/>
      <c r="D21" s="20">
        <v>14369.54</v>
      </c>
      <c r="E21" s="28">
        <f>D21*20.2%</f>
        <v>2902.6470800000002</v>
      </c>
    </row>
    <row r="22" spans="1:5" x14ac:dyDescent="0.25">
      <c r="A22" s="20"/>
      <c r="B22" s="20" t="s">
        <v>24</v>
      </c>
      <c r="C22" s="20"/>
      <c r="D22" s="29">
        <v>10277.73</v>
      </c>
      <c r="E22" s="28">
        <f>D22*20.2%</f>
        <v>2076.1014599999999</v>
      </c>
    </row>
    <row r="23" spans="1:5" x14ac:dyDescent="0.25">
      <c r="A23" s="20"/>
      <c r="B23" s="20" t="s">
        <v>25</v>
      </c>
      <c r="C23" s="20"/>
      <c r="D23" s="20">
        <v>22472.65</v>
      </c>
      <c r="E23" s="28">
        <f>D23*20.2%</f>
        <v>4539.4753000000001</v>
      </c>
    </row>
    <row r="24" spans="1:5" x14ac:dyDescent="0.25">
      <c r="A24" s="20"/>
      <c r="B24" s="20" t="s">
        <v>79</v>
      </c>
      <c r="C24" s="20"/>
      <c r="D24" s="20">
        <v>615.27</v>
      </c>
      <c r="E24" s="28"/>
    </row>
    <row r="25" spans="1:5" x14ac:dyDescent="0.25">
      <c r="A25" s="20">
        <v>2</v>
      </c>
      <c r="B25" s="27" t="s">
        <v>26</v>
      </c>
      <c r="C25" s="20"/>
      <c r="D25" s="20">
        <v>368.01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</f>
        <v>25279.050000000003</v>
      </c>
      <c r="E26" s="26">
        <f>E27</f>
        <v>5065.6853000000001</v>
      </c>
    </row>
    <row r="27" spans="1:5" x14ac:dyDescent="0.25">
      <c r="A27" s="20">
        <v>1</v>
      </c>
      <c r="B27" s="31" t="s">
        <v>29</v>
      </c>
      <c r="C27" s="20"/>
      <c r="D27" s="31">
        <v>25077.65</v>
      </c>
      <c r="E27" s="28">
        <f>D27*20.2%</f>
        <v>5065.6853000000001</v>
      </c>
    </row>
    <row r="28" spans="1:5" x14ac:dyDescent="0.25">
      <c r="A28" s="20">
        <v>2</v>
      </c>
      <c r="B28" s="31" t="s">
        <v>26</v>
      </c>
      <c r="C28" s="20"/>
      <c r="D28" s="31">
        <v>201.4</v>
      </c>
      <c r="E28" s="20"/>
    </row>
    <row r="29" spans="1:5" x14ac:dyDescent="0.25">
      <c r="A29" s="24" t="s">
        <v>30</v>
      </c>
      <c r="B29" s="22" t="s">
        <v>31</v>
      </c>
      <c r="C29" s="20"/>
      <c r="D29" s="26">
        <f>D30+D31+D33+D35+D36+D34+D32</f>
        <v>13120.386500000001</v>
      </c>
      <c r="E29" s="20"/>
    </row>
    <row r="30" spans="1:5" x14ac:dyDescent="0.25">
      <c r="A30" s="20"/>
      <c r="B30" s="20" t="s">
        <v>32</v>
      </c>
      <c r="C30" s="20"/>
      <c r="D30" s="28">
        <f>D16*5%</f>
        <v>5261.0665000000008</v>
      </c>
      <c r="E30" s="20"/>
    </row>
    <row r="31" spans="1:5" x14ac:dyDescent="0.25">
      <c r="A31" s="20"/>
      <c r="B31" s="20" t="s">
        <v>62</v>
      </c>
      <c r="C31" s="20"/>
      <c r="D31" s="20">
        <v>209.85</v>
      </c>
      <c r="E31" s="20"/>
    </row>
    <row r="32" spans="1:5" x14ac:dyDescent="0.25">
      <c r="A32" s="20"/>
      <c r="B32" s="31" t="s">
        <v>33</v>
      </c>
      <c r="C32" s="20"/>
      <c r="D32" s="20">
        <v>0</v>
      </c>
      <c r="E32" s="20"/>
    </row>
    <row r="33" spans="1:5" x14ac:dyDescent="0.25">
      <c r="A33" s="20"/>
      <c r="B33" s="20" t="s">
        <v>34</v>
      </c>
      <c r="C33" s="20"/>
      <c r="D33" s="28">
        <f>2078.66+2066.45</f>
        <v>4145.1099999999997</v>
      </c>
      <c r="E33" s="20"/>
    </row>
    <row r="34" spans="1:5" x14ac:dyDescent="0.25">
      <c r="A34" s="20"/>
      <c r="B34" s="13" t="s">
        <v>52</v>
      </c>
      <c r="C34" s="20"/>
      <c r="D34" s="28">
        <v>0</v>
      </c>
      <c r="E34" s="20"/>
    </row>
    <row r="35" spans="1:5" x14ac:dyDescent="0.25">
      <c r="A35" s="20"/>
      <c r="B35" s="27" t="s">
        <v>36</v>
      </c>
      <c r="C35" s="20"/>
      <c r="D35" s="20">
        <v>1266.03</v>
      </c>
      <c r="E35" s="20"/>
    </row>
    <row r="36" spans="1:5" x14ac:dyDescent="0.25">
      <c r="A36" s="20"/>
      <c r="B36" s="20" t="s">
        <v>38</v>
      </c>
      <c r="C36" s="20"/>
      <c r="D36" s="20">
        <f>1146.29+1092.04</f>
        <v>2238.33</v>
      </c>
      <c r="E36" s="20"/>
    </row>
    <row r="37" spans="1:5" x14ac:dyDescent="0.25">
      <c r="A37" s="20">
        <v>4</v>
      </c>
      <c r="B37" s="22" t="s">
        <v>39</v>
      </c>
      <c r="C37" s="20"/>
      <c r="D37" s="26">
        <f>D38+D39</f>
        <v>17285.5</v>
      </c>
      <c r="E37" s="26">
        <f>E38</f>
        <v>2846.8082199999999</v>
      </c>
    </row>
    <row r="38" spans="1:5" x14ac:dyDescent="0.25">
      <c r="A38" s="20"/>
      <c r="B38" s="31" t="s">
        <v>40</v>
      </c>
      <c r="C38" s="31"/>
      <c r="D38" s="32">
        <v>14093.11</v>
      </c>
      <c r="E38" s="28">
        <f>D38*20.2%</f>
        <v>2846.8082199999999</v>
      </c>
    </row>
    <row r="39" spans="1:5" x14ac:dyDescent="0.25">
      <c r="A39" s="20"/>
      <c r="B39" s="27" t="s">
        <v>41</v>
      </c>
      <c r="C39" s="20"/>
      <c r="D39" s="32">
        <v>3192.39</v>
      </c>
      <c r="E39" s="20"/>
    </row>
    <row r="40" spans="1:5" x14ac:dyDescent="0.25">
      <c r="A40" s="20">
        <v>5</v>
      </c>
      <c r="B40" s="22" t="s">
        <v>42</v>
      </c>
      <c r="C40" s="20"/>
      <c r="D40" s="26">
        <f>D19+E19+D26+E26+D29+D37+E37</f>
        <v>121218.85386</v>
      </c>
      <c r="E40" s="20"/>
    </row>
    <row r="41" spans="1:5" x14ac:dyDescent="0.25">
      <c r="A41" s="20">
        <v>6</v>
      </c>
      <c r="B41" s="20" t="s">
        <v>43</v>
      </c>
      <c r="C41" s="20"/>
      <c r="D41" s="26">
        <f>D16*6%</f>
        <v>6313.2798000000003</v>
      </c>
      <c r="E41" s="20"/>
    </row>
    <row r="42" spans="1:5" x14ac:dyDescent="0.25">
      <c r="A42" s="20">
        <v>7</v>
      </c>
      <c r="B42" s="22" t="s">
        <v>44</v>
      </c>
      <c r="C42" s="20"/>
      <c r="D42" s="26">
        <f>D40+D41</f>
        <v>127532.13366000001</v>
      </c>
      <c r="E42" s="20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20">
        <v>8</v>
      </c>
      <c r="B44" s="22" t="s">
        <v>53</v>
      </c>
      <c r="C44" s="20"/>
      <c r="D44" s="26">
        <f>D16-D42</f>
        <v>-22310.803660000005</v>
      </c>
      <c r="E44" s="20"/>
    </row>
    <row r="45" spans="1:5" x14ac:dyDescent="0.25">
      <c r="A45" s="20">
        <v>9</v>
      </c>
      <c r="B45" s="22" t="s">
        <v>45</v>
      </c>
      <c r="C45" s="20"/>
      <c r="D45" s="26">
        <f>D8+D44</f>
        <v>-145855.12366000001</v>
      </c>
      <c r="E45" s="20"/>
    </row>
    <row r="46" spans="1:5" x14ac:dyDescent="0.25">
      <c r="A46" s="33"/>
      <c r="B46" s="34"/>
      <c r="C46" s="33"/>
      <c r="D46" s="35"/>
      <c r="E46" s="33"/>
    </row>
    <row r="47" spans="1:5" x14ac:dyDescent="0.25">
      <c r="A47" s="36"/>
      <c r="B47" s="36" t="s">
        <v>46</v>
      </c>
      <c r="C47" s="36"/>
      <c r="D47" s="36" t="s">
        <v>47</v>
      </c>
      <c r="E47" s="36"/>
    </row>
    <row r="48" spans="1:5" x14ac:dyDescent="0.25">
      <c r="A48" s="36"/>
      <c r="B48" s="36" t="s">
        <v>48</v>
      </c>
      <c r="C48" s="36"/>
      <c r="D48" s="36" t="s">
        <v>49</v>
      </c>
      <c r="E48" s="36"/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7" workbookViewId="0">
      <selection activeCell="D13" sqref="D13"/>
    </sheetView>
  </sheetViews>
  <sheetFormatPr defaultRowHeight="15" x14ac:dyDescent="0.25"/>
  <cols>
    <col min="1" max="1" width="7.85546875" customWidth="1"/>
    <col min="2" max="2" width="40.42578125" customWidth="1"/>
    <col min="4" max="4" width="11.140625" customWidth="1"/>
    <col min="5" max="5" width="10.5703125" customWidth="1"/>
  </cols>
  <sheetData>
    <row r="1" spans="1:5" ht="15.75" x14ac:dyDescent="0.25">
      <c r="A1" s="344"/>
      <c r="B1" s="345" t="s">
        <v>0</v>
      </c>
      <c r="C1" s="344"/>
      <c r="D1" s="344"/>
      <c r="E1" s="344"/>
    </row>
    <row r="2" spans="1:5" x14ac:dyDescent="0.25">
      <c r="A2" s="344"/>
      <c r="B2" s="344" t="s">
        <v>1</v>
      </c>
      <c r="C2" s="344"/>
      <c r="D2" s="344"/>
      <c r="E2" s="344"/>
    </row>
    <row r="3" spans="1:5" x14ac:dyDescent="0.25">
      <c r="A3" s="344"/>
      <c r="B3" s="346" t="s">
        <v>152</v>
      </c>
      <c r="C3" s="344"/>
      <c r="D3" s="344"/>
      <c r="E3" s="344"/>
    </row>
    <row r="4" spans="1:5" x14ac:dyDescent="0.25">
      <c r="A4" s="578"/>
      <c r="B4" s="578"/>
      <c r="C4" s="578"/>
      <c r="D4" s="409"/>
      <c r="E4" s="347"/>
    </row>
    <row r="5" spans="1:5" x14ac:dyDescent="0.25">
      <c r="A5" s="348"/>
      <c r="B5" s="348"/>
      <c r="C5" s="348"/>
      <c r="D5" s="349"/>
      <c r="E5" s="350"/>
    </row>
    <row r="6" spans="1:5" ht="15.75" x14ac:dyDescent="0.25">
      <c r="A6" s="348"/>
      <c r="B6" s="351" t="s">
        <v>3</v>
      </c>
      <c r="C6" s="352" t="s">
        <v>4</v>
      </c>
      <c r="D6" s="579" t="s">
        <v>5</v>
      </c>
      <c r="E6" s="580"/>
    </row>
    <row r="7" spans="1:5" ht="15.75" x14ac:dyDescent="0.25">
      <c r="A7" s="353"/>
      <c r="B7" s="351" t="s">
        <v>6</v>
      </c>
      <c r="C7" s="352" t="s">
        <v>7</v>
      </c>
      <c r="D7" s="581" t="s">
        <v>132</v>
      </c>
      <c r="E7" s="582"/>
    </row>
    <row r="8" spans="1:5" x14ac:dyDescent="0.25">
      <c r="A8" s="354"/>
      <c r="B8" s="354"/>
      <c r="C8" s="354"/>
      <c r="D8" s="355"/>
      <c r="E8" s="356"/>
    </row>
    <row r="9" spans="1:5" x14ac:dyDescent="0.25">
      <c r="A9" s="354"/>
      <c r="B9" s="357" t="s">
        <v>8</v>
      </c>
      <c r="C9" s="354"/>
      <c r="D9" s="355">
        <v>-255075.29</v>
      </c>
      <c r="E9" s="356"/>
    </row>
    <row r="10" spans="1:5" x14ac:dyDescent="0.25">
      <c r="A10" s="358"/>
      <c r="B10" s="359" t="s">
        <v>9</v>
      </c>
      <c r="C10" s="358" t="s">
        <v>10</v>
      </c>
      <c r="D10" s="358">
        <v>5453.7</v>
      </c>
      <c r="E10" s="358"/>
    </row>
    <row r="11" spans="1:5" x14ac:dyDescent="0.25">
      <c r="A11" s="358"/>
      <c r="B11" s="359" t="s">
        <v>11</v>
      </c>
      <c r="C11" s="358" t="s">
        <v>10</v>
      </c>
      <c r="D11" s="358">
        <v>4435.2</v>
      </c>
      <c r="E11" s="358"/>
    </row>
    <row r="12" spans="1:5" x14ac:dyDescent="0.25">
      <c r="A12" s="358"/>
      <c r="B12" s="360" t="s">
        <v>12</v>
      </c>
      <c r="C12" s="358" t="s">
        <v>56</v>
      </c>
      <c r="D12" s="361">
        <v>200712.01</v>
      </c>
      <c r="E12" s="358"/>
    </row>
    <row r="13" spans="1:5" x14ac:dyDescent="0.25">
      <c r="A13" s="358"/>
      <c r="B13" s="358"/>
      <c r="C13" s="358"/>
      <c r="D13" s="358"/>
      <c r="E13" s="358"/>
    </row>
    <row r="14" spans="1:5" ht="15.75" x14ac:dyDescent="0.25">
      <c r="A14" s="358"/>
      <c r="B14" s="362" t="s">
        <v>14</v>
      </c>
      <c r="C14" s="358"/>
      <c r="D14" s="358"/>
      <c r="E14" s="358"/>
    </row>
    <row r="15" spans="1:5" x14ac:dyDescent="0.25">
      <c r="A15" s="358">
        <v>1</v>
      </c>
      <c r="B15" s="358" t="s">
        <v>15</v>
      </c>
      <c r="C15" s="358" t="s">
        <v>13</v>
      </c>
      <c r="D15" s="358">
        <v>183182.62</v>
      </c>
      <c r="E15" s="358"/>
    </row>
    <row r="16" spans="1:5" x14ac:dyDescent="0.25">
      <c r="A16" s="358"/>
      <c r="B16" s="358"/>
      <c r="C16" s="358"/>
      <c r="D16" s="358"/>
      <c r="E16" s="358"/>
    </row>
    <row r="17" spans="1:5" ht="15.75" x14ac:dyDescent="0.25">
      <c r="A17" s="358"/>
      <c r="B17" s="362" t="s">
        <v>17</v>
      </c>
      <c r="C17" s="358"/>
      <c r="D17" s="361">
        <f>D15</f>
        <v>183182.62</v>
      </c>
      <c r="E17" s="358"/>
    </row>
    <row r="18" spans="1:5" ht="15.75" x14ac:dyDescent="0.25">
      <c r="A18" s="358"/>
      <c r="B18" s="362"/>
      <c r="C18" s="358"/>
      <c r="D18" s="361"/>
      <c r="E18" s="358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D21+D26+D25</f>
        <v>78082.279999999984</v>
      </c>
      <c r="E20" s="26">
        <f>E21</f>
        <v>15265.13192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D22+D23+D24</f>
        <v>75569.959999999992</v>
      </c>
      <c r="E21" s="26">
        <f>E22+E23+E24</f>
        <v>15265.13192</v>
      </c>
    </row>
    <row r="22" spans="1:5" x14ac:dyDescent="0.25">
      <c r="A22" s="20"/>
      <c r="B22" s="20" t="s">
        <v>23</v>
      </c>
      <c r="C22" s="20"/>
      <c r="D22" s="20">
        <v>17523.919999999998</v>
      </c>
      <c r="E22" s="28">
        <f>D22*20.2%</f>
        <v>3539.8318399999994</v>
      </c>
    </row>
    <row r="23" spans="1:5" x14ac:dyDescent="0.25">
      <c r="A23" s="20"/>
      <c r="B23" s="20" t="s">
        <v>24</v>
      </c>
      <c r="C23" s="20"/>
      <c r="D23" s="29">
        <v>20358.64</v>
      </c>
      <c r="E23" s="28">
        <f>D23*20.2%</f>
        <v>4112.4452799999999</v>
      </c>
    </row>
    <row r="24" spans="1:5" x14ac:dyDescent="0.25">
      <c r="A24" s="20"/>
      <c r="B24" s="20" t="s">
        <v>25</v>
      </c>
      <c r="C24" s="20"/>
      <c r="D24" s="20">
        <v>37687.4</v>
      </c>
      <c r="E24" s="28">
        <f>D24*20.2%</f>
        <v>7612.8548000000001</v>
      </c>
    </row>
    <row r="25" spans="1:5" x14ac:dyDescent="0.25">
      <c r="A25" s="20"/>
      <c r="B25" s="20" t="s">
        <v>79</v>
      </c>
      <c r="C25" s="20"/>
      <c r="D25" s="20">
        <v>1896.37</v>
      </c>
      <c r="E25" s="28"/>
    </row>
    <row r="26" spans="1:5" x14ac:dyDescent="0.25">
      <c r="A26" s="20">
        <v>2</v>
      </c>
      <c r="B26" s="27" t="s">
        <v>26</v>
      </c>
      <c r="C26" s="20"/>
      <c r="D26" s="20">
        <v>615.95000000000005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</f>
        <v>42623.710000000006</v>
      </c>
      <c r="E27" s="26">
        <f>E28</f>
        <v>8478.5560999999998</v>
      </c>
    </row>
    <row r="28" spans="1:5" x14ac:dyDescent="0.25">
      <c r="A28" s="20">
        <v>1</v>
      </c>
      <c r="B28" s="31" t="s">
        <v>29</v>
      </c>
      <c r="C28" s="20"/>
      <c r="D28" s="31">
        <v>41973.05</v>
      </c>
      <c r="E28" s="28">
        <f>D28*20.2%</f>
        <v>8478.5560999999998</v>
      </c>
    </row>
    <row r="29" spans="1:5" x14ac:dyDescent="0.25">
      <c r="A29" s="20">
        <v>2</v>
      </c>
      <c r="B29" s="31" t="s">
        <v>26</v>
      </c>
      <c r="C29" s="20"/>
      <c r="D29" s="31">
        <v>650.66</v>
      </c>
      <c r="E29" s="20"/>
    </row>
    <row r="30" spans="1:5" x14ac:dyDescent="0.25">
      <c r="A30" s="24" t="s">
        <v>30</v>
      </c>
      <c r="B30" s="22" t="s">
        <v>31</v>
      </c>
      <c r="C30" s="20"/>
      <c r="D30" s="26">
        <f>D31+D32+D33+D34+D36+D37+D35</f>
        <v>22594.341</v>
      </c>
      <c r="E30" s="20"/>
    </row>
    <row r="31" spans="1:5" x14ac:dyDescent="0.25">
      <c r="A31" s="20"/>
      <c r="B31" s="20" t="s">
        <v>32</v>
      </c>
      <c r="C31" s="20"/>
      <c r="D31" s="28">
        <f>D17*5%</f>
        <v>9159.1309999999994</v>
      </c>
      <c r="E31" s="20"/>
    </row>
    <row r="32" spans="1:5" x14ac:dyDescent="0.25">
      <c r="A32" s="20"/>
      <c r="B32" s="20" t="s">
        <v>62</v>
      </c>
      <c r="C32" s="20"/>
      <c r="D32" s="20">
        <v>632.1</v>
      </c>
      <c r="E32" s="20"/>
    </row>
    <row r="33" spans="1:5" x14ac:dyDescent="0.25">
      <c r="A33" s="20"/>
      <c r="B33" s="20" t="s">
        <v>33</v>
      </c>
      <c r="C33" s="20"/>
      <c r="D33" s="20">
        <v>0</v>
      </c>
      <c r="E33" s="20"/>
    </row>
    <row r="34" spans="1:5" x14ac:dyDescent="0.25">
      <c r="A34" s="20"/>
      <c r="B34" s="31" t="s">
        <v>34</v>
      </c>
      <c r="C34" s="20"/>
      <c r="D34" s="28">
        <f>3479.11+3458.66</f>
        <v>6937.77</v>
      </c>
      <c r="E34" s="20"/>
    </row>
    <row r="35" spans="1:5" x14ac:dyDescent="0.25">
      <c r="A35" s="20"/>
      <c r="B35" s="13" t="s">
        <v>52</v>
      </c>
      <c r="C35" s="20"/>
      <c r="D35" s="28">
        <v>0</v>
      </c>
      <c r="E35" s="20"/>
    </row>
    <row r="36" spans="1:5" x14ac:dyDescent="0.25">
      <c r="A36" s="20"/>
      <c r="B36" s="27" t="s">
        <v>36</v>
      </c>
      <c r="C36" s="20"/>
      <c r="D36" s="20">
        <f>2118.98</f>
        <v>2118.98</v>
      </c>
      <c r="E36" s="20"/>
    </row>
    <row r="37" spans="1:5" x14ac:dyDescent="0.25">
      <c r="A37" s="20"/>
      <c r="B37" s="31" t="s">
        <v>38</v>
      </c>
      <c r="C37" s="20"/>
      <c r="D37" s="20">
        <f>1918.58+1827.78</f>
        <v>3746.3599999999997</v>
      </c>
      <c r="E37" s="20"/>
    </row>
    <row r="38" spans="1:5" x14ac:dyDescent="0.25">
      <c r="A38" s="20">
        <v>4</v>
      </c>
      <c r="B38" s="22" t="s">
        <v>39</v>
      </c>
      <c r="C38" s="20"/>
      <c r="D38" s="26">
        <f>D39+D40</f>
        <v>28931.15</v>
      </c>
      <c r="E38" s="26">
        <f>E39</f>
        <v>4764.7699400000001</v>
      </c>
    </row>
    <row r="39" spans="1:5" x14ac:dyDescent="0.25">
      <c r="A39" s="20"/>
      <c r="B39" s="31" t="s">
        <v>40</v>
      </c>
      <c r="C39" s="31"/>
      <c r="D39" s="32">
        <v>23587.97</v>
      </c>
      <c r="E39" s="28">
        <f>D39*20.2%</f>
        <v>4764.7699400000001</v>
      </c>
    </row>
    <row r="40" spans="1:5" x14ac:dyDescent="0.25">
      <c r="A40" s="20"/>
      <c r="B40" s="27" t="s">
        <v>41</v>
      </c>
      <c r="C40" s="20"/>
      <c r="D40" s="32">
        <v>5343.18</v>
      </c>
      <c r="E40" s="20"/>
    </row>
    <row r="41" spans="1:5" x14ac:dyDescent="0.25">
      <c r="A41" s="20">
        <v>5</v>
      </c>
      <c r="B41" s="22" t="s">
        <v>42</v>
      </c>
      <c r="C41" s="20"/>
      <c r="D41" s="26">
        <f>D20+E20+D27+E27+D30+D38+E38</f>
        <v>200739.93896</v>
      </c>
      <c r="E41" s="20"/>
    </row>
    <row r="42" spans="1:5" x14ac:dyDescent="0.25">
      <c r="A42" s="20">
        <v>6</v>
      </c>
      <c r="B42" s="20" t="s">
        <v>43</v>
      </c>
      <c r="C42" s="20"/>
      <c r="D42" s="26">
        <f>D17*6%</f>
        <v>10990.957199999999</v>
      </c>
      <c r="E42" s="20"/>
    </row>
    <row r="43" spans="1:5" x14ac:dyDescent="0.25">
      <c r="A43" s="20">
        <v>7</v>
      </c>
      <c r="B43" s="22" t="s">
        <v>44</v>
      </c>
      <c r="C43" s="20"/>
      <c r="D43" s="26">
        <f>D41+D42</f>
        <v>211730.89616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53</v>
      </c>
      <c r="C45" s="20"/>
      <c r="D45" s="26">
        <f>D17-D43</f>
        <v>-28548.276160000009</v>
      </c>
      <c r="E45" s="20"/>
    </row>
    <row r="46" spans="1:5" x14ac:dyDescent="0.25">
      <c r="A46" s="20">
        <v>9</v>
      </c>
      <c r="B46" s="22" t="s">
        <v>45</v>
      </c>
      <c r="C46" s="20"/>
      <c r="D46" s="26">
        <f>D9+D45</f>
        <v>-283623.56616000005</v>
      </c>
      <c r="E46" s="20"/>
    </row>
    <row r="47" spans="1:5" x14ac:dyDescent="0.25">
      <c r="A47" s="33"/>
      <c r="B47" s="34"/>
      <c r="C47" s="33"/>
      <c r="D47" s="35"/>
      <c r="E47" s="33"/>
    </row>
    <row r="48" spans="1:5" x14ac:dyDescent="0.25">
      <c r="A48" s="36"/>
      <c r="B48" s="36" t="s">
        <v>46</v>
      </c>
      <c r="C48" s="36"/>
      <c r="D48" s="36" t="s">
        <v>47</v>
      </c>
      <c r="E48" s="36"/>
    </row>
    <row r="49" spans="1:5" x14ac:dyDescent="0.25">
      <c r="A49" s="36"/>
      <c r="B49" s="36" t="s">
        <v>48</v>
      </c>
      <c r="C49" s="36"/>
      <c r="D49" s="36" t="s">
        <v>49</v>
      </c>
      <c r="E49" s="36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E25" sqref="E25"/>
    </sheetView>
  </sheetViews>
  <sheetFormatPr defaultRowHeight="15" x14ac:dyDescent="0.25"/>
  <cols>
    <col min="1" max="1" width="7.140625" customWidth="1"/>
    <col min="2" max="2" width="41.5703125" customWidth="1"/>
    <col min="4" max="4" width="11.140625" customWidth="1"/>
    <col min="5" max="5" width="11" customWidth="1"/>
  </cols>
  <sheetData>
    <row r="1" spans="1:5" ht="15.75" x14ac:dyDescent="0.25">
      <c r="A1" s="363"/>
      <c r="B1" s="364" t="s">
        <v>0</v>
      </c>
      <c r="C1" s="363"/>
      <c r="D1" s="363"/>
      <c r="E1" s="363"/>
    </row>
    <row r="2" spans="1:5" x14ac:dyDescent="0.25">
      <c r="A2" s="363"/>
      <c r="B2" s="363" t="s">
        <v>1</v>
      </c>
      <c r="C2" s="363"/>
      <c r="D2" s="363"/>
      <c r="E2" s="363"/>
    </row>
    <row r="3" spans="1:5" x14ac:dyDescent="0.25">
      <c r="A3" s="363"/>
      <c r="B3" s="444" t="s">
        <v>157</v>
      </c>
      <c r="C3" s="363"/>
      <c r="D3" s="363"/>
      <c r="E3" s="363"/>
    </row>
    <row r="4" spans="1:5" x14ac:dyDescent="0.25">
      <c r="A4" s="583"/>
      <c r="B4" s="583"/>
      <c r="C4" s="583"/>
      <c r="D4" s="410"/>
      <c r="E4" s="365"/>
    </row>
    <row r="5" spans="1:5" x14ac:dyDescent="0.25">
      <c r="A5" s="366"/>
      <c r="B5" s="366"/>
      <c r="C5" s="366"/>
      <c r="D5" s="367"/>
      <c r="E5" s="368"/>
    </row>
    <row r="6" spans="1:5" ht="15.75" x14ac:dyDescent="0.25">
      <c r="A6" s="366"/>
      <c r="B6" s="369" t="s">
        <v>3</v>
      </c>
      <c r="C6" s="370" t="s">
        <v>4</v>
      </c>
      <c r="D6" s="584" t="s">
        <v>5</v>
      </c>
      <c r="E6" s="585"/>
    </row>
    <row r="7" spans="1:5" ht="15.75" x14ac:dyDescent="0.25">
      <c r="A7" s="371"/>
      <c r="B7" s="369" t="s">
        <v>6</v>
      </c>
      <c r="C7" s="370" t="s">
        <v>7</v>
      </c>
      <c r="D7" s="586" t="s">
        <v>132</v>
      </c>
      <c r="E7" s="587"/>
    </row>
    <row r="8" spans="1:5" x14ac:dyDescent="0.25">
      <c r="A8" s="372"/>
      <c r="B8" s="372"/>
      <c r="C8" s="372"/>
      <c r="D8" s="373"/>
      <c r="E8" s="374"/>
    </row>
    <row r="9" spans="1:5" x14ac:dyDescent="0.25">
      <c r="A9" s="372"/>
      <c r="B9" s="375" t="s">
        <v>134</v>
      </c>
      <c r="C9" s="372"/>
      <c r="D9" s="373">
        <v>-62057.8</v>
      </c>
      <c r="E9" s="374"/>
    </row>
    <row r="10" spans="1:5" x14ac:dyDescent="0.25">
      <c r="A10" s="372"/>
      <c r="B10" s="375" t="s">
        <v>135</v>
      </c>
      <c r="C10" s="372"/>
      <c r="D10" s="373">
        <v>79553.98</v>
      </c>
      <c r="E10" s="374"/>
    </row>
    <row r="11" spans="1:5" x14ac:dyDescent="0.25">
      <c r="A11" s="376"/>
      <c r="B11" s="377" t="s">
        <v>9</v>
      </c>
      <c r="C11" s="376" t="s">
        <v>10</v>
      </c>
      <c r="D11" s="376">
        <v>7865.6</v>
      </c>
      <c r="E11" s="376"/>
    </row>
    <row r="12" spans="1:5" x14ac:dyDescent="0.25">
      <c r="A12" s="376"/>
      <c r="B12" s="377" t="s">
        <v>11</v>
      </c>
      <c r="C12" s="376" t="s">
        <v>10</v>
      </c>
      <c r="D12" s="376">
        <v>3607.56</v>
      </c>
      <c r="E12" s="376"/>
    </row>
    <row r="13" spans="1:5" x14ac:dyDescent="0.25">
      <c r="A13" s="376"/>
      <c r="B13" s="378" t="s">
        <v>12</v>
      </c>
      <c r="C13" s="376" t="s">
        <v>56</v>
      </c>
      <c r="D13" s="379">
        <v>171903.71</v>
      </c>
      <c r="E13" s="376"/>
    </row>
    <row r="14" spans="1:5" x14ac:dyDescent="0.25">
      <c r="A14" s="376"/>
      <c r="B14" s="376"/>
      <c r="C14" s="376"/>
      <c r="D14" s="376"/>
      <c r="E14" s="376"/>
    </row>
    <row r="15" spans="1:5" ht="15.75" x14ac:dyDescent="0.25">
      <c r="A15" s="376"/>
      <c r="B15" s="380" t="s">
        <v>14</v>
      </c>
      <c r="C15" s="376"/>
      <c r="D15" s="376"/>
      <c r="E15" s="376"/>
    </row>
    <row r="16" spans="1:5" x14ac:dyDescent="0.25">
      <c r="A16" s="376">
        <v>1</v>
      </c>
      <c r="B16" s="376" t="s">
        <v>15</v>
      </c>
      <c r="C16" s="376" t="s">
        <v>13</v>
      </c>
      <c r="D16" s="376">
        <v>116787.02</v>
      </c>
      <c r="E16" s="376"/>
    </row>
    <row r="17" spans="1:5" x14ac:dyDescent="0.25">
      <c r="A17" s="376">
        <v>2</v>
      </c>
      <c r="B17" s="445" t="s">
        <v>16</v>
      </c>
      <c r="C17" s="376"/>
      <c r="D17" s="376">
        <v>43599.07</v>
      </c>
      <c r="E17" s="376"/>
    </row>
    <row r="18" spans="1:5" ht="15.75" x14ac:dyDescent="0.25">
      <c r="A18" s="376"/>
      <c r="B18" s="380" t="s">
        <v>17</v>
      </c>
      <c r="C18" s="376"/>
      <c r="D18" s="379">
        <f>D16+D17</f>
        <v>160386.09</v>
      </c>
      <c r="E18" s="376"/>
    </row>
    <row r="19" spans="1:5" ht="15.75" x14ac:dyDescent="0.25">
      <c r="A19" s="376"/>
      <c r="B19" s="380"/>
      <c r="C19" s="376"/>
      <c r="D19" s="379"/>
      <c r="E19" s="376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6">
        <f>D22+D27+D26</f>
        <v>40561.22</v>
      </c>
      <c r="E21" s="26">
        <f>E22</f>
        <v>8017.8647999999994</v>
      </c>
    </row>
    <row r="22" spans="1:5" x14ac:dyDescent="0.25">
      <c r="A22" s="20">
        <v>1</v>
      </c>
      <c r="B22" s="22" t="s">
        <v>22</v>
      </c>
      <c r="C22" s="27" t="s">
        <v>13</v>
      </c>
      <c r="D22" s="26">
        <f>D23+D24+D25</f>
        <v>39692.400000000001</v>
      </c>
      <c r="E22" s="26">
        <f>E23+E24+E25</f>
        <v>8017.8647999999994</v>
      </c>
    </row>
    <row r="23" spans="1:5" x14ac:dyDescent="0.25">
      <c r="A23" s="20"/>
      <c r="B23" s="20" t="s">
        <v>23</v>
      </c>
      <c r="C23" s="20"/>
      <c r="D23" s="20">
        <v>6308.56</v>
      </c>
      <c r="E23" s="28">
        <f>D23*20.2%</f>
        <v>1274.3291199999999</v>
      </c>
    </row>
    <row r="24" spans="1:5" x14ac:dyDescent="0.25">
      <c r="A24" s="20"/>
      <c r="B24" s="20" t="s">
        <v>24</v>
      </c>
      <c r="C24" s="20"/>
      <c r="D24" s="29">
        <v>11496.45</v>
      </c>
      <c r="E24" s="28">
        <f t="shared" ref="E24:E25" si="0">D24*20.2%</f>
        <v>2322.2829000000002</v>
      </c>
    </row>
    <row r="25" spans="1:5" x14ac:dyDescent="0.25">
      <c r="A25" s="20"/>
      <c r="B25" s="20" t="s">
        <v>25</v>
      </c>
      <c r="C25" s="20"/>
      <c r="D25" s="20">
        <v>21887.39</v>
      </c>
      <c r="E25" s="28">
        <f t="shared" si="0"/>
        <v>4421.2527799999998</v>
      </c>
    </row>
    <row r="26" spans="1:5" x14ac:dyDescent="0.25">
      <c r="A26" s="20"/>
      <c r="B26" s="20" t="s">
        <v>79</v>
      </c>
      <c r="C26" s="20"/>
      <c r="D26" s="20">
        <v>511.5</v>
      </c>
      <c r="E26" s="28"/>
    </row>
    <row r="27" spans="1:5" x14ac:dyDescent="0.25">
      <c r="A27" s="20">
        <v>2</v>
      </c>
      <c r="B27" s="27" t="s">
        <v>26</v>
      </c>
      <c r="C27" s="20"/>
      <c r="D27" s="20">
        <v>357.32</v>
      </c>
      <c r="E27" s="28"/>
    </row>
    <row r="28" spans="1:5" x14ac:dyDescent="0.25">
      <c r="A28" s="24" t="s">
        <v>27</v>
      </c>
      <c r="B28" s="30" t="s">
        <v>28</v>
      </c>
      <c r="C28" s="20"/>
      <c r="D28" s="22">
        <f>D29+D30</f>
        <v>26994.71</v>
      </c>
      <c r="E28" s="26">
        <f>E29</f>
        <v>4918.4879000000001</v>
      </c>
    </row>
    <row r="29" spans="1:5" x14ac:dyDescent="0.25">
      <c r="A29" s="20">
        <v>1</v>
      </c>
      <c r="B29" s="31" t="s">
        <v>29</v>
      </c>
      <c r="C29" s="20"/>
      <c r="D29" s="31">
        <v>24348.95</v>
      </c>
      <c r="E29" s="28">
        <f>D29*20.2%</f>
        <v>4918.4879000000001</v>
      </c>
    </row>
    <row r="30" spans="1:5" x14ac:dyDescent="0.25">
      <c r="A30" s="20">
        <v>2</v>
      </c>
      <c r="B30" s="31" t="s">
        <v>26</v>
      </c>
      <c r="C30" s="20"/>
      <c r="D30" s="31">
        <v>2645.76</v>
      </c>
      <c r="E30" s="20"/>
    </row>
    <row r="31" spans="1:5" x14ac:dyDescent="0.25">
      <c r="A31" s="24" t="s">
        <v>30</v>
      </c>
      <c r="B31" s="22" t="s">
        <v>31</v>
      </c>
      <c r="C31" s="20"/>
      <c r="D31" s="26">
        <f>D32+D33+D34+D36+D37+D35</f>
        <v>15656.5245</v>
      </c>
      <c r="E31" s="20"/>
    </row>
    <row r="32" spans="1:5" x14ac:dyDescent="0.25">
      <c r="A32" s="20"/>
      <c r="B32" s="20" t="s">
        <v>32</v>
      </c>
      <c r="C32" s="20"/>
      <c r="D32" s="28">
        <f>D18*5%</f>
        <v>8019.3045000000002</v>
      </c>
      <c r="E32" s="20"/>
    </row>
    <row r="33" spans="1:5" x14ac:dyDescent="0.25">
      <c r="A33" s="20"/>
      <c r="B33" s="20" t="s">
        <v>62</v>
      </c>
      <c r="C33" s="20"/>
      <c r="D33" s="20">
        <v>210.02</v>
      </c>
      <c r="E33" s="20"/>
    </row>
    <row r="34" spans="1:5" x14ac:dyDescent="0.25">
      <c r="A34" s="20"/>
      <c r="B34" s="20" t="s">
        <v>34</v>
      </c>
      <c r="C34" s="20"/>
      <c r="D34" s="28">
        <f>2018.26+2006.4</f>
        <v>4024.66</v>
      </c>
      <c r="E34" s="20"/>
    </row>
    <row r="35" spans="1:5" x14ac:dyDescent="0.25">
      <c r="A35" s="20"/>
      <c r="B35" s="13" t="s">
        <v>52</v>
      </c>
      <c r="C35" s="20"/>
      <c r="D35" s="28">
        <v>0</v>
      </c>
      <c r="E35" s="20"/>
    </row>
    <row r="36" spans="1:5" x14ac:dyDescent="0.25">
      <c r="A36" s="20"/>
      <c r="B36" s="31" t="s">
        <v>36</v>
      </c>
      <c r="C36" s="20"/>
      <c r="D36" s="20">
        <v>1229.24</v>
      </c>
      <c r="E36" s="20"/>
    </row>
    <row r="37" spans="1:5" x14ac:dyDescent="0.25">
      <c r="A37" s="20"/>
      <c r="B37" s="20" t="s">
        <v>38</v>
      </c>
      <c r="C37" s="20"/>
      <c r="D37" s="20">
        <f>1112.99+1060.31</f>
        <v>2173.3000000000002</v>
      </c>
      <c r="E37" s="20"/>
    </row>
    <row r="38" spans="1:5" x14ac:dyDescent="0.25">
      <c r="A38" s="20">
        <v>4</v>
      </c>
      <c r="B38" s="22" t="s">
        <v>39</v>
      </c>
      <c r="C38" s="20"/>
      <c r="D38" s="26">
        <f>D39+D40</f>
        <v>16783.23</v>
      </c>
      <c r="E38" s="26">
        <f>E39</f>
        <v>2764.08518</v>
      </c>
    </row>
    <row r="39" spans="1:5" x14ac:dyDescent="0.25">
      <c r="A39" s="20"/>
      <c r="B39" s="31" t="s">
        <v>40</v>
      </c>
      <c r="C39" s="31"/>
      <c r="D39" s="32">
        <v>13683.59</v>
      </c>
      <c r="E39" s="28">
        <f>D39*20.2%</f>
        <v>2764.08518</v>
      </c>
    </row>
    <row r="40" spans="1:5" x14ac:dyDescent="0.25">
      <c r="A40" s="20"/>
      <c r="B40" s="27" t="s">
        <v>41</v>
      </c>
      <c r="C40" s="20"/>
      <c r="D40" s="32">
        <v>3099.64</v>
      </c>
      <c r="E40" s="20"/>
    </row>
    <row r="41" spans="1:5" x14ac:dyDescent="0.25">
      <c r="A41" s="20">
        <v>5</v>
      </c>
      <c r="B41" s="22" t="s">
        <v>42</v>
      </c>
      <c r="C41" s="20"/>
      <c r="D41" s="26">
        <f>D21+E21+D28+E28+D31+D38+E38</f>
        <v>115696.12238</v>
      </c>
      <c r="E41" s="20"/>
    </row>
    <row r="42" spans="1:5" x14ac:dyDescent="0.25">
      <c r="A42" s="20">
        <v>6</v>
      </c>
      <c r="B42" s="20" t="s">
        <v>43</v>
      </c>
      <c r="C42" s="20"/>
      <c r="D42" s="26">
        <f>D18*6%</f>
        <v>9623.1653999999999</v>
      </c>
      <c r="E42" s="20"/>
    </row>
    <row r="43" spans="1:5" x14ac:dyDescent="0.25">
      <c r="A43" s="20">
        <v>7</v>
      </c>
      <c r="B43" s="22" t="s">
        <v>44</v>
      </c>
      <c r="C43" s="20"/>
      <c r="D43" s="26">
        <f>D41+D42</f>
        <v>125319.28778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53</v>
      </c>
      <c r="C45" s="20"/>
      <c r="D45" s="26">
        <f>D16-D43</f>
        <v>-8532.2677799999947</v>
      </c>
      <c r="E45" s="20"/>
    </row>
    <row r="46" spans="1:5" x14ac:dyDescent="0.25">
      <c r="A46" s="20">
        <v>9</v>
      </c>
      <c r="B46" s="22" t="s">
        <v>45</v>
      </c>
      <c r="C46" s="20"/>
      <c r="D46" s="26">
        <f>D9+D45</f>
        <v>-70590.067779999998</v>
      </c>
      <c r="E46" s="20"/>
    </row>
    <row r="47" spans="1:5" x14ac:dyDescent="0.25">
      <c r="A47" s="33"/>
      <c r="B47" s="34" t="s">
        <v>136</v>
      </c>
      <c r="C47" s="33"/>
      <c r="D47" s="35">
        <f>D10+D17</f>
        <v>123153.04999999999</v>
      </c>
      <c r="E47" s="33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E39" sqref="E39"/>
    </sheetView>
  </sheetViews>
  <sheetFormatPr defaultRowHeight="15" x14ac:dyDescent="0.25"/>
  <cols>
    <col min="1" max="1" width="8.140625" customWidth="1"/>
    <col min="2" max="2" width="41.7109375" customWidth="1"/>
    <col min="4" max="5" width="10.85546875" customWidth="1"/>
  </cols>
  <sheetData>
    <row r="1" spans="1:5" ht="15.75" x14ac:dyDescent="0.25">
      <c r="A1" s="381"/>
      <c r="B1" s="382" t="s">
        <v>0</v>
      </c>
      <c r="C1" s="381"/>
      <c r="D1" s="381"/>
      <c r="E1" s="381"/>
    </row>
    <row r="2" spans="1:5" x14ac:dyDescent="0.25">
      <c r="A2" s="381"/>
      <c r="B2" s="381" t="s">
        <v>1</v>
      </c>
      <c r="C2" s="381"/>
      <c r="D2" s="381"/>
      <c r="E2" s="381"/>
    </row>
    <row r="3" spans="1:5" x14ac:dyDescent="0.25">
      <c r="A3" s="381"/>
      <c r="B3" s="446" t="s">
        <v>153</v>
      </c>
      <c r="C3" s="381"/>
      <c r="D3" s="381"/>
      <c r="E3" s="381"/>
    </row>
    <row r="4" spans="1:5" x14ac:dyDescent="0.25">
      <c r="A4" s="590"/>
      <c r="B4" s="590"/>
      <c r="C4" s="590"/>
      <c r="D4" s="411"/>
      <c r="E4" s="383"/>
    </row>
    <row r="5" spans="1:5" ht="15.75" x14ac:dyDescent="0.25">
      <c r="A5" s="448"/>
      <c r="B5" s="449" t="s">
        <v>3</v>
      </c>
      <c r="C5" s="450" t="s">
        <v>4</v>
      </c>
      <c r="D5" s="591" t="s">
        <v>5</v>
      </c>
      <c r="E5" s="592"/>
    </row>
    <row r="6" spans="1:5" ht="15.75" x14ac:dyDescent="0.25">
      <c r="A6" s="386"/>
      <c r="B6" s="384" t="s">
        <v>6</v>
      </c>
      <c r="C6" s="385" t="s">
        <v>7</v>
      </c>
      <c r="D6" s="588" t="s">
        <v>132</v>
      </c>
      <c r="E6" s="589"/>
    </row>
    <row r="7" spans="1:5" x14ac:dyDescent="0.25">
      <c r="A7" s="387"/>
      <c r="B7" s="387"/>
      <c r="C7" s="387"/>
      <c r="D7" s="388"/>
      <c r="E7" s="389"/>
    </row>
    <row r="8" spans="1:5" x14ac:dyDescent="0.25">
      <c r="A8" s="387"/>
      <c r="B8" s="375" t="s">
        <v>134</v>
      </c>
      <c r="C8" s="387"/>
      <c r="D8" s="447">
        <v>-115652.32</v>
      </c>
      <c r="E8" s="389"/>
    </row>
    <row r="9" spans="1:5" x14ac:dyDescent="0.25">
      <c r="A9" s="387"/>
      <c r="B9" s="375" t="s">
        <v>135</v>
      </c>
      <c r="C9" s="387"/>
      <c r="D9" s="388">
        <v>4517.2</v>
      </c>
      <c r="E9" s="389"/>
    </row>
    <row r="10" spans="1:5" x14ac:dyDescent="0.25">
      <c r="A10" s="390"/>
      <c r="B10" s="391" t="s">
        <v>9</v>
      </c>
      <c r="C10" s="390" t="s">
        <v>10</v>
      </c>
      <c r="D10" s="390">
        <v>3706.66</v>
      </c>
      <c r="E10" s="390"/>
    </row>
    <row r="11" spans="1:5" x14ac:dyDescent="0.25">
      <c r="A11" s="390"/>
      <c r="B11" s="391" t="s">
        <v>11</v>
      </c>
      <c r="C11" s="390" t="s">
        <v>10</v>
      </c>
      <c r="D11" s="390">
        <v>2662.9</v>
      </c>
      <c r="E11" s="390"/>
    </row>
    <row r="12" spans="1:5" x14ac:dyDescent="0.25">
      <c r="A12" s="390"/>
      <c r="B12" s="392" t="s">
        <v>12</v>
      </c>
      <c r="C12" s="390" t="s">
        <v>56</v>
      </c>
      <c r="D12" s="393">
        <v>178698.48</v>
      </c>
      <c r="E12" s="390"/>
    </row>
    <row r="13" spans="1:5" x14ac:dyDescent="0.25">
      <c r="A13" s="390"/>
      <c r="B13" s="390"/>
      <c r="C13" s="390"/>
      <c r="D13" s="390"/>
      <c r="E13" s="390"/>
    </row>
    <row r="14" spans="1:5" ht="15.75" x14ac:dyDescent="0.25">
      <c r="A14" s="390"/>
      <c r="B14" s="394" t="s">
        <v>14</v>
      </c>
      <c r="C14" s="390"/>
      <c r="D14" s="390"/>
      <c r="E14" s="390"/>
    </row>
    <row r="15" spans="1:5" x14ac:dyDescent="0.25">
      <c r="A15" s="390">
        <v>1</v>
      </c>
      <c r="B15" s="390" t="s">
        <v>15</v>
      </c>
      <c r="C15" s="390" t="s">
        <v>13</v>
      </c>
      <c r="D15" s="390">
        <v>108429.19</v>
      </c>
      <c r="E15" s="390"/>
    </row>
    <row r="16" spans="1:5" x14ac:dyDescent="0.25">
      <c r="A16" s="390">
        <v>2</v>
      </c>
      <c r="B16" s="390" t="s">
        <v>16</v>
      </c>
      <c r="C16" s="390"/>
      <c r="D16" s="390">
        <v>48326.77</v>
      </c>
      <c r="E16" s="390"/>
    </row>
    <row r="17" spans="1:5" ht="15.75" x14ac:dyDescent="0.25">
      <c r="A17" s="390"/>
      <c r="B17" s="394" t="s">
        <v>17</v>
      </c>
      <c r="C17" s="390"/>
      <c r="D17" s="393">
        <f>D15+D16</f>
        <v>156755.96</v>
      </c>
      <c r="E17" s="390"/>
    </row>
    <row r="18" spans="1:5" ht="15.75" x14ac:dyDescent="0.25">
      <c r="A18" s="390"/>
      <c r="B18" s="394"/>
      <c r="C18" s="390"/>
      <c r="D18" s="393"/>
      <c r="E18" s="390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D21+D26+D25</f>
        <v>47895.09</v>
      </c>
      <c r="E20" s="26">
        <f>E21</f>
        <v>9496.6441799999993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D22+D23+D24</f>
        <v>47013.09</v>
      </c>
      <c r="E21" s="26">
        <f>E22+E23+E24</f>
        <v>9496.6441799999993</v>
      </c>
    </row>
    <row r="22" spans="1:5" x14ac:dyDescent="0.25">
      <c r="A22" s="20"/>
      <c r="B22" s="20" t="s">
        <v>23</v>
      </c>
      <c r="C22" s="20"/>
      <c r="D22" s="20">
        <v>15070.5</v>
      </c>
      <c r="E22" s="28">
        <f>D22*20.2%</f>
        <v>3044.241</v>
      </c>
    </row>
    <row r="23" spans="1:5" x14ac:dyDescent="0.25">
      <c r="A23" s="20"/>
      <c r="B23" s="20" t="s">
        <v>24</v>
      </c>
      <c r="C23" s="20"/>
      <c r="D23" s="29">
        <v>11812.95</v>
      </c>
      <c r="E23" s="28">
        <f>D23*20.2%</f>
        <v>2386.2159000000001</v>
      </c>
    </row>
    <row r="24" spans="1:5" x14ac:dyDescent="0.25">
      <c r="A24" s="20"/>
      <c r="B24" s="20" t="s">
        <v>25</v>
      </c>
      <c r="C24" s="20"/>
      <c r="D24" s="20">
        <v>20129.64</v>
      </c>
      <c r="E24" s="28">
        <f>D24*20.2%</f>
        <v>4066.1872799999996</v>
      </c>
    </row>
    <row r="25" spans="1:5" x14ac:dyDescent="0.25">
      <c r="A25" s="20"/>
      <c r="B25" s="20" t="s">
        <v>79</v>
      </c>
      <c r="C25" s="20"/>
      <c r="D25" s="20">
        <v>512.17999999999995</v>
      </c>
      <c r="E25" s="28"/>
    </row>
    <row r="26" spans="1:5" x14ac:dyDescent="0.25">
      <c r="A26" s="20">
        <v>2</v>
      </c>
      <c r="B26" s="27" t="s">
        <v>26</v>
      </c>
      <c r="C26" s="20"/>
      <c r="D26" s="20">
        <v>369.82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</f>
        <v>26475.05</v>
      </c>
      <c r="E27" s="26">
        <f>E28</f>
        <v>5090.5353399999995</v>
      </c>
    </row>
    <row r="28" spans="1:5" x14ac:dyDescent="0.25">
      <c r="A28" s="20">
        <v>1</v>
      </c>
      <c r="B28" s="31" t="s">
        <v>29</v>
      </c>
      <c r="C28" s="20"/>
      <c r="D28" s="31">
        <v>25200.67</v>
      </c>
      <c r="E28" s="28">
        <f>D28*20.2%</f>
        <v>5090.5353399999995</v>
      </c>
    </row>
    <row r="29" spans="1:5" x14ac:dyDescent="0.25">
      <c r="A29" s="20">
        <v>2</v>
      </c>
      <c r="B29" s="31" t="s">
        <v>26</v>
      </c>
      <c r="C29" s="20"/>
      <c r="D29" s="31">
        <v>1274.3800000000001</v>
      </c>
      <c r="E29" s="20"/>
    </row>
    <row r="30" spans="1:5" x14ac:dyDescent="0.25">
      <c r="A30" s="24" t="s">
        <v>30</v>
      </c>
      <c r="B30" s="22" t="s">
        <v>31</v>
      </c>
      <c r="C30" s="20"/>
      <c r="D30" s="26">
        <f>D31+D32+D34+D36+D33+D37+D35</f>
        <v>15743.328</v>
      </c>
      <c r="E30" s="20"/>
    </row>
    <row r="31" spans="1:5" x14ac:dyDescent="0.25">
      <c r="A31" s="20"/>
      <c r="B31" s="20" t="s">
        <v>32</v>
      </c>
      <c r="C31" s="20"/>
      <c r="D31" s="28">
        <f>D17*5%</f>
        <v>7837.7979999999998</v>
      </c>
      <c r="E31" s="20"/>
    </row>
    <row r="32" spans="1:5" x14ac:dyDescent="0.25">
      <c r="A32" s="20"/>
      <c r="B32" s="20" t="s">
        <v>62</v>
      </c>
      <c r="C32" s="20"/>
      <c r="D32" s="20">
        <v>218.52</v>
      </c>
      <c r="E32" s="20"/>
    </row>
    <row r="33" spans="1:5" x14ac:dyDescent="0.25">
      <c r="A33" s="20"/>
      <c r="B33" s="20" t="s">
        <v>33</v>
      </c>
      <c r="C33" s="20"/>
      <c r="D33" s="20">
        <v>0</v>
      </c>
      <c r="E33" s="20"/>
    </row>
    <row r="34" spans="1:5" x14ac:dyDescent="0.25">
      <c r="A34" s="20"/>
      <c r="B34" s="20" t="s">
        <v>34</v>
      </c>
      <c r="C34" s="20"/>
      <c r="D34" s="28">
        <f>2088.86+2076.59</f>
        <v>4165.4500000000007</v>
      </c>
      <c r="E34" s="20"/>
    </row>
    <row r="35" spans="1:5" x14ac:dyDescent="0.25">
      <c r="A35" s="20"/>
      <c r="B35" s="13" t="s">
        <v>52</v>
      </c>
      <c r="C35" s="20"/>
      <c r="D35" s="28">
        <v>0</v>
      </c>
      <c r="E35" s="20"/>
    </row>
    <row r="36" spans="1:5" x14ac:dyDescent="0.25">
      <c r="A36" s="20"/>
      <c r="B36" s="31" t="s">
        <v>36</v>
      </c>
      <c r="C36" s="20"/>
      <c r="D36" s="20">
        <v>1272.24</v>
      </c>
      <c r="E36" s="20"/>
    </row>
    <row r="37" spans="1:5" x14ac:dyDescent="0.25">
      <c r="A37" s="20"/>
      <c r="B37" s="20" t="s">
        <v>38</v>
      </c>
      <c r="C37" s="20"/>
      <c r="D37" s="20">
        <f>1151.92+1097.4</f>
        <v>2249.3200000000002</v>
      </c>
      <c r="E37" s="20"/>
    </row>
    <row r="38" spans="1:5" x14ac:dyDescent="0.25">
      <c r="A38" s="20">
        <v>4</v>
      </c>
      <c r="B38" s="22" t="s">
        <v>39</v>
      </c>
      <c r="C38" s="20"/>
      <c r="D38" s="26">
        <f>D39+D40</f>
        <v>16641.760000000002</v>
      </c>
      <c r="E38" s="26">
        <f>E39</f>
        <v>2860.7745</v>
      </c>
    </row>
    <row r="39" spans="1:5" x14ac:dyDescent="0.25">
      <c r="A39" s="20"/>
      <c r="B39" s="31" t="s">
        <v>40</v>
      </c>
      <c r="C39" s="31"/>
      <c r="D39" s="32">
        <v>14162.25</v>
      </c>
      <c r="E39" s="28">
        <f>D39*20.2%</f>
        <v>2860.7745</v>
      </c>
    </row>
    <row r="40" spans="1:5" x14ac:dyDescent="0.25">
      <c r="A40" s="20"/>
      <c r="B40" s="27" t="s">
        <v>41</v>
      </c>
      <c r="C40" s="20"/>
      <c r="D40" s="32">
        <v>2479.5100000000002</v>
      </c>
      <c r="E40" s="20"/>
    </row>
    <row r="41" spans="1:5" x14ac:dyDescent="0.25">
      <c r="A41" s="20">
        <v>5</v>
      </c>
      <c r="B41" s="22" t="s">
        <v>42</v>
      </c>
      <c r="C41" s="20"/>
      <c r="D41" s="26">
        <f>D20+E20+D27+E27+D30+D38+E38</f>
        <v>124203.18202000001</v>
      </c>
      <c r="E41" s="20"/>
    </row>
    <row r="42" spans="1:5" x14ac:dyDescent="0.25">
      <c r="A42" s="20">
        <v>6</v>
      </c>
      <c r="B42" s="20" t="s">
        <v>43</v>
      </c>
      <c r="C42" s="20"/>
      <c r="D42" s="26">
        <f>D17*6%</f>
        <v>9405.3575999999994</v>
      </c>
      <c r="E42" s="20"/>
    </row>
    <row r="43" spans="1:5" x14ac:dyDescent="0.25">
      <c r="A43" s="20">
        <v>7</v>
      </c>
      <c r="B43" s="22" t="s">
        <v>44</v>
      </c>
      <c r="C43" s="20"/>
      <c r="D43" s="26">
        <f>D41+D42</f>
        <v>133608.53962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53</v>
      </c>
      <c r="C45" s="20"/>
      <c r="D45" s="26">
        <f>D15-D43</f>
        <v>-25179.349619999994</v>
      </c>
      <c r="E45" s="20"/>
    </row>
    <row r="46" spans="1:5" x14ac:dyDescent="0.25">
      <c r="A46" s="20">
        <v>9</v>
      </c>
      <c r="B46" s="22" t="s">
        <v>45</v>
      </c>
      <c r="C46" s="20"/>
      <c r="D46" s="26">
        <f>D8+D45</f>
        <v>-140831.66962</v>
      </c>
      <c r="E46" s="20"/>
    </row>
    <row r="47" spans="1:5" x14ac:dyDescent="0.25">
      <c r="A47" s="33"/>
      <c r="B47" s="34" t="s">
        <v>154</v>
      </c>
      <c r="C47" s="33"/>
      <c r="D47" s="35">
        <f>D9+D16</f>
        <v>52843.969999999994</v>
      </c>
      <c r="E47" s="33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3">
    <mergeCell ref="D6:E6"/>
    <mergeCell ref="A4:C4"/>
    <mergeCell ref="D5:E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topLeftCell="A25" workbookViewId="0">
      <selection activeCell="E47" sqref="E47"/>
    </sheetView>
  </sheetViews>
  <sheetFormatPr defaultRowHeight="15" x14ac:dyDescent="0.25"/>
  <cols>
    <col min="1" max="1" width="5.42578125" customWidth="1"/>
    <col min="3" max="3" width="35.5703125" customWidth="1"/>
    <col min="5" max="5" width="13.5703125" customWidth="1"/>
    <col min="6" max="6" width="11" customWidth="1"/>
  </cols>
  <sheetData>
    <row r="1" spans="2:6" ht="15.75" x14ac:dyDescent="0.25">
      <c r="C1" s="1" t="s">
        <v>0</v>
      </c>
    </row>
    <row r="3" spans="2:6" x14ac:dyDescent="0.25">
      <c r="C3" t="s">
        <v>1</v>
      </c>
    </row>
    <row r="4" spans="2:6" x14ac:dyDescent="0.25">
      <c r="C4" t="s">
        <v>158</v>
      </c>
    </row>
    <row r="5" spans="2:6" x14ac:dyDescent="0.25">
      <c r="B5" s="43"/>
      <c r="C5" s="43"/>
      <c r="D5" s="43"/>
      <c r="E5" s="43"/>
    </row>
    <row r="6" spans="2:6" x14ac:dyDescent="0.25">
      <c r="B6" s="593"/>
      <c r="C6" s="593"/>
      <c r="D6" s="593"/>
      <c r="E6" s="594"/>
      <c r="F6" s="44"/>
    </row>
    <row r="7" spans="2:6" x14ac:dyDescent="0.25">
      <c r="B7" s="2"/>
      <c r="C7" s="2"/>
      <c r="D7" s="2"/>
      <c r="E7" s="3"/>
      <c r="F7" s="45"/>
    </row>
    <row r="8" spans="2:6" ht="15.75" x14ac:dyDescent="0.25">
      <c r="B8" s="5"/>
      <c r="C8" s="6" t="s">
        <v>3</v>
      </c>
      <c r="D8" s="7" t="s">
        <v>4</v>
      </c>
      <c r="E8" s="595" t="s">
        <v>5</v>
      </c>
      <c r="F8" s="596"/>
    </row>
    <row r="9" spans="2:6" ht="15.75" x14ac:dyDescent="0.25">
      <c r="B9" s="8"/>
      <c r="C9" s="6" t="s">
        <v>6</v>
      </c>
      <c r="D9" s="7" t="s">
        <v>54</v>
      </c>
      <c r="E9" s="597" t="s">
        <v>115</v>
      </c>
      <c r="F9" s="598"/>
    </row>
    <row r="10" spans="2:6" x14ac:dyDescent="0.25">
      <c r="B10" s="9"/>
      <c r="C10" s="9"/>
      <c r="D10" s="9"/>
      <c r="E10" s="10"/>
      <c r="F10" s="11"/>
    </row>
    <row r="11" spans="2:6" x14ac:dyDescent="0.25">
      <c r="B11" s="9"/>
      <c r="C11" s="12" t="s">
        <v>8</v>
      </c>
      <c r="D11" s="9"/>
      <c r="E11" s="10">
        <v>-57605.03</v>
      </c>
      <c r="F11" s="11"/>
    </row>
    <row r="12" spans="2:6" x14ac:dyDescent="0.25">
      <c r="B12" s="13"/>
      <c r="C12" s="14" t="s">
        <v>9</v>
      </c>
      <c r="D12" s="12" t="s">
        <v>55</v>
      </c>
      <c r="E12" s="13">
        <v>6474.6</v>
      </c>
      <c r="F12" s="13"/>
    </row>
    <row r="13" spans="2:6" x14ac:dyDescent="0.25">
      <c r="B13" s="13"/>
      <c r="C13" s="14" t="s">
        <v>11</v>
      </c>
      <c r="D13" s="12" t="s">
        <v>55</v>
      </c>
      <c r="E13" s="13">
        <v>4182.8999999999996</v>
      </c>
      <c r="F13" s="13"/>
    </row>
    <row r="14" spans="2:6" x14ac:dyDescent="0.25">
      <c r="B14" s="13"/>
      <c r="C14" s="15" t="s">
        <v>12</v>
      </c>
      <c r="D14" s="12" t="s">
        <v>56</v>
      </c>
      <c r="E14" s="19">
        <v>185945.42</v>
      </c>
      <c r="F14" s="13"/>
    </row>
    <row r="15" spans="2:6" ht="15.75" x14ac:dyDescent="0.25">
      <c r="B15" s="13"/>
      <c r="C15" s="16" t="s">
        <v>14</v>
      </c>
      <c r="D15" s="9"/>
      <c r="E15" s="13"/>
      <c r="F15" s="13"/>
    </row>
    <row r="16" spans="2:6" x14ac:dyDescent="0.25">
      <c r="B16" s="13">
        <v>1</v>
      </c>
      <c r="C16" s="13" t="s">
        <v>15</v>
      </c>
      <c r="D16" s="12" t="s">
        <v>13</v>
      </c>
      <c r="E16" s="13">
        <v>163885.28</v>
      </c>
      <c r="F16" s="13"/>
    </row>
    <row r="17" spans="2:6" x14ac:dyDescent="0.25">
      <c r="B17" s="13">
        <v>2</v>
      </c>
      <c r="C17" s="13" t="s">
        <v>101</v>
      </c>
      <c r="D17" s="9"/>
      <c r="E17" s="13">
        <f>6959.38+1200</f>
        <v>8159.38</v>
      </c>
      <c r="F17" s="13"/>
    </row>
    <row r="18" spans="2:6" ht="15.75" x14ac:dyDescent="0.25">
      <c r="B18" s="13"/>
      <c r="C18" s="16" t="s">
        <v>17</v>
      </c>
      <c r="D18" s="9"/>
      <c r="E18" s="19">
        <f>E16+E17</f>
        <v>172044.66</v>
      </c>
      <c r="F18" s="13"/>
    </row>
    <row r="19" spans="2:6" ht="15.75" x14ac:dyDescent="0.25">
      <c r="B19" s="13"/>
      <c r="C19" s="16"/>
      <c r="D19" s="9"/>
      <c r="E19" s="19"/>
      <c r="F19" s="13"/>
    </row>
    <row r="20" spans="2:6" ht="15.75" x14ac:dyDescent="0.25">
      <c r="B20" s="20"/>
      <c r="C20" s="21" t="s">
        <v>18</v>
      </c>
      <c r="D20" s="20"/>
      <c r="E20" s="22"/>
      <c r="F20" s="23" t="s">
        <v>19</v>
      </c>
    </row>
    <row r="21" spans="2:6" x14ac:dyDescent="0.25">
      <c r="B21" s="24" t="s">
        <v>20</v>
      </c>
      <c r="C21" s="25" t="s">
        <v>21</v>
      </c>
      <c r="D21" s="20"/>
      <c r="E21" s="22">
        <f>E22+E26+E25</f>
        <v>33541.03</v>
      </c>
      <c r="F21" s="26">
        <f>F22</f>
        <v>5008.7455399999999</v>
      </c>
    </row>
    <row r="22" spans="2:6" x14ac:dyDescent="0.25">
      <c r="B22" s="20">
        <v>1</v>
      </c>
      <c r="C22" s="22" t="s">
        <v>22</v>
      </c>
      <c r="D22" s="27" t="s">
        <v>13</v>
      </c>
      <c r="E22" s="22">
        <f>E23</f>
        <v>24795.77</v>
      </c>
      <c r="F22" s="26">
        <f>F23</f>
        <v>5008.7455399999999</v>
      </c>
    </row>
    <row r="23" spans="2:6" x14ac:dyDescent="0.25">
      <c r="B23" s="20"/>
      <c r="C23" s="20" t="s">
        <v>23</v>
      </c>
      <c r="D23" s="20"/>
      <c r="E23" s="20">
        <v>24795.77</v>
      </c>
      <c r="F23" s="28">
        <f>E23*20.2%</f>
        <v>5008.7455399999999</v>
      </c>
    </row>
    <row r="24" spans="2:6" x14ac:dyDescent="0.25">
      <c r="B24" s="20"/>
      <c r="C24" s="20" t="s">
        <v>24</v>
      </c>
      <c r="D24" s="20"/>
      <c r="E24" s="29"/>
      <c r="F24" s="28"/>
    </row>
    <row r="25" spans="2:6" x14ac:dyDescent="0.25">
      <c r="B25" s="20"/>
      <c r="C25" s="20" t="s">
        <v>159</v>
      </c>
      <c r="D25" s="20"/>
      <c r="E25" s="20">
        <f>3164.37+5000</f>
        <v>8164.37</v>
      </c>
      <c r="F25" s="28"/>
    </row>
    <row r="26" spans="2:6" x14ac:dyDescent="0.25">
      <c r="B26" s="20">
        <v>2</v>
      </c>
      <c r="C26" s="27" t="s">
        <v>26</v>
      </c>
      <c r="D26" s="20"/>
      <c r="E26" s="20">
        <v>580.89</v>
      </c>
      <c r="F26" s="28"/>
    </row>
    <row r="27" spans="2:6" x14ac:dyDescent="0.25">
      <c r="B27" s="24" t="s">
        <v>27</v>
      </c>
      <c r="C27" s="30" t="s">
        <v>28</v>
      </c>
      <c r="D27" s="20"/>
      <c r="E27" s="22">
        <f>E28+E29+E30</f>
        <v>51452.590000000004</v>
      </c>
      <c r="F27" s="26">
        <f>F28</f>
        <v>7995.8629600000004</v>
      </c>
    </row>
    <row r="28" spans="2:6" x14ac:dyDescent="0.25">
      <c r="B28" s="20">
        <v>1</v>
      </c>
      <c r="C28" s="31" t="s">
        <v>29</v>
      </c>
      <c r="D28" s="20"/>
      <c r="E28" s="31">
        <v>39583.480000000003</v>
      </c>
      <c r="F28" s="28">
        <f>E28*20.2%</f>
        <v>7995.8629600000004</v>
      </c>
    </row>
    <row r="29" spans="2:6" x14ac:dyDescent="0.25">
      <c r="B29" s="20">
        <v>2</v>
      </c>
      <c r="C29" s="31" t="s">
        <v>26</v>
      </c>
      <c r="D29" s="20"/>
      <c r="E29" s="31">
        <v>11869.11</v>
      </c>
      <c r="F29" s="20"/>
    </row>
    <row r="30" spans="2:6" x14ac:dyDescent="0.25">
      <c r="B30" s="20">
        <v>3</v>
      </c>
      <c r="C30" s="31" t="s">
        <v>121</v>
      </c>
      <c r="D30" s="20"/>
      <c r="E30" s="31">
        <v>0</v>
      </c>
      <c r="F30" s="20"/>
    </row>
    <row r="31" spans="2:6" x14ac:dyDescent="0.25">
      <c r="B31" s="24" t="s">
        <v>30</v>
      </c>
      <c r="C31" s="22" t="s">
        <v>31</v>
      </c>
      <c r="D31" s="20"/>
      <c r="E31" s="26">
        <f>E32+E33+E34+E35+E36+E37</f>
        <v>20994.713</v>
      </c>
      <c r="F31" s="20"/>
    </row>
    <row r="32" spans="2:6" x14ac:dyDescent="0.25">
      <c r="B32" s="20"/>
      <c r="C32" s="20" t="s">
        <v>32</v>
      </c>
      <c r="D32" s="20"/>
      <c r="E32" s="28">
        <f>E18*5%</f>
        <v>8602.2330000000002</v>
      </c>
      <c r="F32" s="20"/>
    </row>
    <row r="33" spans="2:6" x14ac:dyDescent="0.25">
      <c r="B33" s="20"/>
      <c r="C33" s="20" t="s">
        <v>62</v>
      </c>
      <c r="D33" s="20"/>
      <c r="E33" s="20">
        <v>318.26</v>
      </c>
      <c r="F33" s="20"/>
    </row>
    <row r="34" spans="2:6" x14ac:dyDescent="0.25">
      <c r="B34" s="20"/>
      <c r="C34" s="20" t="s">
        <v>34</v>
      </c>
      <c r="D34" s="20"/>
      <c r="E34" s="28">
        <f>3281.04+3261.76</f>
        <v>6542.8</v>
      </c>
      <c r="F34" s="20"/>
    </row>
    <row r="35" spans="2:6" x14ac:dyDescent="0.25">
      <c r="B35" s="20"/>
      <c r="C35" s="31" t="s">
        <v>160</v>
      </c>
      <c r="D35" s="20"/>
      <c r="E35" s="20">
        <v>0</v>
      </c>
      <c r="F35" s="20"/>
    </row>
    <row r="36" spans="2:6" x14ac:dyDescent="0.25">
      <c r="B36" s="20"/>
      <c r="C36" s="27" t="s">
        <v>36</v>
      </c>
      <c r="D36" s="20"/>
      <c r="E36" s="20">
        <v>1998.35</v>
      </c>
      <c r="F36" s="20"/>
    </row>
    <row r="37" spans="2:6" x14ac:dyDescent="0.25">
      <c r="B37" s="20"/>
      <c r="C37" s="20" t="s">
        <v>38</v>
      </c>
      <c r="D37" s="20"/>
      <c r="E37" s="20">
        <f>1809.35+1723.72</f>
        <v>3533.0699999999997</v>
      </c>
      <c r="F37" s="20"/>
    </row>
    <row r="38" spans="2:6" x14ac:dyDescent="0.25">
      <c r="B38" s="20">
        <v>4</v>
      </c>
      <c r="C38" s="22" t="s">
        <v>39</v>
      </c>
      <c r="D38" s="20"/>
      <c r="E38" s="26">
        <f>E39+E40</f>
        <v>27104.370000000003</v>
      </c>
      <c r="F38" s="26">
        <f>F39</f>
        <v>4493.5061599999999</v>
      </c>
    </row>
    <row r="39" spans="2:6" x14ac:dyDescent="0.25">
      <c r="B39" s="20"/>
      <c r="C39" s="31" t="s">
        <v>58</v>
      </c>
      <c r="D39" s="31"/>
      <c r="E39" s="32">
        <v>22245.08</v>
      </c>
      <c r="F39" s="28">
        <f>E39*20.2%</f>
        <v>4493.5061599999999</v>
      </c>
    </row>
    <row r="40" spans="2:6" x14ac:dyDescent="0.25">
      <c r="B40" s="20"/>
      <c r="C40" s="27" t="s">
        <v>41</v>
      </c>
      <c r="D40" s="20"/>
      <c r="E40" s="32">
        <v>4859.29</v>
      </c>
      <c r="F40" s="20"/>
    </row>
    <row r="41" spans="2:6" x14ac:dyDescent="0.25">
      <c r="B41" s="20">
        <v>5</v>
      </c>
      <c r="C41" s="22" t="s">
        <v>42</v>
      </c>
      <c r="D41" s="20"/>
      <c r="E41" s="26">
        <f>E21+F21+E27+F27+E31+E38+F38</f>
        <v>150590.81766</v>
      </c>
      <c r="F41" s="20"/>
    </row>
    <row r="42" spans="2:6" x14ac:dyDescent="0.25">
      <c r="B42" s="20">
        <v>6</v>
      </c>
      <c r="C42" s="20" t="s">
        <v>43</v>
      </c>
      <c r="D42" s="20"/>
      <c r="E42" s="26">
        <f>E18*6%</f>
        <v>10322.679599999999</v>
      </c>
      <c r="F42" s="20"/>
    </row>
    <row r="43" spans="2:6" x14ac:dyDescent="0.25">
      <c r="B43" s="20">
        <v>7</v>
      </c>
      <c r="C43" s="22" t="s">
        <v>44</v>
      </c>
      <c r="D43" s="20"/>
      <c r="E43" s="26">
        <f>E41+E42</f>
        <v>160913.49726</v>
      </c>
      <c r="F43" s="20"/>
    </row>
    <row r="44" spans="2:6" x14ac:dyDescent="0.25">
      <c r="B44" s="20"/>
      <c r="C44" s="20"/>
      <c r="D44" s="20"/>
      <c r="E44" s="20"/>
      <c r="F44" s="20"/>
    </row>
    <row r="45" spans="2:6" x14ac:dyDescent="0.25">
      <c r="B45" s="20">
        <v>8</v>
      </c>
      <c r="C45" s="22" t="s">
        <v>53</v>
      </c>
      <c r="D45" s="20"/>
      <c r="E45" s="26">
        <f>E18-E43</f>
        <v>11131.16274</v>
      </c>
      <c r="F45" s="20"/>
    </row>
    <row r="46" spans="2:6" x14ac:dyDescent="0.25">
      <c r="B46" s="20">
        <v>9</v>
      </c>
      <c r="C46" s="22" t="s">
        <v>45</v>
      </c>
      <c r="D46" s="20"/>
      <c r="E46" s="26">
        <f>E11+E45</f>
        <v>-46473.867259999999</v>
      </c>
      <c r="F46" s="20"/>
    </row>
    <row r="47" spans="2:6" x14ac:dyDescent="0.25">
      <c r="B47" s="33"/>
      <c r="C47" s="34"/>
      <c r="D47" s="33"/>
      <c r="E47" s="35"/>
      <c r="F47" s="33"/>
    </row>
    <row r="48" spans="2:6" x14ac:dyDescent="0.25">
      <c r="B48" s="33"/>
      <c r="C48" s="34"/>
      <c r="D48" s="33"/>
      <c r="E48" s="35"/>
      <c r="F48" s="33"/>
    </row>
    <row r="49" spans="2:6" x14ac:dyDescent="0.25">
      <c r="B49" s="36"/>
      <c r="C49" s="36" t="s">
        <v>46</v>
      </c>
      <c r="D49" s="36"/>
      <c r="E49" s="36" t="s">
        <v>47</v>
      </c>
      <c r="F49" s="36"/>
    </row>
    <row r="50" spans="2:6" x14ac:dyDescent="0.25">
      <c r="B50" s="36"/>
      <c r="C50" s="36" t="s">
        <v>48</v>
      </c>
      <c r="D50" s="36"/>
      <c r="E50" s="36" t="s">
        <v>49</v>
      </c>
      <c r="F50" s="36"/>
    </row>
  </sheetData>
  <mergeCells count="4">
    <mergeCell ref="B6:C6"/>
    <mergeCell ref="D6:E6"/>
    <mergeCell ref="E8:F8"/>
    <mergeCell ref="E9:F9"/>
  </mergeCells>
  <pageMargins left="0.7" right="0.7" top="0.75" bottom="0.75" header="0.3" footer="0.3"/>
  <pageSetup paperSize="9" orientation="portrait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5" workbookViewId="0">
      <selection activeCell="N43" sqref="N43"/>
    </sheetView>
  </sheetViews>
  <sheetFormatPr defaultRowHeight="15" x14ac:dyDescent="0.25"/>
  <cols>
    <col min="2" max="2" width="36.140625" customWidth="1"/>
    <col min="4" max="4" width="12.5703125" customWidth="1"/>
    <col min="5" max="5" width="12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161</v>
      </c>
    </row>
    <row r="5" spans="1:5" x14ac:dyDescent="0.25">
      <c r="A5" s="43"/>
      <c r="B5" s="43"/>
      <c r="C5" s="43"/>
      <c r="D5" s="43"/>
    </row>
    <row r="6" spans="1:5" x14ac:dyDescent="0.25">
      <c r="A6" s="593"/>
      <c r="B6" s="593"/>
      <c r="C6" s="593"/>
      <c r="D6" s="594"/>
      <c r="E6" s="44"/>
    </row>
    <row r="7" spans="1:5" x14ac:dyDescent="0.25">
      <c r="A7" s="2"/>
      <c r="B7" s="2"/>
      <c r="C7" s="2"/>
      <c r="D7" s="3"/>
      <c r="E7" s="45"/>
    </row>
    <row r="8" spans="1:5" ht="15.75" x14ac:dyDescent="0.25">
      <c r="A8" s="5"/>
      <c r="B8" s="6" t="s">
        <v>3</v>
      </c>
      <c r="C8" s="7" t="s">
        <v>4</v>
      </c>
      <c r="D8" s="595" t="s">
        <v>5</v>
      </c>
      <c r="E8" s="596"/>
    </row>
    <row r="9" spans="1:5" ht="15.75" x14ac:dyDescent="0.25">
      <c r="A9" s="463"/>
      <c r="B9" s="6" t="s">
        <v>6</v>
      </c>
      <c r="C9" s="7" t="s">
        <v>54</v>
      </c>
      <c r="D9" s="597" t="s">
        <v>115</v>
      </c>
      <c r="E9" s="598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8</v>
      </c>
      <c r="C11" s="9"/>
      <c r="D11" s="10">
        <v>0</v>
      </c>
      <c r="E11" s="11"/>
    </row>
    <row r="12" spans="1:5" x14ac:dyDescent="0.25">
      <c r="A12" s="13"/>
      <c r="B12" s="14" t="s">
        <v>9</v>
      </c>
      <c r="C12" s="12" t="s">
        <v>55</v>
      </c>
      <c r="D12" s="13">
        <v>6474.6</v>
      </c>
      <c r="E12" s="13"/>
    </row>
    <row r="13" spans="1:5" x14ac:dyDescent="0.25">
      <c r="A13" s="13"/>
      <c r="B13" s="14" t="s">
        <v>11</v>
      </c>
      <c r="C13" s="12" t="s">
        <v>55</v>
      </c>
      <c r="D13" s="13">
        <v>4182.8999999999996</v>
      </c>
      <c r="E13" s="13"/>
    </row>
    <row r="14" spans="1:5" x14ac:dyDescent="0.25">
      <c r="A14" s="13"/>
      <c r="B14" s="15" t="s">
        <v>12</v>
      </c>
      <c r="C14" s="12" t="s">
        <v>56</v>
      </c>
      <c r="D14" s="19">
        <v>194035.96</v>
      </c>
      <c r="E14" s="13"/>
    </row>
    <row r="15" spans="1:5" ht="15.75" x14ac:dyDescent="0.25">
      <c r="A15" s="13"/>
      <c r="B15" s="16" t="s">
        <v>14</v>
      </c>
      <c r="C15" s="9"/>
      <c r="D15" s="13"/>
      <c r="E15" s="13"/>
    </row>
    <row r="16" spans="1:5" x14ac:dyDescent="0.25">
      <c r="A16" s="13">
        <v>1</v>
      </c>
      <c r="B16" s="13" t="s">
        <v>15</v>
      </c>
      <c r="C16" s="12" t="s">
        <v>13</v>
      </c>
      <c r="D16" s="13">
        <v>137309.16</v>
      </c>
      <c r="E16" s="13"/>
    </row>
    <row r="17" spans="1:5" x14ac:dyDescent="0.25">
      <c r="A17" s="13">
        <v>2</v>
      </c>
      <c r="B17" s="13" t="s">
        <v>16</v>
      </c>
      <c r="C17" s="9"/>
      <c r="D17" s="13">
        <v>43144.800000000003</v>
      </c>
      <c r="E17" s="13"/>
    </row>
    <row r="18" spans="1:5" x14ac:dyDescent="0.25">
      <c r="A18" s="13">
        <v>3</v>
      </c>
      <c r="B18" s="13" t="s">
        <v>101</v>
      </c>
      <c r="C18" s="9"/>
      <c r="D18" s="13">
        <f>600</f>
        <v>600</v>
      </c>
      <c r="E18" s="13"/>
    </row>
    <row r="19" spans="1:5" ht="15.75" x14ac:dyDescent="0.25">
      <c r="A19" s="13"/>
      <c r="B19" s="16" t="s">
        <v>17</v>
      </c>
      <c r="C19" s="9"/>
      <c r="D19" s="19">
        <f>D16+D17+D18</f>
        <v>181053.96000000002</v>
      </c>
      <c r="E19" s="13"/>
    </row>
    <row r="20" spans="1:5" ht="15.75" x14ac:dyDescent="0.25">
      <c r="A20" s="13"/>
      <c r="B20" s="16"/>
      <c r="C20" s="9"/>
      <c r="D20" s="19"/>
      <c r="E20" s="13"/>
    </row>
    <row r="21" spans="1:5" ht="15.75" x14ac:dyDescent="0.25">
      <c r="A21" s="31"/>
      <c r="B21" s="21" t="s">
        <v>18</v>
      </c>
      <c r="C21" s="31"/>
      <c r="D21" s="22"/>
      <c r="E21" s="464" t="s">
        <v>19</v>
      </c>
    </row>
    <row r="22" spans="1:5" x14ac:dyDescent="0.25">
      <c r="A22" s="465" t="s">
        <v>20</v>
      </c>
      <c r="B22" s="25" t="s">
        <v>21</v>
      </c>
      <c r="C22" s="31"/>
      <c r="D22" s="19">
        <f>D23+D27</f>
        <v>22171.440000000002</v>
      </c>
      <c r="E22" s="395">
        <f>E23</f>
        <v>4403.1172200000001</v>
      </c>
    </row>
    <row r="23" spans="1:5" x14ac:dyDescent="0.25">
      <c r="A23" s="31">
        <v>1</v>
      </c>
      <c r="B23" s="22" t="s">
        <v>22</v>
      </c>
      <c r="C23" s="31" t="s">
        <v>13</v>
      </c>
      <c r="D23" s="19">
        <f>D24+D25+D26</f>
        <v>21797.61</v>
      </c>
      <c r="E23" s="18">
        <f>E24+E25+E26</f>
        <v>4403.1172200000001</v>
      </c>
    </row>
    <row r="24" spans="1:5" x14ac:dyDescent="0.25">
      <c r="A24" s="31"/>
      <c r="B24" s="31" t="s">
        <v>23</v>
      </c>
      <c r="C24" s="31"/>
      <c r="D24" s="13">
        <v>21797.61</v>
      </c>
      <c r="E24" s="17">
        <f>D24*20.2%</f>
        <v>4403.1172200000001</v>
      </c>
    </row>
    <row r="25" spans="1:5" x14ac:dyDescent="0.25">
      <c r="A25" s="31"/>
      <c r="B25" s="31" t="s">
        <v>24</v>
      </c>
      <c r="C25" s="31"/>
      <c r="D25" s="13">
        <v>0</v>
      </c>
      <c r="E25" s="17">
        <f>D25*14.2%</f>
        <v>0</v>
      </c>
    </row>
    <row r="26" spans="1:5" x14ac:dyDescent="0.25">
      <c r="A26" s="31"/>
      <c r="B26" s="31" t="s">
        <v>25</v>
      </c>
      <c r="C26" s="31"/>
      <c r="D26" s="13">
        <v>0</v>
      </c>
      <c r="E26" s="17">
        <f>D26*14.2%</f>
        <v>0</v>
      </c>
    </row>
    <row r="27" spans="1:5" x14ac:dyDescent="0.25">
      <c r="A27" s="31">
        <v>2</v>
      </c>
      <c r="B27" s="31" t="s">
        <v>26</v>
      </c>
      <c r="C27" s="31"/>
      <c r="D27" s="13">
        <v>373.83</v>
      </c>
      <c r="E27" s="17"/>
    </row>
    <row r="28" spans="1:5" x14ac:dyDescent="0.25">
      <c r="A28" s="465" t="s">
        <v>27</v>
      </c>
      <c r="B28" s="30" t="s">
        <v>28</v>
      </c>
      <c r="C28" s="31"/>
      <c r="D28" s="395">
        <f>D29+D30</f>
        <v>56929.7</v>
      </c>
      <c r="E28" s="395">
        <f>E29</f>
        <v>5142.1503799999991</v>
      </c>
    </row>
    <row r="29" spans="1:5" x14ac:dyDescent="0.25">
      <c r="A29" s="31">
        <v>1</v>
      </c>
      <c r="B29" s="31" t="s">
        <v>29</v>
      </c>
      <c r="C29" s="31"/>
      <c r="D29" s="17">
        <v>25456.19</v>
      </c>
      <c r="E29" s="17">
        <f>D29*20.2%</f>
        <v>5142.1503799999991</v>
      </c>
    </row>
    <row r="30" spans="1:5" x14ac:dyDescent="0.25">
      <c r="A30" s="31">
        <v>2</v>
      </c>
      <c r="B30" s="31" t="s">
        <v>26</v>
      </c>
      <c r="C30" s="31"/>
      <c r="D30" s="456">
        <v>31473.51</v>
      </c>
      <c r="E30" s="13"/>
    </row>
    <row r="31" spans="1:5" x14ac:dyDescent="0.25">
      <c r="A31" s="465" t="s">
        <v>30</v>
      </c>
      <c r="B31" s="19" t="s">
        <v>31</v>
      </c>
      <c r="C31" s="9"/>
      <c r="D31" s="18">
        <f>SUM(D32:D38)</f>
        <v>41757.606119999997</v>
      </c>
      <c r="E31" s="13"/>
    </row>
    <row r="32" spans="1:5" x14ac:dyDescent="0.25">
      <c r="A32" s="31"/>
      <c r="B32" s="13" t="s">
        <v>32</v>
      </c>
      <c r="C32" s="9"/>
      <c r="D32" s="17">
        <f>D19*4.7%</f>
        <v>8509.5361200000007</v>
      </c>
      <c r="E32" s="13"/>
    </row>
    <row r="33" spans="1:9" x14ac:dyDescent="0.25">
      <c r="A33" s="31"/>
      <c r="B33" s="13" t="s">
        <v>62</v>
      </c>
      <c r="C33" s="9"/>
      <c r="D33" s="13">
        <v>775.51</v>
      </c>
      <c r="E33" s="13"/>
    </row>
    <row r="34" spans="1:9" x14ac:dyDescent="0.25">
      <c r="A34" s="31"/>
      <c r="B34" s="13" t="s">
        <v>33</v>
      </c>
      <c r="C34" s="9"/>
      <c r="D34" s="13">
        <v>0</v>
      </c>
      <c r="E34" s="13"/>
    </row>
    <row r="35" spans="1:9" x14ac:dyDescent="0.25">
      <c r="A35" s="31"/>
      <c r="B35" s="13" t="s">
        <v>162</v>
      </c>
      <c r="C35" s="9"/>
      <c r="D35" s="13">
        <v>24707.61</v>
      </c>
      <c r="E35" s="13"/>
    </row>
    <row r="36" spans="1:9" x14ac:dyDescent="0.25">
      <c r="A36" s="31"/>
      <c r="B36" s="13" t="s">
        <v>34</v>
      </c>
      <c r="C36" s="9"/>
      <c r="D36" s="13">
        <f>2110.04+2097.64</f>
        <v>4207.68</v>
      </c>
      <c r="E36" s="13"/>
    </row>
    <row r="37" spans="1:9" x14ac:dyDescent="0.25">
      <c r="A37" s="31"/>
      <c r="B37" s="31" t="s">
        <v>36</v>
      </c>
      <c r="C37" s="9"/>
      <c r="D37" s="13">
        <v>1285.1400000000001</v>
      </c>
      <c r="E37" s="13"/>
    </row>
    <row r="38" spans="1:9" x14ac:dyDescent="0.25">
      <c r="A38" s="31"/>
      <c r="B38" s="13" t="s">
        <v>38</v>
      </c>
      <c r="C38" s="9"/>
      <c r="D38" s="13">
        <f>1163.6+1108.53</f>
        <v>2272.13</v>
      </c>
      <c r="E38" s="13"/>
    </row>
    <row r="39" spans="1:9" x14ac:dyDescent="0.25">
      <c r="A39" s="31">
        <v>4</v>
      </c>
      <c r="B39" s="22" t="s">
        <v>39</v>
      </c>
      <c r="C39" s="31"/>
      <c r="D39" s="26">
        <f>D40+D41</f>
        <v>17546.63</v>
      </c>
      <c r="E39" s="26">
        <f>E40</f>
        <v>2889.7796799999996</v>
      </c>
    </row>
    <row r="40" spans="1:9" x14ac:dyDescent="0.25">
      <c r="A40" s="31"/>
      <c r="B40" s="31" t="s">
        <v>58</v>
      </c>
      <c r="C40" s="31"/>
      <c r="D40" s="32">
        <v>14305.84</v>
      </c>
      <c r="E40" s="32">
        <f>D40*20.2%</f>
        <v>2889.7796799999996</v>
      </c>
    </row>
    <row r="41" spans="1:9" x14ac:dyDescent="0.25">
      <c r="A41" s="31"/>
      <c r="B41" s="31" t="s">
        <v>41</v>
      </c>
      <c r="C41" s="31"/>
      <c r="D41" s="32">
        <v>3240.79</v>
      </c>
      <c r="E41" s="31"/>
    </row>
    <row r="42" spans="1:9" x14ac:dyDescent="0.25">
      <c r="A42" s="31">
        <v>5</v>
      </c>
      <c r="B42" s="22" t="s">
        <v>42</v>
      </c>
      <c r="C42" s="31"/>
      <c r="D42" s="26">
        <f>D22+E22+D28+E28+D31+D39+E39</f>
        <v>150840.4234</v>
      </c>
      <c r="E42" s="31"/>
    </row>
    <row r="43" spans="1:9" x14ac:dyDescent="0.25">
      <c r="A43" s="31">
        <v>6</v>
      </c>
      <c r="B43" s="31" t="s">
        <v>43</v>
      </c>
      <c r="C43" s="31"/>
      <c r="D43" s="26">
        <f>D19*6%</f>
        <v>10863.2376</v>
      </c>
      <c r="E43" s="31"/>
    </row>
    <row r="44" spans="1:9" x14ac:dyDescent="0.25">
      <c r="A44" s="31">
        <v>7</v>
      </c>
      <c r="B44" s="22" t="s">
        <v>44</v>
      </c>
      <c r="C44" s="31"/>
      <c r="D44" s="26">
        <f>D42+D43</f>
        <v>161703.66099999999</v>
      </c>
      <c r="E44" s="31"/>
    </row>
    <row r="45" spans="1:9" x14ac:dyDescent="0.25">
      <c r="A45" s="31"/>
      <c r="B45" s="31"/>
      <c r="C45" s="31"/>
      <c r="D45" s="31"/>
      <c r="E45" s="31"/>
    </row>
    <row r="46" spans="1:9" x14ac:dyDescent="0.25">
      <c r="A46" s="31">
        <v>8</v>
      </c>
      <c r="B46" s="22" t="s">
        <v>53</v>
      </c>
      <c r="C46" s="31"/>
      <c r="D46" s="26">
        <f>D16+D18-D44</f>
        <v>-23794.500999999989</v>
      </c>
      <c r="E46" s="31"/>
      <c r="I46" t="s">
        <v>226</v>
      </c>
    </row>
    <row r="47" spans="1:9" x14ac:dyDescent="0.25">
      <c r="A47" s="31">
        <v>9</v>
      </c>
      <c r="B47" s="22" t="s">
        <v>45</v>
      </c>
      <c r="C47" s="31"/>
      <c r="D47" s="26">
        <f>D11+D46</f>
        <v>-23794.500999999989</v>
      </c>
      <c r="E47" s="31"/>
    </row>
    <row r="48" spans="1:9" x14ac:dyDescent="0.25">
      <c r="A48" s="399"/>
      <c r="B48" s="34" t="s">
        <v>163</v>
      </c>
      <c r="C48" s="399"/>
      <c r="D48" s="35">
        <v>4150.41</v>
      </c>
      <c r="E48" s="399"/>
    </row>
    <row r="49" spans="1:5" x14ac:dyDescent="0.25">
      <c r="A49" s="399"/>
      <c r="B49" s="34" t="s">
        <v>164</v>
      </c>
      <c r="C49" s="399"/>
      <c r="D49" s="35">
        <f>D17-D48</f>
        <v>38994.39</v>
      </c>
      <c r="E49" s="399"/>
    </row>
    <row r="50" spans="1:5" x14ac:dyDescent="0.25">
      <c r="A50" s="399"/>
      <c r="B50" s="34"/>
      <c r="C50" s="399"/>
      <c r="D50" s="35"/>
      <c r="E50" s="399"/>
    </row>
    <row r="51" spans="1:5" x14ac:dyDescent="0.25">
      <c r="A51" s="237"/>
      <c r="B51" s="237" t="s">
        <v>46</v>
      </c>
      <c r="C51" s="237"/>
      <c r="D51" s="237" t="s">
        <v>47</v>
      </c>
      <c r="E51" s="237"/>
    </row>
    <row r="52" spans="1:5" x14ac:dyDescent="0.25">
      <c r="A52" s="237"/>
      <c r="B52" s="237" t="s">
        <v>48</v>
      </c>
      <c r="C52" s="237"/>
      <c r="D52" s="237" t="s">
        <v>49</v>
      </c>
      <c r="E52" s="237"/>
    </row>
  </sheetData>
  <mergeCells count="4">
    <mergeCell ref="D8:E8"/>
    <mergeCell ref="D9:E9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27" workbookViewId="0">
      <selection activeCell="D49" sqref="D49"/>
    </sheetView>
  </sheetViews>
  <sheetFormatPr defaultRowHeight="15" x14ac:dyDescent="0.25"/>
  <cols>
    <col min="1" max="1" width="7.7109375" customWidth="1"/>
    <col min="2" max="2" width="41.85546875" customWidth="1"/>
    <col min="4" max="4" width="10.85546875" customWidth="1"/>
    <col min="5" max="5" width="12.1406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165</v>
      </c>
    </row>
    <row r="4" spans="1:5" x14ac:dyDescent="0.25">
      <c r="A4" s="593"/>
      <c r="B4" s="593"/>
      <c r="C4" s="593"/>
      <c r="D4" s="593"/>
      <c r="E4" s="43"/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8"/>
      <c r="B6" s="6" t="s">
        <v>6</v>
      </c>
      <c r="C6" s="7" t="s">
        <v>54</v>
      </c>
      <c r="D6" s="597" t="s">
        <v>166</v>
      </c>
      <c r="E6" s="598"/>
    </row>
    <row r="7" spans="1:5" x14ac:dyDescent="0.25">
      <c r="A7" s="9"/>
      <c r="B7" s="9"/>
      <c r="C7" s="9"/>
      <c r="D7" s="10"/>
      <c r="E7" s="11"/>
    </row>
    <row r="8" spans="1:5" x14ac:dyDescent="0.25">
      <c r="A8" s="9"/>
      <c r="B8" s="375" t="s">
        <v>134</v>
      </c>
      <c r="C8" s="9"/>
      <c r="D8" s="10">
        <v>-371909</v>
      </c>
      <c r="E8" s="11"/>
    </row>
    <row r="9" spans="1:5" x14ac:dyDescent="0.25">
      <c r="A9" s="9"/>
      <c r="B9" s="375" t="s">
        <v>135</v>
      </c>
      <c r="C9" s="9"/>
      <c r="D9" s="10">
        <v>32186.55</v>
      </c>
      <c r="E9" s="11"/>
    </row>
    <row r="10" spans="1:5" x14ac:dyDescent="0.25">
      <c r="A10" s="13"/>
      <c r="B10" s="14" t="s">
        <v>9</v>
      </c>
      <c r="C10" s="12" t="s">
        <v>55</v>
      </c>
      <c r="D10" s="13">
        <v>6474.6</v>
      </c>
      <c r="E10" s="13"/>
    </row>
    <row r="11" spans="1:5" x14ac:dyDescent="0.25">
      <c r="A11" s="13"/>
      <c r="B11" s="14" t="s">
        <v>11</v>
      </c>
      <c r="C11" s="12" t="s">
        <v>55</v>
      </c>
      <c r="D11" s="13">
        <v>3358.2</v>
      </c>
      <c r="E11" s="13"/>
    </row>
    <row r="12" spans="1:5" x14ac:dyDescent="0.25">
      <c r="A12" s="13"/>
      <c r="B12" s="15" t="s">
        <v>12</v>
      </c>
      <c r="C12" s="12" t="s">
        <v>13</v>
      </c>
      <c r="D12" s="19">
        <v>289061.49</v>
      </c>
      <c r="E12" s="13"/>
    </row>
    <row r="13" spans="1:5" ht="15.75" x14ac:dyDescent="0.25">
      <c r="A13" s="13"/>
      <c r="B13" s="16" t="s">
        <v>14</v>
      </c>
      <c r="C13" s="9"/>
      <c r="D13" s="13"/>
      <c r="E13" s="13"/>
    </row>
    <row r="14" spans="1:5" x14ac:dyDescent="0.25">
      <c r="A14" s="13">
        <v>1</v>
      </c>
      <c r="B14" s="13" t="s">
        <v>15</v>
      </c>
      <c r="C14" s="12" t="s">
        <v>13</v>
      </c>
      <c r="D14" s="13">
        <v>182982.07</v>
      </c>
      <c r="E14" s="13"/>
    </row>
    <row r="15" spans="1:5" x14ac:dyDescent="0.25">
      <c r="A15" s="13">
        <v>2</v>
      </c>
      <c r="B15" s="13" t="s">
        <v>16</v>
      </c>
      <c r="C15" s="9"/>
      <c r="D15" s="13">
        <v>50716.05</v>
      </c>
      <c r="E15" s="13"/>
    </row>
    <row r="16" spans="1:5" x14ac:dyDescent="0.25">
      <c r="A16" s="13">
        <v>3</v>
      </c>
      <c r="B16" s="13" t="s">
        <v>101</v>
      </c>
      <c r="C16" s="9"/>
      <c r="D16" s="13">
        <f>3000+2400</f>
        <v>5400</v>
      </c>
      <c r="E16" s="13"/>
    </row>
    <row r="17" spans="1:5" ht="15.75" x14ac:dyDescent="0.25">
      <c r="A17" s="13"/>
      <c r="B17" s="16" t="s">
        <v>17</v>
      </c>
      <c r="C17" s="9"/>
      <c r="D17" s="19">
        <f>D14+D15+D16</f>
        <v>239098.12</v>
      </c>
      <c r="E17" s="13"/>
    </row>
    <row r="18" spans="1:5" ht="15.75" x14ac:dyDescent="0.25">
      <c r="A18" s="13"/>
      <c r="B18" s="16"/>
      <c r="C18" s="9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D21+D26+D25</f>
        <v>78213.060000000012</v>
      </c>
      <c r="E20" s="26">
        <f>E21</f>
        <v>15123.665259999998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D22+D23+D24</f>
        <v>74869.63</v>
      </c>
      <c r="E21" s="26">
        <f>E22+E23+E24</f>
        <v>15123.665259999998</v>
      </c>
    </row>
    <row r="22" spans="1:5" x14ac:dyDescent="0.25">
      <c r="A22" s="20"/>
      <c r="B22" s="20" t="s">
        <v>23</v>
      </c>
      <c r="C22" s="20"/>
      <c r="D22" s="20">
        <v>17579.509999999998</v>
      </c>
      <c r="E22" s="28">
        <f>D22*20.2%</f>
        <v>3551.0610199999992</v>
      </c>
    </row>
    <row r="23" spans="1:5" x14ac:dyDescent="0.25">
      <c r="A23" s="20"/>
      <c r="B23" s="20" t="s">
        <v>24</v>
      </c>
      <c r="C23" s="20"/>
      <c r="D23" s="29">
        <v>32002.560000000001</v>
      </c>
      <c r="E23" s="28">
        <f>D23*20.2%</f>
        <v>6464.5171199999995</v>
      </c>
    </row>
    <row r="24" spans="1:5" x14ac:dyDescent="0.25">
      <c r="A24" s="20"/>
      <c r="B24" s="20" t="s">
        <v>25</v>
      </c>
      <c r="C24" s="20"/>
      <c r="D24" s="20">
        <v>25287.56</v>
      </c>
      <c r="E24" s="28">
        <f>D24*20.2%</f>
        <v>5108.0871200000001</v>
      </c>
    </row>
    <row r="25" spans="1:5" x14ac:dyDescent="0.25">
      <c r="A25" s="20"/>
      <c r="B25" s="20" t="s">
        <v>79</v>
      </c>
      <c r="C25" s="20"/>
      <c r="D25" s="20">
        <v>2877.05</v>
      </c>
      <c r="E25" s="28"/>
    </row>
    <row r="26" spans="1:5" x14ac:dyDescent="0.25">
      <c r="A26" s="20">
        <v>2</v>
      </c>
      <c r="B26" s="27" t="s">
        <v>26</v>
      </c>
      <c r="C26" s="20"/>
      <c r="D26" s="20">
        <v>466.38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53516.49</v>
      </c>
      <c r="E27" s="26">
        <f>E28</f>
        <v>6419.7074599999996</v>
      </c>
    </row>
    <row r="28" spans="1:5" x14ac:dyDescent="0.25">
      <c r="A28" s="20">
        <v>1</v>
      </c>
      <c r="B28" s="31" t="s">
        <v>29</v>
      </c>
      <c r="C28" s="20"/>
      <c r="D28" s="31">
        <v>31780.73</v>
      </c>
      <c r="E28" s="28">
        <f>D28*20.2%</f>
        <v>6419.7074599999996</v>
      </c>
    </row>
    <row r="29" spans="1:5" x14ac:dyDescent="0.25">
      <c r="A29" s="20">
        <v>2</v>
      </c>
      <c r="B29" s="31" t="s">
        <v>26</v>
      </c>
      <c r="C29" s="20"/>
      <c r="D29" s="31">
        <v>2781.8</v>
      </c>
      <c r="E29" s="20"/>
    </row>
    <row r="30" spans="1:5" x14ac:dyDescent="0.25">
      <c r="A30" s="20">
        <v>3</v>
      </c>
      <c r="B30" s="31" t="s">
        <v>116</v>
      </c>
      <c r="C30" s="20"/>
      <c r="D30" s="31">
        <v>18953.96</v>
      </c>
      <c r="E30" s="20"/>
    </row>
    <row r="31" spans="1:5" x14ac:dyDescent="0.25">
      <c r="A31" s="24" t="s">
        <v>30</v>
      </c>
      <c r="B31" s="22" t="s">
        <v>31</v>
      </c>
      <c r="C31" s="20"/>
      <c r="D31" s="26">
        <f>D32+D33+D34+D35+D36+D37+D38</f>
        <v>44517.445999999996</v>
      </c>
      <c r="E31" s="20"/>
    </row>
    <row r="32" spans="1:5" x14ac:dyDescent="0.25">
      <c r="A32" s="20"/>
      <c r="B32" s="20" t="s">
        <v>32</v>
      </c>
      <c r="C32" s="20"/>
      <c r="D32" s="28">
        <f>D17*5%</f>
        <v>11954.906000000001</v>
      </c>
      <c r="E32" s="20"/>
    </row>
    <row r="33" spans="1:5" x14ac:dyDescent="0.25">
      <c r="A33" s="20"/>
      <c r="B33" s="20" t="s">
        <v>62</v>
      </c>
      <c r="C33" s="20"/>
      <c r="D33" s="20">
        <v>495.66</v>
      </c>
      <c r="E33" s="20"/>
    </row>
    <row r="34" spans="1:5" x14ac:dyDescent="0.25">
      <c r="A34" s="20"/>
      <c r="B34" s="20" t="s">
        <v>34</v>
      </c>
      <c r="C34" s="20"/>
      <c r="D34" s="28">
        <f>2634.27+2618.79</f>
        <v>5253.0599999999995</v>
      </c>
      <c r="E34" s="20"/>
    </row>
    <row r="35" spans="1:5" x14ac:dyDescent="0.25">
      <c r="A35" s="20"/>
      <c r="B35" s="31" t="s">
        <v>33</v>
      </c>
      <c r="C35" s="20"/>
      <c r="D35" s="20">
        <v>0</v>
      </c>
      <c r="E35" s="20"/>
    </row>
    <row r="36" spans="1:5" x14ac:dyDescent="0.25">
      <c r="A36" s="20"/>
      <c r="B36" s="27" t="s">
        <v>36</v>
      </c>
      <c r="C36" s="20"/>
      <c r="D36" s="20">
        <v>1604.43</v>
      </c>
      <c r="E36" s="20"/>
    </row>
    <row r="37" spans="1:5" x14ac:dyDescent="0.25">
      <c r="A37" s="20"/>
      <c r="B37" s="13" t="s">
        <v>162</v>
      </c>
      <c r="C37" s="20"/>
      <c r="D37" s="20">
        <v>22372.76</v>
      </c>
      <c r="E37" s="20"/>
    </row>
    <row r="38" spans="1:5" x14ac:dyDescent="0.25">
      <c r="A38" s="20"/>
      <c r="B38" s="20" t="s">
        <v>38</v>
      </c>
      <c r="C38" s="20"/>
      <c r="D38" s="20">
        <f>1452.69+1383.94</f>
        <v>2836.63</v>
      </c>
      <c r="E38" s="20"/>
    </row>
    <row r="39" spans="1:5" x14ac:dyDescent="0.25">
      <c r="A39" s="20">
        <v>4</v>
      </c>
      <c r="B39" s="22" t="s">
        <v>39</v>
      </c>
      <c r="C39" s="20"/>
      <c r="D39" s="26">
        <f>D40+D41</f>
        <v>21761.53</v>
      </c>
      <c r="E39" s="26">
        <f>E40</f>
        <v>3607.7401999999993</v>
      </c>
    </row>
    <row r="40" spans="1:5" x14ac:dyDescent="0.25">
      <c r="A40" s="20"/>
      <c r="B40" s="31" t="s">
        <v>40</v>
      </c>
      <c r="C40" s="31"/>
      <c r="D40" s="32">
        <v>17860.099999999999</v>
      </c>
      <c r="E40" s="28">
        <f>D40*20.2%</f>
        <v>3607.7401999999993</v>
      </c>
    </row>
    <row r="41" spans="1:5" x14ac:dyDescent="0.25">
      <c r="A41" s="20"/>
      <c r="B41" s="27" t="s">
        <v>41</v>
      </c>
      <c r="C41" s="20"/>
      <c r="D41" s="32">
        <v>3901.43</v>
      </c>
      <c r="E41" s="20"/>
    </row>
    <row r="42" spans="1:5" x14ac:dyDescent="0.25">
      <c r="A42" s="20">
        <v>5</v>
      </c>
      <c r="B42" s="22" t="s">
        <v>42</v>
      </c>
      <c r="C42" s="20"/>
      <c r="D42" s="26">
        <f>D20+E20+D27+E27+D31+D39+E39</f>
        <v>223159.63892</v>
      </c>
      <c r="E42" s="20"/>
    </row>
    <row r="43" spans="1:5" x14ac:dyDescent="0.25">
      <c r="A43" s="20">
        <v>6</v>
      </c>
      <c r="B43" s="20" t="s">
        <v>43</v>
      </c>
      <c r="C43" s="20"/>
      <c r="D43" s="26">
        <f>D17*6%</f>
        <v>14345.887199999999</v>
      </c>
      <c r="E43" s="20"/>
    </row>
    <row r="44" spans="1:5" x14ac:dyDescent="0.25">
      <c r="A44" s="20">
        <v>7</v>
      </c>
      <c r="B44" s="22" t="s">
        <v>44</v>
      </c>
      <c r="C44" s="20"/>
      <c r="D44" s="26">
        <f>D42+D43</f>
        <v>237505.52611999999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53</v>
      </c>
      <c r="C46" s="20"/>
      <c r="D46" s="26">
        <f>D14+D16-D44</f>
        <v>-49123.456119999988</v>
      </c>
      <c r="E46" s="20"/>
    </row>
    <row r="47" spans="1:5" x14ac:dyDescent="0.25">
      <c r="A47" s="20">
        <v>9</v>
      </c>
      <c r="B47" s="22" t="s">
        <v>45</v>
      </c>
      <c r="C47" s="20"/>
      <c r="D47" s="26">
        <f>D8+D46</f>
        <v>-421032.45611999999</v>
      </c>
      <c r="E47" s="20"/>
    </row>
    <row r="48" spans="1:5" x14ac:dyDescent="0.25">
      <c r="A48" s="33"/>
      <c r="B48" s="34" t="s">
        <v>16</v>
      </c>
      <c r="C48" s="33"/>
      <c r="D48" s="35">
        <f>D15+D9</f>
        <v>82902.600000000006</v>
      </c>
      <c r="E48" s="33"/>
    </row>
    <row r="49" spans="1:5" x14ac:dyDescent="0.25">
      <c r="A49" s="33"/>
      <c r="B49" s="34"/>
      <c r="C49" s="33"/>
      <c r="D49" s="35"/>
      <c r="E49" s="33"/>
    </row>
    <row r="50" spans="1:5" x14ac:dyDescent="0.25">
      <c r="A50" s="36"/>
      <c r="B50" s="36" t="s">
        <v>46</v>
      </c>
      <c r="C50" s="36"/>
      <c r="D50" s="36" t="s">
        <v>47</v>
      </c>
      <c r="E50" s="36"/>
    </row>
    <row r="51" spans="1:5" x14ac:dyDescent="0.25">
      <c r="A51" s="36"/>
      <c r="B51" s="36" t="s">
        <v>48</v>
      </c>
      <c r="C51" s="36"/>
      <c r="D51" s="36" t="s">
        <v>49</v>
      </c>
      <c r="E51" s="36"/>
    </row>
  </sheetData>
  <mergeCells count="4">
    <mergeCell ref="D5:E5"/>
    <mergeCell ref="D6:E6"/>
    <mergeCell ref="A4:B4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D14" sqref="D14"/>
    </sheetView>
  </sheetViews>
  <sheetFormatPr defaultRowHeight="15" x14ac:dyDescent="0.25"/>
  <cols>
    <col min="2" max="2" width="39.28515625" customWidth="1"/>
    <col min="4" max="4" width="10.42578125" customWidth="1"/>
    <col min="5" max="5" width="12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167</v>
      </c>
    </row>
    <row r="5" spans="1:5" x14ac:dyDescent="0.25">
      <c r="A5" s="43"/>
      <c r="B5" s="43"/>
      <c r="C5" s="43"/>
      <c r="D5" s="43"/>
    </row>
    <row r="6" spans="1:5" x14ac:dyDescent="0.25">
      <c r="A6" s="593"/>
      <c r="B6" s="593"/>
      <c r="C6" s="593"/>
      <c r="D6" s="593"/>
      <c r="E6" s="43"/>
    </row>
    <row r="7" spans="1:5" ht="15.75" x14ac:dyDescent="0.25">
      <c r="A7" s="2"/>
      <c r="B7" s="457" t="s">
        <v>3</v>
      </c>
      <c r="C7" s="458" t="s">
        <v>4</v>
      </c>
      <c r="D7" s="599" t="s">
        <v>5</v>
      </c>
      <c r="E7" s="600"/>
    </row>
    <row r="8" spans="1:5" ht="15.75" x14ac:dyDescent="0.25">
      <c r="A8" s="8"/>
      <c r="B8" s="6" t="s">
        <v>6</v>
      </c>
      <c r="C8" s="7" t="s">
        <v>54</v>
      </c>
      <c r="D8" s="597" t="s">
        <v>115</v>
      </c>
      <c r="E8" s="598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8</v>
      </c>
      <c r="C10" s="9"/>
      <c r="D10" s="10">
        <v>-264030.78000000003</v>
      </c>
      <c r="E10" s="11"/>
    </row>
    <row r="11" spans="1:5" x14ac:dyDescent="0.25">
      <c r="A11" s="13"/>
      <c r="B11" s="14" t="s">
        <v>9</v>
      </c>
      <c r="C11" s="12" t="s">
        <v>55</v>
      </c>
      <c r="D11" s="13">
        <v>6784.41</v>
      </c>
      <c r="E11" s="13"/>
    </row>
    <row r="12" spans="1:5" x14ac:dyDescent="0.25">
      <c r="A12" s="13"/>
      <c r="B12" s="14" t="s">
        <v>11</v>
      </c>
      <c r="C12" s="12" t="s">
        <v>55</v>
      </c>
      <c r="D12" s="13">
        <v>5045.5200000000004</v>
      </c>
      <c r="E12" s="13"/>
    </row>
    <row r="13" spans="1:5" x14ac:dyDescent="0.25">
      <c r="A13" s="13"/>
      <c r="B13" s="15" t="s">
        <v>12</v>
      </c>
      <c r="C13" s="12" t="s">
        <v>13</v>
      </c>
      <c r="D13" s="19">
        <v>213122.76</v>
      </c>
      <c r="E13" s="13"/>
    </row>
    <row r="14" spans="1:5" ht="15.75" x14ac:dyDescent="0.25">
      <c r="A14" s="13"/>
      <c r="B14" s="16" t="s">
        <v>14</v>
      </c>
      <c r="C14" s="9"/>
      <c r="D14" s="13"/>
      <c r="E14" s="13"/>
    </row>
    <row r="15" spans="1:5" x14ac:dyDescent="0.25">
      <c r="A15" s="13">
        <v>1</v>
      </c>
      <c r="B15" s="13" t="s">
        <v>15</v>
      </c>
      <c r="C15" s="12" t="s">
        <v>13</v>
      </c>
      <c r="D15" s="13">
        <v>213541.32</v>
      </c>
      <c r="E15" s="13"/>
    </row>
    <row r="16" spans="1:5" x14ac:dyDescent="0.25">
      <c r="A16" s="13">
        <v>2</v>
      </c>
      <c r="B16" s="13" t="s">
        <v>101</v>
      </c>
      <c r="C16" s="9"/>
      <c r="D16" s="13">
        <f>450+3600</f>
        <v>4050</v>
      </c>
      <c r="E16" s="13"/>
    </row>
    <row r="17" spans="1:5" ht="15.75" x14ac:dyDescent="0.25">
      <c r="A17" s="13"/>
      <c r="B17" s="16" t="s">
        <v>17</v>
      </c>
      <c r="C17" s="9"/>
      <c r="D17" s="19">
        <f>D15+D16</f>
        <v>217591.32</v>
      </c>
      <c r="E17" s="13"/>
    </row>
    <row r="18" spans="1:5" ht="15.75" x14ac:dyDescent="0.25">
      <c r="A18" s="13"/>
      <c r="B18" s="16"/>
      <c r="C18" s="9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D21+D26+D25</f>
        <v>107608.06</v>
      </c>
      <c r="E20" s="26">
        <f>E21</f>
        <v>21110.589739999996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D22+D23+D24</f>
        <v>104507.87</v>
      </c>
      <c r="E21" s="26">
        <f>E22+E23+E24</f>
        <v>21110.589739999996</v>
      </c>
    </row>
    <row r="22" spans="1:5" x14ac:dyDescent="0.25">
      <c r="A22" s="20"/>
      <c r="B22" s="20" t="s">
        <v>23</v>
      </c>
      <c r="C22" s="20"/>
      <c r="D22" s="20">
        <v>14063.66</v>
      </c>
      <c r="E22" s="28">
        <f>D22*20.2%</f>
        <v>2840.8593199999996</v>
      </c>
    </row>
    <row r="23" spans="1:5" x14ac:dyDescent="0.25">
      <c r="A23" s="20"/>
      <c r="B23" s="20" t="s">
        <v>24</v>
      </c>
      <c r="C23" s="20"/>
      <c r="D23" s="29">
        <v>53833.4</v>
      </c>
      <c r="E23" s="28">
        <f>D23*20.2%</f>
        <v>10874.346799999999</v>
      </c>
    </row>
    <row r="24" spans="1:5" x14ac:dyDescent="0.25">
      <c r="A24" s="20"/>
      <c r="B24" s="20" t="s">
        <v>25</v>
      </c>
      <c r="C24" s="20"/>
      <c r="D24" s="20">
        <v>36610.81</v>
      </c>
      <c r="E24" s="28">
        <f>D24*20.2%</f>
        <v>7395.3836199999987</v>
      </c>
    </row>
    <row r="25" spans="1:5" x14ac:dyDescent="0.25">
      <c r="A25" s="20"/>
      <c r="B25" s="20" t="s">
        <v>79</v>
      </c>
      <c r="C25" s="20"/>
      <c r="D25" s="20">
        <v>2399.48</v>
      </c>
      <c r="E25" s="28"/>
    </row>
    <row r="26" spans="1:5" x14ac:dyDescent="0.25">
      <c r="A26" s="20">
        <v>2</v>
      </c>
      <c r="B26" s="27" t="s">
        <v>26</v>
      </c>
      <c r="C26" s="20"/>
      <c r="D26" s="20">
        <v>700.71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</f>
        <v>63275.86</v>
      </c>
      <c r="E27" s="26">
        <f>E28</f>
        <v>9645.2737599999982</v>
      </c>
    </row>
    <row r="28" spans="1:5" x14ac:dyDescent="0.25">
      <c r="A28" s="20">
        <v>1</v>
      </c>
      <c r="B28" s="31" t="s">
        <v>29</v>
      </c>
      <c r="C28" s="20"/>
      <c r="D28" s="31">
        <v>47748.88</v>
      </c>
      <c r="E28" s="28">
        <f>D28*20.2%</f>
        <v>9645.2737599999982</v>
      </c>
    </row>
    <row r="29" spans="1:5" x14ac:dyDescent="0.25">
      <c r="A29" s="20">
        <v>2</v>
      </c>
      <c r="B29" s="31" t="s">
        <v>26</v>
      </c>
      <c r="C29" s="20"/>
      <c r="D29" s="31">
        <v>15526.98</v>
      </c>
      <c r="E29" s="20"/>
    </row>
    <row r="30" spans="1:5" x14ac:dyDescent="0.25">
      <c r="A30" s="24" t="s">
        <v>30</v>
      </c>
      <c r="B30" s="22" t="s">
        <v>31</v>
      </c>
      <c r="C30" s="20"/>
      <c r="D30" s="26">
        <f>D31+D32+D33+D34+D35+D36+D37</f>
        <v>27092.585999999999</v>
      </c>
      <c r="E30" s="20"/>
    </row>
    <row r="31" spans="1:5" x14ac:dyDescent="0.25">
      <c r="A31" s="20"/>
      <c r="B31" s="20" t="s">
        <v>32</v>
      </c>
      <c r="C31" s="20"/>
      <c r="D31" s="28">
        <f>D17*5%</f>
        <v>10879.566000000001</v>
      </c>
      <c r="E31" s="20"/>
    </row>
    <row r="32" spans="1:5" x14ac:dyDescent="0.25">
      <c r="A32" s="20"/>
      <c r="B32" s="20" t="s">
        <v>62</v>
      </c>
      <c r="C32" s="20"/>
      <c r="D32" s="20">
        <v>839.4</v>
      </c>
      <c r="E32" s="20"/>
    </row>
    <row r="33" spans="1:5" x14ac:dyDescent="0.25">
      <c r="A33" s="20"/>
      <c r="B33" s="20" t="s">
        <v>34</v>
      </c>
      <c r="C33" s="20"/>
      <c r="D33" s="28">
        <f>3957.86+3934.6</f>
        <v>7892.46</v>
      </c>
      <c r="E33" s="20"/>
    </row>
    <row r="34" spans="1:5" x14ac:dyDescent="0.25">
      <c r="A34" s="20"/>
      <c r="B34" s="31" t="s">
        <v>33</v>
      </c>
      <c r="C34" s="20"/>
      <c r="D34" s="20">
        <v>2888</v>
      </c>
      <c r="E34" s="20"/>
    </row>
    <row r="35" spans="1:5" x14ac:dyDescent="0.25">
      <c r="A35" s="20"/>
      <c r="B35" s="27" t="s">
        <v>36</v>
      </c>
      <c r="C35" s="20"/>
      <c r="D35" s="20">
        <v>2410.5700000000002</v>
      </c>
      <c r="E35" s="20"/>
    </row>
    <row r="36" spans="1:5" x14ac:dyDescent="0.25">
      <c r="A36" s="20"/>
      <c r="B36" s="13" t="s">
        <v>52</v>
      </c>
      <c r="C36" s="20"/>
      <c r="D36" s="20">
        <v>0</v>
      </c>
      <c r="E36" s="20"/>
    </row>
    <row r="37" spans="1:5" x14ac:dyDescent="0.25">
      <c r="A37" s="20"/>
      <c r="B37" s="20" t="s">
        <v>38</v>
      </c>
      <c r="C37" s="20"/>
      <c r="D37" s="20">
        <f>2182.59</f>
        <v>2182.59</v>
      </c>
      <c r="E37" s="20"/>
    </row>
    <row r="38" spans="1:5" x14ac:dyDescent="0.25">
      <c r="A38" s="20">
        <v>4</v>
      </c>
      <c r="B38" s="22" t="s">
        <v>39</v>
      </c>
      <c r="C38" s="20"/>
      <c r="D38" s="26">
        <v>2079.29</v>
      </c>
      <c r="E38" s="26">
        <f>E39</f>
        <v>5420.4397199999994</v>
      </c>
    </row>
    <row r="39" spans="1:5" x14ac:dyDescent="0.25">
      <c r="A39" s="20"/>
      <c r="B39" s="31" t="s">
        <v>40</v>
      </c>
      <c r="C39" s="31"/>
      <c r="D39" s="32">
        <v>26833.86</v>
      </c>
      <c r="E39" s="28">
        <f>D39*20.2%</f>
        <v>5420.4397199999994</v>
      </c>
    </row>
    <row r="40" spans="1:5" x14ac:dyDescent="0.25">
      <c r="A40" s="20"/>
      <c r="B40" s="27" t="s">
        <v>41</v>
      </c>
      <c r="C40" s="20"/>
      <c r="D40" s="32">
        <v>6078.47</v>
      </c>
      <c r="E40" s="20"/>
    </row>
    <row r="41" spans="1:5" x14ac:dyDescent="0.25">
      <c r="A41" s="20">
        <v>5</v>
      </c>
      <c r="B41" s="22" t="s">
        <v>42</v>
      </c>
      <c r="C41" s="20"/>
      <c r="D41" s="26">
        <f>D20+E20+D27+E27+D30+D38+E38</f>
        <v>236232.09922000003</v>
      </c>
      <c r="E41" s="20"/>
    </row>
    <row r="42" spans="1:5" x14ac:dyDescent="0.25">
      <c r="A42" s="20">
        <v>6</v>
      </c>
      <c r="B42" s="20" t="s">
        <v>43</v>
      </c>
      <c r="C42" s="20"/>
      <c r="D42" s="26">
        <f>D17*6%</f>
        <v>13055.4792</v>
      </c>
      <c r="E42" s="20"/>
    </row>
    <row r="43" spans="1:5" x14ac:dyDescent="0.25">
      <c r="A43" s="20">
        <v>7</v>
      </c>
      <c r="B43" s="22" t="s">
        <v>44</v>
      </c>
      <c r="C43" s="20"/>
      <c r="D43" s="26">
        <f>D41+D42</f>
        <v>249287.57842000003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53</v>
      </c>
      <c r="C45" s="20"/>
      <c r="D45" s="26">
        <f>D17-D43</f>
        <v>-31696.258420000027</v>
      </c>
      <c r="E45" s="20"/>
    </row>
    <row r="46" spans="1:5" x14ac:dyDescent="0.25">
      <c r="A46" s="20">
        <v>9</v>
      </c>
      <c r="B46" s="22" t="s">
        <v>45</v>
      </c>
      <c r="C46" s="20"/>
      <c r="D46" s="26">
        <f>D10+D45</f>
        <v>-295727.03842000006</v>
      </c>
      <c r="E46" s="20"/>
    </row>
    <row r="47" spans="1:5" x14ac:dyDescent="0.25">
      <c r="A47" s="33"/>
      <c r="B47" s="34"/>
      <c r="C47" s="33"/>
      <c r="D47" s="35"/>
      <c r="E47" s="33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4">
    <mergeCell ref="A6:B6"/>
    <mergeCell ref="C6:D6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5" workbookViewId="0">
      <selection activeCell="D15" sqref="D15"/>
    </sheetView>
  </sheetViews>
  <sheetFormatPr defaultRowHeight="15" x14ac:dyDescent="0.25"/>
  <cols>
    <col min="1" max="1" width="7.7109375" customWidth="1"/>
    <col min="2" max="2" width="41" customWidth="1"/>
    <col min="4" max="4" width="10.85546875" customWidth="1"/>
    <col min="5" max="5" width="10.710937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168</v>
      </c>
      <c r="D3" s="13"/>
    </row>
    <row r="4" spans="1:5" x14ac:dyDescent="0.25">
      <c r="A4" s="43"/>
      <c r="B4" s="43"/>
      <c r="C4" s="43"/>
      <c r="D4" s="43"/>
    </row>
    <row r="5" spans="1:5" x14ac:dyDescent="0.25">
      <c r="A5" s="593"/>
      <c r="B5" s="593"/>
      <c r="C5" s="593"/>
      <c r="D5" s="593"/>
      <c r="E5" s="43"/>
    </row>
    <row r="6" spans="1:5" ht="15.75" x14ac:dyDescent="0.25">
      <c r="A6" s="2"/>
      <c r="B6" s="457" t="s">
        <v>3</v>
      </c>
      <c r="C6" s="458" t="s">
        <v>4</v>
      </c>
      <c r="D6" s="599" t="s">
        <v>5</v>
      </c>
      <c r="E6" s="600"/>
    </row>
    <row r="7" spans="1:5" ht="15.75" x14ac:dyDescent="0.25">
      <c r="A7" s="8"/>
      <c r="B7" s="6" t="s">
        <v>6</v>
      </c>
      <c r="C7" s="7" t="s">
        <v>54</v>
      </c>
      <c r="D7" s="597" t="s">
        <v>169</v>
      </c>
      <c r="E7" s="598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8</v>
      </c>
      <c r="C9" s="9"/>
      <c r="D9" s="10">
        <v>-298535.55</v>
      </c>
      <c r="E9" s="11"/>
    </row>
    <row r="10" spans="1:5" x14ac:dyDescent="0.25">
      <c r="A10" s="13"/>
      <c r="B10" s="14" t="s">
        <v>9</v>
      </c>
      <c r="C10" s="12" t="s">
        <v>55</v>
      </c>
      <c r="D10" s="13">
        <v>7643.96</v>
      </c>
      <c r="E10" s="13"/>
    </row>
    <row r="11" spans="1:5" x14ac:dyDescent="0.25">
      <c r="A11" s="13"/>
      <c r="B11" s="14" t="s">
        <v>11</v>
      </c>
      <c r="C11" s="12" t="s">
        <v>55</v>
      </c>
      <c r="D11" s="13">
        <v>5799.3</v>
      </c>
      <c r="E11" s="13"/>
    </row>
    <row r="12" spans="1:5" x14ac:dyDescent="0.25">
      <c r="A12" s="13"/>
      <c r="B12" s="15" t="s">
        <v>12</v>
      </c>
      <c r="C12" s="12" t="s">
        <v>13</v>
      </c>
      <c r="D12" s="13">
        <f>120064.98*2</f>
        <v>240129.96</v>
      </c>
      <c r="E12" s="13"/>
    </row>
    <row r="13" spans="1:5" ht="15.75" x14ac:dyDescent="0.25">
      <c r="A13" s="13"/>
      <c r="B13" s="16" t="s">
        <v>14</v>
      </c>
      <c r="C13" s="9"/>
      <c r="D13" s="13"/>
      <c r="E13" s="13"/>
    </row>
    <row r="14" spans="1:5" x14ac:dyDescent="0.25">
      <c r="A14" s="13">
        <v>1</v>
      </c>
      <c r="B14" s="13" t="s">
        <v>15</v>
      </c>
      <c r="C14" s="12" t="s">
        <v>13</v>
      </c>
      <c r="D14" s="13">
        <v>227457.84</v>
      </c>
      <c r="E14" s="13"/>
    </row>
    <row r="15" spans="1:5" x14ac:dyDescent="0.25">
      <c r="A15" s="13">
        <v>2</v>
      </c>
      <c r="B15" s="13" t="s">
        <v>101</v>
      </c>
      <c r="C15" s="9"/>
      <c r="D15" s="13">
        <f>6000+3600+450</f>
        <v>10050</v>
      </c>
      <c r="E15" s="13"/>
    </row>
    <row r="16" spans="1:5" ht="15.75" x14ac:dyDescent="0.25">
      <c r="A16" s="13"/>
      <c r="B16" s="16" t="s">
        <v>17</v>
      </c>
      <c r="C16" s="9"/>
      <c r="D16" s="19">
        <f>D14+D15</f>
        <v>237507.84</v>
      </c>
      <c r="E16" s="13"/>
    </row>
    <row r="17" spans="1:5" ht="15.75" x14ac:dyDescent="0.25">
      <c r="A17" s="13"/>
      <c r="B17" s="16"/>
      <c r="C17" s="9"/>
      <c r="D17" s="19"/>
      <c r="E17" s="13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D20+D24</f>
        <v>105312.62</v>
      </c>
      <c r="E19" s="26">
        <f>E20</f>
        <v>21110.589739999996</v>
      </c>
    </row>
    <row r="20" spans="1:5" x14ac:dyDescent="0.25">
      <c r="A20" s="20">
        <v>1</v>
      </c>
      <c r="B20" s="22" t="s">
        <v>22</v>
      </c>
      <c r="C20" s="27" t="s">
        <v>13</v>
      </c>
      <c r="D20" s="19">
        <f>D21+D22+D23</f>
        <v>104507.87</v>
      </c>
      <c r="E20" s="18">
        <f>E21+E22+E23</f>
        <v>21110.589739999996</v>
      </c>
    </row>
    <row r="21" spans="1:5" x14ac:dyDescent="0.25">
      <c r="A21" s="20"/>
      <c r="B21" s="20" t="s">
        <v>23</v>
      </c>
      <c r="C21" s="20"/>
      <c r="D21" s="13">
        <v>14063.66</v>
      </c>
      <c r="E21" s="17">
        <f>D21*20.2%</f>
        <v>2840.8593199999996</v>
      </c>
    </row>
    <row r="22" spans="1:5" x14ac:dyDescent="0.25">
      <c r="A22" s="20"/>
      <c r="B22" s="20" t="s">
        <v>24</v>
      </c>
      <c r="C22" s="20"/>
      <c r="D22" s="13">
        <v>53833.4</v>
      </c>
      <c r="E22" s="17">
        <f>D22*20.2%</f>
        <v>10874.346799999999</v>
      </c>
    </row>
    <row r="23" spans="1:5" x14ac:dyDescent="0.25">
      <c r="A23" s="20"/>
      <c r="B23" s="31" t="s">
        <v>25</v>
      </c>
      <c r="C23" s="31"/>
      <c r="D23" s="396">
        <v>36610.81</v>
      </c>
      <c r="E23" s="17">
        <f>D23*20.2%</f>
        <v>7395.3836199999987</v>
      </c>
    </row>
    <row r="24" spans="1:5" x14ac:dyDescent="0.25">
      <c r="A24" s="20">
        <v>2</v>
      </c>
      <c r="B24" s="31" t="s">
        <v>26</v>
      </c>
      <c r="C24" s="31"/>
      <c r="D24" s="396">
        <v>804.75</v>
      </c>
      <c r="E24" s="17"/>
    </row>
    <row r="25" spans="1:5" x14ac:dyDescent="0.25">
      <c r="A25" s="24" t="s">
        <v>27</v>
      </c>
      <c r="B25" s="30" t="s">
        <v>28</v>
      </c>
      <c r="C25" s="22"/>
      <c r="D25" s="395">
        <f>D26+D27</f>
        <v>74099.55</v>
      </c>
      <c r="E25" s="395">
        <f>E26</f>
        <v>11077.34872</v>
      </c>
    </row>
    <row r="26" spans="1:5" x14ac:dyDescent="0.25">
      <c r="A26" s="20">
        <v>1</v>
      </c>
      <c r="B26" s="31" t="s">
        <v>29</v>
      </c>
      <c r="C26" s="31"/>
      <c r="D26" s="396">
        <v>54838.36</v>
      </c>
      <c r="E26" s="17">
        <f>D26*20.2%</f>
        <v>11077.34872</v>
      </c>
    </row>
    <row r="27" spans="1:5" x14ac:dyDescent="0.25">
      <c r="A27" s="20">
        <v>2</v>
      </c>
      <c r="B27" s="31" t="s">
        <v>26</v>
      </c>
      <c r="C27" s="31"/>
      <c r="D27" s="397">
        <v>19261.189999999999</v>
      </c>
      <c r="E27" s="13"/>
    </row>
    <row r="28" spans="1:5" x14ac:dyDescent="0.25">
      <c r="A28" s="24" t="s">
        <v>30</v>
      </c>
      <c r="B28" s="19" t="s">
        <v>31</v>
      </c>
      <c r="C28" s="9"/>
      <c r="D28" s="18">
        <f>SUM(D29:D36)</f>
        <v>33645.042000000001</v>
      </c>
      <c r="E28" s="13"/>
    </row>
    <row r="29" spans="1:5" x14ac:dyDescent="0.25">
      <c r="A29" s="20"/>
      <c r="B29" s="13" t="s">
        <v>32</v>
      </c>
      <c r="C29" s="9"/>
      <c r="D29" s="17">
        <f>D16*5%</f>
        <v>11875.392</v>
      </c>
      <c r="E29" s="13"/>
    </row>
    <row r="30" spans="1:5" x14ac:dyDescent="0.25">
      <c r="A30" s="20"/>
      <c r="B30" s="13" t="s">
        <v>62</v>
      </c>
      <c r="C30" s="9"/>
      <c r="D30" s="13">
        <v>1154.21</v>
      </c>
      <c r="E30" s="13"/>
    </row>
    <row r="31" spans="1:5" x14ac:dyDescent="0.25">
      <c r="A31" s="20"/>
      <c r="B31" s="13" t="s">
        <v>33</v>
      </c>
      <c r="C31" s="9"/>
      <c r="D31" s="13">
        <v>2888</v>
      </c>
      <c r="E31" s="13"/>
    </row>
    <row r="32" spans="1:5" x14ac:dyDescent="0.25">
      <c r="A32" s="20"/>
      <c r="B32" s="13" t="s">
        <v>34</v>
      </c>
      <c r="C32" s="9"/>
      <c r="D32" s="13">
        <f>4545.5+4518.79</f>
        <v>9064.2900000000009</v>
      </c>
      <c r="E32" s="13"/>
    </row>
    <row r="33" spans="1:5" x14ac:dyDescent="0.25">
      <c r="A33" s="20"/>
      <c r="B33" s="13" t="s">
        <v>52</v>
      </c>
      <c r="C33" s="9"/>
      <c r="D33" s="13">
        <v>0</v>
      </c>
      <c r="E33" s="13"/>
    </row>
    <row r="34" spans="1:5" x14ac:dyDescent="0.25">
      <c r="A34" s="20"/>
      <c r="B34" s="27" t="s">
        <v>36</v>
      </c>
      <c r="C34" s="9"/>
      <c r="D34" s="13">
        <v>2768.48</v>
      </c>
      <c r="E34" s="13"/>
    </row>
    <row r="35" spans="1:5" x14ac:dyDescent="0.25">
      <c r="A35" s="20"/>
      <c r="B35" s="13" t="s">
        <v>170</v>
      </c>
      <c r="C35" s="9"/>
      <c r="D35" s="13">
        <v>1000</v>
      </c>
      <c r="E35" s="13"/>
    </row>
    <row r="36" spans="1:5" x14ac:dyDescent="0.25">
      <c r="A36" s="20"/>
      <c r="B36" s="13" t="s">
        <v>38</v>
      </c>
      <c r="C36" s="9"/>
      <c r="D36" s="13">
        <f>2506.65+2388.02</f>
        <v>4894.67</v>
      </c>
      <c r="E36" s="13"/>
    </row>
    <row r="37" spans="1:5" x14ac:dyDescent="0.25">
      <c r="A37" s="20">
        <v>4</v>
      </c>
      <c r="B37" s="22" t="s">
        <v>39</v>
      </c>
      <c r="C37" s="20"/>
      <c r="D37" s="26">
        <f>D38+D39</f>
        <v>37798.97</v>
      </c>
      <c r="E37" s="26">
        <f>E38</f>
        <v>6225.2359999999999</v>
      </c>
    </row>
    <row r="38" spans="1:5" x14ac:dyDescent="0.25">
      <c r="A38" s="20"/>
      <c r="B38" s="31" t="s">
        <v>40</v>
      </c>
      <c r="C38" s="31"/>
      <c r="D38" s="32">
        <v>30818</v>
      </c>
      <c r="E38" s="28">
        <f>D38*20.2%</f>
        <v>6225.2359999999999</v>
      </c>
    </row>
    <row r="39" spans="1:5" x14ac:dyDescent="0.25">
      <c r="A39" s="20"/>
      <c r="B39" s="27" t="s">
        <v>41</v>
      </c>
      <c r="C39" s="20"/>
      <c r="D39" s="32">
        <v>6980.97</v>
      </c>
      <c r="E39" s="20"/>
    </row>
    <row r="40" spans="1:5" x14ac:dyDescent="0.25">
      <c r="A40" s="20">
        <v>5</v>
      </c>
      <c r="B40" s="22" t="s">
        <v>42</v>
      </c>
      <c r="C40" s="20"/>
      <c r="D40" s="26">
        <f>D19+E19+D25+E25+D28+D37+E37</f>
        <v>289269.35645999998</v>
      </c>
      <c r="E40" s="20"/>
    </row>
    <row r="41" spans="1:5" x14ac:dyDescent="0.25">
      <c r="A41" s="20">
        <v>6</v>
      </c>
      <c r="B41" s="20" t="s">
        <v>43</v>
      </c>
      <c r="C41" s="20"/>
      <c r="D41" s="26">
        <f>D16*6%</f>
        <v>14250.4704</v>
      </c>
      <c r="E41" s="20"/>
    </row>
    <row r="42" spans="1:5" x14ac:dyDescent="0.25">
      <c r="A42" s="20">
        <v>7</v>
      </c>
      <c r="B42" s="22" t="s">
        <v>44</v>
      </c>
      <c r="C42" s="20"/>
      <c r="D42" s="26">
        <f>D40+D41</f>
        <v>303519.82685999997</v>
      </c>
      <c r="E42" s="20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20">
        <v>8</v>
      </c>
      <c r="B44" s="22" t="s">
        <v>80</v>
      </c>
      <c r="C44" s="20"/>
      <c r="D44" s="26">
        <f>D16-D42</f>
        <v>-66011.986859999975</v>
      </c>
      <c r="E44" s="20"/>
    </row>
    <row r="45" spans="1:5" x14ac:dyDescent="0.25">
      <c r="A45" s="20">
        <v>9</v>
      </c>
      <c r="B45" s="22" t="s">
        <v>45</v>
      </c>
      <c r="C45" s="20"/>
      <c r="D45" s="26">
        <f>D9+D44</f>
        <v>-364547.53685999999</v>
      </c>
      <c r="E45" s="20"/>
    </row>
    <row r="46" spans="1:5" x14ac:dyDescent="0.25">
      <c r="A46" s="33"/>
      <c r="B46" s="34"/>
      <c r="C46" s="33"/>
      <c r="D46" s="35"/>
      <c r="E46" s="33"/>
    </row>
    <row r="47" spans="1:5" x14ac:dyDescent="0.25">
      <c r="A47" s="36"/>
      <c r="B47" s="36" t="s">
        <v>46</v>
      </c>
      <c r="C47" s="36"/>
      <c r="D47" s="36" t="s">
        <v>47</v>
      </c>
      <c r="E47" s="36"/>
    </row>
    <row r="48" spans="1:5" x14ac:dyDescent="0.25">
      <c r="A48" s="36"/>
      <c r="B48" s="36" t="s">
        <v>48</v>
      </c>
      <c r="C48" s="36"/>
      <c r="D48" s="36" t="s">
        <v>49</v>
      </c>
      <c r="E48" s="36"/>
    </row>
  </sheetData>
  <mergeCells count="4">
    <mergeCell ref="A5:B5"/>
    <mergeCell ref="C5:D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H8" sqref="H8"/>
    </sheetView>
  </sheetViews>
  <sheetFormatPr defaultRowHeight="15" x14ac:dyDescent="0.25"/>
  <cols>
    <col min="1" max="1" width="7.5703125" customWidth="1"/>
    <col min="2" max="2" width="45.140625" customWidth="1"/>
    <col min="4" max="4" width="12.42578125" customWidth="1"/>
    <col min="5" max="5" width="11.1406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171</v>
      </c>
    </row>
    <row r="4" spans="1:5" x14ac:dyDescent="0.25">
      <c r="A4" s="594"/>
      <c r="B4" s="594"/>
      <c r="C4" s="594"/>
      <c r="D4" s="594"/>
      <c r="E4" s="44"/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8"/>
      <c r="B6" s="6" t="s">
        <v>6</v>
      </c>
      <c r="C6" s="7" t="s">
        <v>54</v>
      </c>
      <c r="D6" s="597" t="s">
        <v>115</v>
      </c>
      <c r="E6" s="598"/>
    </row>
    <row r="7" spans="1:5" x14ac:dyDescent="0.25">
      <c r="A7" s="9"/>
      <c r="B7" s="9"/>
      <c r="C7" s="9"/>
      <c r="D7" s="10"/>
      <c r="E7" s="11"/>
    </row>
    <row r="8" spans="1:5" x14ac:dyDescent="0.25">
      <c r="A8" s="9"/>
      <c r="B8" s="375" t="s">
        <v>134</v>
      </c>
      <c r="C8" s="9"/>
      <c r="D8" s="10">
        <v>-356113.62</v>
      </c>
      <c r="E8" s="11"/>
    </row>
    <row r="9" spans="1:5" x14ac:dyDescent="0.25">
      <c r="A9" s="9"/>
      <c r="B9" s="375" t="s">
        <v>135</v>
      </c>
      <c r="C9" s="9"/>
      <c r="D9" s="10">
        <v>184710.65</v>
      </c>
      <c r="E9" s="11"/>
    </row>
    <row r="10" spans="1:5" x14ac:dyDescent="0.25">
      <c r="A10" s="13"/>
      <c r="B10" s="14" t="s">
        <v>9</v>
      </c>
      <c r="C10" s="12" t="s">
        <v>55</v>
      </c>
      <c r="D10" s="13">
        <v>8218.36</v>
      </c>
      <c r="E10" s="13"/>
    </row>
    <row r="11" spans="1:5" x14ac:dyDescent="0.25">
      <c r="A11" s="13"/>
      <c r="B11" s="14" t="s">
        <v>11</v>
      </c>
      <c r="C11" s="12" t="s">
        <v>55</v>
      </c>
      <c r="D11" s="17">
        <v>5705.6</v>
      </c>
      <c r="E11" s="13"/>
    </row>
    <row r="12" spans="1:5" x14ac:dyDescent="0.25">
      <c r="A12" s="13"/>
      <c r="B12" s="15" t="s">
        <v>12</v>
      </c>
      <c r="C12" s="12" t="s">
        <v>13</v>
      </c>
      <c r="D12" s="13">
        <f>294847.47+113827.28</f>
        <v>408674.75</v>
      </c>
      <c r="E12" s="13"/>
    </row>
    <row r="13" spans="1:5" ht="15.75" x14ac:dyDescent="0.25">
      <c r="A13" s="13"/>
      <c r="B13" s="16" t="s">
        <v>14</v>
      </c>
      <c r="C13" s="9"/>
      <c r="D13" s="13"/>
      <c r="E13" s="13"/>
    </row>
    <row r="14" spans="1:5" x14ac:dyDescent="0.25">
      <c r="A14" s="13">
        <v>1</v>
      </c>
      <c r="B14" s="13" t="s">
        <v>15</v>
      </c>
      <c r="C14" s="12" t="s">
        <v>13</v>
      </c>
      <c r="D14" s="13">
        <v>295412.39</v>
      </c>
      <c r="E14" s="13"/>
    </row>
    <row r="15" spans="1:5" x14ac:dyDescent="0.25">
      <c r="A15" s="13">
        <v>2</v>
      </c>
      <c r="B15" s="13" t="s">
        <v>16</v>
      </c>
      <c r="C15" s="9"/>
      <c r="D15" s="13">
        <v>97771.95</v>
      </c>
      <c r="E15" s="13"/>
    </row>
    <row r="16" spans="1:5" x14ac:dyDescent="0.25">
      <c r="A16" s="13">
        <v>3</v>
      </c>
      <c r="B16" s="13" t="s">
        <v>101</v>
      </c>
      <c r="C16" s="9"/>
      <c r="D16" s="13">
        <f>450+2400</f>
        <v>2850</v>
      </c>
      <c r="E16" s="13"/>
    </row>
    <row r="17" spans="1:5" ht="15.75" x14ac:dyDescent="0.25">
      <c r="A17" s="13"/>
      <c r="B17" s="16" t="s">
        <v>17</v>
      </c>
      <c r="C17" s="9"/>
      <c r="D17" s="18">
        <f>D14+D15+D16</f>
        <v>396034.34</v>
      </c>
      <c r="E17" s="13"/>
    </row>
    <row r="18" spans="1:5" ht="15.75" x14ac:dyDescent="0.25">
      <c r="A18" s="13"/>
      <c r="B18" s="16"/>
      <c r="C18" s="9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19">
        <f>D21+D26+D25</f>
        <v>151563.74999999997</v>
      </c>
      <c r="E20" s="395">
        <f>E21</f>
        <v>30239.321219999998</v>
      </c>
    </row>
    <row r="21" spans="1:5" x14ac:dyDescent="0.25">
      <c r="A21" s="20">
        <v>1</v>
      </c>
      <c r="B21" s="22" t="s">
        <v>22</v>
      </c>
      <c r="C21" s="27" t="s">
        <v>13</v>
      </c>
      <c r="D21" s="19">
        <f>D22+D23+D24</f>
        <v>149699.60999999999</v>
      </c>
      <c r="E21" s="18">
        <f>E22+E23+E24</f>
        <v>30239.321219999998</v>
      </c>
    </row>
    <row r="22" spans="1:5" x14ac:dyDescent="0.25">
      <c r="A22" s="20"/>
      <c r="B22" s="20" t="s">
        <v>23</v>
      </c>
      <c r="C22" s="20"/>
      <c r="D22" s="13">
        <v>37408.83</v>
      </c>
      <c r="E22" s="17">
        <f>D22*20.2%</f>
        <v>7556.5836600000002</v>
      </c>
    </row>
    <row r="23" spans="1:5" x14ac:dyDescent="0.25">
      <c r="A23" s="20"/>
      <c r="B23" s="20" t="s">
        <v>24</v>
      </c>
      <c r="C23" s="20"/>
      <c r="D23" s="13">
        <v>64810.81</v>
      </c>
      <c r="E23" s="17">
        <f>D23*20.2%</f>
        <v>13091.783619999998</v>
      </c>
    </row>
    <row r="24" spans="1:5" x14ac:dyDescent="0.25">
      <c r="A24" s="20"/>
      <c r="B24" s="31" t="s">
        <v>25</v>
      </c>
      <c r="C24" s="31"/>
      <c r="D24" s="396">
        <v>47479.97</v>
      </c>
      <c r="E24" s="17">
        <f>D24*20.2%</f>
        <v>9590.9539399999994</v>
      </c>
    </row>
    <row r="25" spans="1:5" x14ac:dyDescent="0.25">
      <c r="A25" s="20"/>
      <c r="B25" s="31" t="s">
        <v>79</v>
      </c>
      <c r="C25" s="31"/>
      <c r="D25" s="396">
        <v>1072.83</v>
      </c>
      <c r="E25" s="17"/>
    </row>
    <row r="26" spans="1:5" x14ac:dyDescent="0.25">
      <c r="A26" s="20">
        <v>2</v>
      </c>
      <c r="B26" s="31" t="s">
        <v>26</v>
      </c>
      <c r="C26" s="31"/>
      <c r="D26" s="396">
        <v>791.31</v>
      </c>
      <c r="E26" s="17"/>
    </row>
    <row r="27" spans="1:5" x14ac:dyDescent="0.25">
      <c r="A27" s="24" t="s">
        <v>27</v>
      </c>
      <c r="B27" s="30" t="s">
        <v>28</v>
      </c>
      <c r="C27" s="22"/>
      <c r="D27" s="395">
        <f>D28+D29</f>
        <v>71071.64</v>
      </c>
      <c r="E27" s="395">
        <f>E28</f>
        <v>10892.39752</v>
      </c>
    </row>
    <row r="28" spans="1:5" x14ac:dyDescent="0.25">
      <c r="A28" s="20">
        <v>1</v>
      </c>
      <c r="B28" s="31" t="s">
        <v>29</v>
      </c>
      <c r="C28" s="31"/>
      <c r="D28" s="396">
        <v>53922.76</v>
      </c>
      <c r="E28" s="17">
        <f>D28*20.2%</f>
        <v>10892.39752</v>
      </c>
    </row>
    <row r="29" spans="1:5" x14ac:dyDescent="0.25">
      <c r="A29" s="20">
        <v>2</v>
      </c>
      <c r="B29" s="31" t="s">
        <v>26</v>
      </c>
      <c r="C29" s="31"/>
      <c r="D29" s="397">
        <v>17148.88</v>
      </c>
      <c r="E29" s="13"/>
    </row>
    <row r="30" spans="1:5" x14ac:dyDescent="0.25">
      <c r="A30" s="24" t="s">
        <v>30</v>
      </c>
      <c r="B30" s="19" t="s">
        <v>31</v>
      </c>
      <c r="C30" s="9"/>
      <c r="D30" s="18">
        <f>SUM(D31:D37)</f>
        <v>50735.393980000008</v>
      </c>
      <c r="E30" s="13"/>
    </row>
    <row r="31" spans="1:5" x14ac:dyDescent="0.25">
      <c r="A31" s="20"/>
      <c r="B31" s="13" t="s">
        <v>32</v>
      </c>
      <c r="C31" s="9"/>
      <c r="D31" s="17">
        <f>D17*4.7%</f>
        <v>18613.613980000002</v>
      </c>
      <c r="E31" s="13"/>
    </row>
    <row r="32" spans="1:5" x14ac:dyDescent="0.25">
      <c r="A32" s="20"/>
      <c r="B32" s="13" t="s">
        <v>62</v>
      </c>
      <c r="C32" s="9"/>
      <c r="D32" s="13">
        <v>1155.6300000000001</v>
      </c>
      <c r="E32" s="13"/>
    </row>
    <row r="33" spans="1:5" x14ac:dyDescent="0.25">
      <c r="A33" s="20"/>
      <c r="B33" s="13" t="s">
        <v>33</v>
      </c>
      <c r="C33" s="9"/>
      <c r="D33" s="13">
        <v>5776</v>
      </c>
      <c r="E33" s="13"/>
    </row>
    <row r="34" spans="1:5" x14ac:dyDescent="0.25">
      <c r="A34" s="20"/>
      <c r="B34" s="13" t="s">
        <v>34</v>
      </c>
      <c r="C34" s="9"/>
      <c r="D34" s="13">
        <f>4469.61+4443.34</f>
        <v>8912.9500000000007</v>
      </c>
      <c r="E34" s="13"/>
    </row>
    <row r="35" spans="1:5" x14ac:dyDescent="0.25">
      <c r="A35" s="20"/>
      <c r="B35" s="27" t="s">
        <v>36</v>
      </c>
      <c r="C35" s="9"/>
      <c r="D35" s="13">
        <v>2722.26</v>
      </c>
      <c r="E35" s="13"/>
    </row>
    <row r="36" spans="1:5" x14ac:dyDescent="0.25">
      <c r="A36" s="20"/>
      <c r="B36" s="13" t="s">
        <v>172</v>
      </c>
      <c r="C36" s="9"/>
      <c r="D36" s="13">
        <f>3449+5293</f>
        <v>8742</v>
      </c>
      <c r="E36" s="13"/>
    </row>
    <row r="37" spans="1:5" x14ac:dyDescent="0.25">
      <c r="A37" s="20"/>
      <c r="B37" s="13" t="s">
        <v>38</v>
      </c>
      <c r="C37" s="9"/>
      <c r="D37" s="13">
        <f>2464.8+2348.14</f>
        <v>4812.9400000000005</v>
      </c>
      <c r="E37" s="13"/>
    </row>
    <row r="38" spans="1:5" x14ac:dyDescent="0.25">
      <c r="A38" s="20">
        <v>4</v>
      </c>
      <c r="B38" s="22" t="s">
        <v>39</v>
      </c>
      <c r="C38" s="20"/>
      <c r="D38" s="26">
        <f>D39+D40</f>
        <v>36504.840000000004</v>
      </c>
      <c r="E38" s="26">
        <f>E39</f>
        <v>6121.2968999999994</v>
      </c>
    </row>
    <row r="39" spans="1:5" x14ac:dyDescent="0.25">
      <c r="A39" s="20"/>
      <c r="B39" s="31" t="s">
        <v>40</v>
      </c>
      <c r="C39" s="31"/>
      <c r="D39" s="32">
        <v>30303.45</v>
      </c>
      <c r="E39" s="28">
        <f>D39*20.2%</f>
        <v>6121.2968999999994</v>
      </c>
    </row>
    <row r="40" spans="1:5" x14ac:dyDescent="0.25">
      <c r="A40" s="20"/>
      <c r="B40" s="27" t="s">
        <v>41</v>
      </c>
      <c r="C40" s="20"/>
      <c r="D40" s="32">
        <v>6201.39</v>
      </c>
      <c r="E40" s="20"/>
    </row>
    <row r="41" spans="1:5" x14ac:dyDescent="0.25">
      <c r="A41" s="20">
        <v>5</v>
      </c>
      <c r="B41" s="22" t="s">
        <v>42</v>
      </c>
      <c r="C41" s="20"/>
      <c r="D41" s="26">
        <f>D20+E20+D27+E27+D30+D38+E38</f>
        <v>357128.63962000003</v>
      </c>
      <c r="E41" s="20"/>
    </row>
    <row r="42" spans="1:5" x14ac:dyDescent="0.25">
      <c r="A42" s="20">
        <v>6</v>
      </c>
      <c r="B42" s="20" t="s">
        <v>43</v>
      </c>
      <c r="C42" s="20"/>
      <c r="D42" s="26">
        <f>D17*6%</f>
        <v>23762.060400000002</v>
      </c>
      <c r="E42" s="20"/>
    </row>
    <row r="43" spans="1:5" x14ac:dyDescent="0.25">
      <c r="A43" s="20">
        <v>7</v>
      </c>
      <c r="B43" s="22" t="s">
        <v>44</v>
      </c>
      <c r="C43" s="20"/>
      <c r="D43" s="26">
        <f>D41+D42</f>
        <v>380890.70002000005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83</v>
      </c>
      <c r="C45" s="20"/>
      <c r="D45" s="26">
        <f>D14+D16-D43</f>
        <v>-82628.310020000034</v>
      </c>
      <c r="E45" s="20"/>
    </row>
    <row r="46" spans="1:5" x14ac:dyDescent="0.25">
      <c r="A46" s="20">
        <v>9</v>
      </c>
      <c r="B46" s="22" t="s">
        <v>45</v>
      </c>
      <c r="C46" s="20"/>
      <c r="D46" s="26">
        <f>D8+D45</f>
        <v>-438741.93002000003</v>
      </c>
      <c r="E46" s="20"/>
    </row>
    <row r="47" spans="1:5" x14ac:dyDescent="0.25">
      <c r="A47" s="33"/>
      <c r="B47" s="459" t="s">
        <v>16</v>
      </c>
      <c r="D47">
        <f>D9+D15</f>
        <v>282482.59999999998</v>
      </c>
      <c r="E47" s="33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4">
    <mergeCell ref="D5:E5"/>
    <mergeCell ref="D6:E6"/>
    <mergeCell ref="A4:B4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D13" sqref="D13"/>
    </sheetView>
  </sheetViews>
  <sheetFormatPr defaultRowHeight="15" x14ac:dyDescent="0.25"/>
  <cols>
    <col min="2" max="2" width="39.140625" customWidth="1"/>
    <col min="4" max="5" width="11.42578125" customWidth="1"/>
  </cols>
  <sheetData>
    <row r="1" spans="1:5" ht="15.75" x14ac:dyDescent="0.25">
      <c r="A1" s="51"/>
      <c r="B1" s="52" t="s">
        <v>0</v>
      </c>
      <c r="C1" s="51"/>
      <c r="D1" s="51"/>
      <c r="E1" s="51"/>
    </row>
    <row r="2" spans="1:5" x14ac:dyDescent="0.25">
      <c r="A2" s="51"/>
      <c r="B2" s="51" t="s">
        <v>107</v>
      </c>
      <c r="C2" s="51"/>
      <c r="D2" s="51"/>
      <c r="E2" s="51"/>
    </row>
    <row r="3" spans="1:5" x14ac:dyDescent="0.25">
      <c r="A3" s="51"/>
      <c r="B3" s="413" t="s">
        <v>108</v>
      </c>
      <c r="C3" s="51"/>
      <c r="D3" s="51"/>
      <c r="E3" s="51"/>
    </row>
    <row r="4" spans="1:5" x14ac:dyDescent="0.25">
      <c r="A4" s="51"/>
      <c r="B4" s="51" t="s">
        <v>65</v>
      </c>
      <c r="C4" s="51"/>
      <c r="D4" s="51"/>
      <c r="E4" s="51"/>
    </row>
    <row r="5" spans="1:5" x14ac:dyDescent="0.25">
      <c r="A5" s="53"/>
      <c r="B5" s="53"/>
      <c r="C5" s="53"/>
      <c r="D5" s="54"/>
      <c r="E5" s="55"/>
    </row>
    <row r="6" spans="1:5" ht="15.75" x14ac:dyDescent="0.25">
      <c r="A6" s="56"/>
      <c r="B6" s="57" t="s">
        <v>3</v>
      </c>
      <c r="C6" s="58" t="s">
        <v>4</v>
      </c>
      <c r="D6" s="503" t="s">
        <v>5</v>
      </c>
      <c r="E6" s="504"/>
    </row>
    <row r="7" spans="1:5" ht="15.75" x14ac:dyDescent="0.25">
      <c r="A7" s="59"/>
      <c r="B7" s="57" t="s">
        <v>6</v>
      </c>
      <c r="C7" s="58" t="s">
        <v>7</v>
      </c>
      <c r="D7" s="505" t="s">
        <v>109</v>
      </c>
      <c r="E7" s="506"/>
    </row>
    <row r="8" spans="1:5" x14ac:dyDescent="0.25">
      <c r="A8" s="60"/>
      <c r="B8" s="60"/>
      <c r="C8" s="60"/>
      <c r="D8" s="61"/>
      <c r="E8" s="62"/>
    </row>
    <row r="9" spans="1:5" x14ac:dyDescent="0.25">
      <c r="A9" s="60"/>
      <c r="B9" s="63" t="s">
        <v>8</v>
      </c>
      <c r="C9" s="60"/>
      <c r="D9" s="61">
        <v>-688602.96</v>
      </c>
      <c r="E9" s="62"/>
    </row>
    <row r="10" spans="1:5" x14ac:dyDescent="0.25">
      <c r="A10" s="64"/>
      <c r="B10" s="65" t="s">
        <v>9</v>
      </c>
      <c r="C10" s="64" t="s">
        <v>10</v>
      </c>
      <c r="D10" s="64">
        <v>11857</v>
      </c>
      <c r="E10" s="64"/>
    </row>
    <row r="11" spans="1:5" x14ac:dyDescent="0.25">
      <c r="A11" s="64"/>
      <c r="B11" s="65" t="s">
        <v>11</v>
      </c>
      <c r="C11" s="64" t="s">
        <v>10</v>
      </c>
      <c r="D11" s="64">
        <v>8903.2000000000007</v>
      </c>
      <c r="E11" s="64"/>
    </row>
    <row r="12" spans="1:5" x14ac:dyDescent="0.25">
      <c r="A12" s="64"/>
      <c r="B12" s="66" t="s">
        <v>12</v>
      </c>
      <c r="C12" s="64" t="s">
        <v>13</v>
      </c>
      <c r="D12" s="64">
        <v>426857.55</v>
      </c>
      <c r="E12" s="64"/>
    </row>
    <row r="13" spans="1:5" x14ac:dyDescent="0.25">
      <c r="A13" s="64"/>
      <c r="B13" s="64"/>
      <c r="C13" s="64"/>
      <c r="D13" s="64"/>
      <c r="E13" s="64"/>
    </row>
    <row r="14" spans="1:5" ht="15.75" x14ac:dyDescent="0.25">
      <c r="A14" s="64"/>
      <c r="B14" s="67" t="s">
        <v>14</v>
      </c>
      <c r="C14" s="64"/>
      <c r="D14" s="64"/>
      <c r="E14" s="64"/>
    </row>
    <row r="15" spans="1:5" x14ac:dyDescent="0.25">
      <c r="A15" s="64">
        <v>1</v>
      </c>
      <c r="B15" s="64" t="s">
        <v>15</v>
      </c>
      <c r="C15" s="64" t="s">
        <v>13</v>
      </c>
      <c r="D15" s="64">
        <v>379415.79</v>
      </c>
      <c r="E15" s="64"/>
    </row>
    <row r="16" spans="1:5" x14ac:dyDescent="0.25">
      <c r="A16" s="64">
        <v>2</v>
      </c>
      <c r="B16" s="64" t="s">
        <v>101</v>
      </c>
      <c r="C16" s="64"/>
      <c r="D16" s="64">
        <f>1050+4800</f>
        <v>5850</v>
      </c>
      <c r="E16" s="64"/>
    </row>
    <row r="17" spans="1:5" ht="15.75" x14ac:dyDescent="0.25">
      <c r="A17" s="64"/>
      <c r="B17" s="67" t="s">
        <v>17</v>
      </c>
      <c r="C17" s="64"/>
      <c r="D17" s="68">
        <f>D15+D16</f>
        <v>385265.79</v>
      </c>
      <c r="E17" s="64"/>
    </row>
    <row r="18" spans="1:5" ht="15.75" x14ac:dyDescent="0.25">
      <c r="A18" s="64"/>
      <c r="B18" s="67"/>
      <c r="C18" s="64"/>
      <c r="D18" s="68"/>
      <c r="E18" s="64"/>
    </row>
    <row r="19" spans="1:5" ht="15.75" x14ac:dyDescent="0.25">
      <c r="A19" s="20"/>
      <c r="B19" s="21" t="s">
        <v>18</v>
      </c>
      <c r="C19" s="20"/>
      <c r="D19" s="22"/>
      <c r="E19" s="20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D21+D26+D25</f>
        <v>175150.42</v>
      </c>
      <c r="E20" s="26">
        <f>E21</f>
        <v>34610.496180000002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D22+D23+D24</f>
        <v>171339.09000000003</v>
      </c>
      <c r="E21" s="26">
        <f>E22+E23+E24</f>
        <v>34610.496180000002</v>
      </c>
    </row>
    <row r="22" spans="1:5" x14ac:dyDescent="0.25">
      <c r="A22" s="20"/>
      <c r="B22" s="20" t="s">
        <v>23</v>
      </c>
      <c r="C22" s="20"/>
      <c r="D22" s="20">
        <v>49090.9</v>
      </c>
      <c r="E22" s="28">
        <f>D22*20.2%</f>
        <v>9916.3617999999988</v>
      </c>
    </row>
    <row r="23" spans="1:5" x14ac:dyDescent="0.25">
      <c r="A23" s="20"/>
      <c r="B23" s="20" t="s">
        <v>24</v>
      </c>
      <c r="C23" s="20"/>
      <c r="D23" s="29">
        <v>68941.64</v>
      </c>
      <c r="E23" s="28">
        <f>D23*20.2%</f>
        <v>13926.21128</v>
      </c>
    </row>
    <row r="24" spans="1:5" x14ac:dyDescent="0.25">
      <c r="A24" s="20"/>
      <c r="B24" s="20" t="s">
        <v>25</v>
      </c>
      <c r="C24" s="20"/>
      <c r="D24" s="20">
        <v>53306.55</v>
      </c>
      <c r="E24" s="28">
        <f>D24*20.2%</f>
        <v>10767.9231</v>
      </c>
    </row>
    <row r="25" spans="1:5" x14ac:dyDescent="0.25">
      <c r="A25" s="20"/>
      <c r="B25" s="20" t="s">
        <v>79</v>
      </c>
      <c r="C25" s="20"/>
      <c r="D25" s="20">
        <v>2574.87</v>
      </c>
      <c r="E25" s="28"/>
    </row>
    <row r="26" spans="1:5" x14ac:dyDescent="0.25">
      <c r="A26" s="20">
        <v>2</v>
      </c>
      <c r="B26" s="27" t="s">
        <v>26</v>
      </c>
      <c r="C26" s="20"/>
      <c r="D26" s="20">
        <v>1236.46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</f>
        <v>93614.07</v>
      </c>
      <c r="E27" s="26">
        <f>E28</f>
        <v>17019.812999999998</v>
      </c>
    </row>
    <row r="28" spans="1:5" x14ac:dyDescent="0.25">
      <c r="A28" s="20">
        <v>1</v>
      </c>
      <c r="B28" s="31" t="s">
        <v>29</v>
      </c>
      <c r="C28" s="20"/>
      <c r="D28" s="31">
        <v>84256.5</v>
      </c>
      <c r="E28" s="32">
        <f>D28*20.2%</f>
        <v>17019.812999999998</v>
      </c>
    </row>
    <row r="29" spans="1:5" x14ac:dyDescent="0.25">
      <c r="A29" s="20">
        <v>2</v>
      </c>
      <c r="B29" s="31" t="s">
        <v>26</v>
      </c>
      <c r="C29" s="20"/>
      <c r="D29" s="32">
        <v>9357.57</v>
      </c>
      <c r="E29" s="20"/>
    </row>
    <row r="30" spans="1:5" x14ac:dyDescent="0.25">
      <c r="A30" s="24" t="s">
        <v>30</v>
      </c>
      <c r="B30" s="22" t="s">
        <v>31</v>
      </c>
      <c r="C30" s="20"/>
      <c r="D30" s="26">
        <f>D31+D32+D34+D35+D37+D38+D33+D36</f>
        <v>61983.809499999996</v>
      </c>
      <c r="E30" s="20"/>
    </row>
    <row r="31" spans="1:5" x14ac:dyDescent="0.25">
      <c r="A31" s="20"/>
      <c r="B31" s="20" t="s">
        <v>32</v>
      </c>
      <c r="C31" s="20"/>
      <c r="D31" s="28">
        <f>D17*5%</f>
        <v>19263.289499999999</v>
      </c>
      <c r="E31" s="20"/>
    </row>
    <row r="32" spans="1:5" x14ac:dyDescent="0.25">
      <c r="A32" s="20"/>
      <c r="B32" s="20" t="s">
        <v>62</v>
      </c>
      <c r="C32" s="20"/>
      <c r="D32" s="20">
        <v>1803.02</v>
      </c>
      <c r="E32" s="20"/>
    </row>
    <row r="33" spans="1:5" x14ac:dyDescent="0.25">
      <c r="A33" s="20"/>
      <c r="B33" s="64" t="s">
        <v>33</v>
      </c>
      <c r="C33" s="20"/>
      <c r="D33" s="20">
        <v>5776</v>
      </c>
      <c r="E33" s="20"/>
    </row>
    <row r="34" spans="1:5" x14ac:dyDescent="0.25">
      <c r="A34" s="20"/>
      <c r="B34" s="20" t="s">
        <v>34</v>
      </c>
      <c r="C34" s="20"/>
      <c r="D34" s="28">
        <f>6983.94+6942.9</f>
        <v>13926.84</v>
      </c>
      <c r="E34" s="20"/>
    </row>
    <row r="35" spans="1:5" x14ac:dyDescent="0.25">
      <c r="A35" s="20"/>
      <c r="B35" s="27" t="s">
        <v>67</v>
      </c>
      <c r="C35" s="20"/>
      <c r="D35" s="20">
        <v>9440.6</v>
      </c>
      <c r="E35" s="20"/>
    </row>
    <row r="36" spans="1:5" x14ac:dyDescent="0.25">
      <c r="A36" s="20"/>
      <c r="B36" s="13" t="s">
        <v>52</v>
      </c>
      <c r="C36" s="20"/>
      <c r="D36" s="20">
        <v>0</v>
      </c>
      <c r="E36" s="20"/>
    </row>
    <row r="37" spans="1:5" x14ac:dyDescent="0.25">
      <c r="A37" s="20"/>
      <c r="B37" s="27" t="s">
        <v>36</v>
      </c>
      <c r="C37" s="20"/>
      <c r="D37" s="20">
        <v>4253.6400000000003</v>
      </c>
      <c r="E37" s="20"/>
    </row>
    <row r="38" spans="1:5" x14ac:dyDescent="0.25">
      <c r="A38" s="20"/>
      <c r="B38" s="20" t="s">
        <v>38</v>
      </c>
      <c r="C38" s="20"/>
      <c r="D38" s="20">
        <f>3851.35+3669.07</f>
        <v>7520.42</v>
      </c>
      <c r="E38" s="20"/>
    </row>
    <row r="39" spans="1:5" x14ac:dyDescent="0.25">
      <c r="A39" s="20">
        <v>4</v>
      </c>
      <c r="B39" s="22" t="s">
        <v>39</v>
      </c>
      <c r="C39" s="20"/>
      <c r="D39" s="26">
        <f>D40+D41</f>
        <v>58076.26</v>
      </c>
      <c r="E39" s="26">
        <f>E40</f>
        <v>9564.7747399999989</v>
      </c>
    </row>
    <row r="40" spans="1:5" x14ac:dyDescent="0.25">
      <c r="A40" s="20"/>
      <c r="B40" s="31" t="s">
        <v>40</v>
      </c>
      <c r="C40" s="31"/>
      <c r="D40" s="32">
        <v>47350.37</v>
      </c>
      <c r="E40" s="32">
        <f>D40*20.2%</f>
        <v>9564.7747399999989</v>
      </c>
    </row>
    <row r="41" spans="1:5" x14ac:dyDescent="0.25">
      <c r="A41" s="20"/>
      <c r="B41" s="20" t="s">
        <v>41</v>
      </c>
      <c r="C41" s="20"/>
      <c r="D41" s="32">
        <v>10725.89</v>
      </c>
      <c r="E41" s="20"/>
    </row>
    <row r="42" spans="1:5" x14ac:dyDescent="0.25">
      <c r="A42" s="20">
        <v>5</v>
      </c>
      <c r="B42" s="22" t="s">
        <v>42</v>
      </c>
      <c r="C42" s="20"/>
      <c r="D42" s="26">
        <f>D20+E20+D27+E27+D30+D39+E39</f>
        <v>450019.64342000004</v>
      </c>
      <c r="E42" s="20"/>
    </row>
    <row r="43" spans="1:5" x14ac:dyDescent="0.25">
      <c r="A43" s="20">
        <v>6</v>
      </c>
      <c r="B43" s="20" t="s">
        <v>43</v>
      </c>
      <c r="C43" s="20"/>
      <c r="D43" s="26">
        <f>D17*6%</f>
        <v>23115.947399999997</v>
      </c>
      <c r="E43" s="20"/>
    </row>
    <row r="44" spans="1:5" x14ac:dyDescent="0.25">
      <c r="A44" s="20">
        <v>7</v>
      </c>
      <c r="B44" s="22" t="s">
        <v>44</v>
      </c>
      <c r="C44" s="20"/>
      <c r="D44" s="26">
        <f>D42+D43</f>
        <v>473135.59082000004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53</v>
      </c>
      <c r="C46" s="20"/>
      <c r="D46" s="26">
        <f>D17-D44</f>
        <v>-87869.800820000062</v>
      </c>
      <c r="E46" s="20"/>
    </row>
    <row r="47" spans="1:5" x14ac:dyDescent="0.25">
      <c r="A47" s="20">
        <v>9</v>
      </c>
      <c r="B47" s="22" t="s">
        <v>45</v>
      </c>
      <c r="C47" s="20"/>
      <c r="D47" s="26">
        <f>D9+D46</f>
        <v>-776472.76081999997</v>
      </c>
      <c r="E47" s="20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" workbookViewId="0">
      <selection activeCell="H38" sqref="H38"/>
    </sheetView>
  </sheetViews>
  <sheetFormatPr defaultRowHeight="15" x14ac:dyDescent="0.25"/>
  <cols>
    <col min="2" max="2" width="43.7109375" customWidth="1"/>
    <col min="4" max="4" width="10.85546875" customWidth="1"/>
    <col min="5" max="5" width="10.425781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173</v>
      </c>
    </row>
    <row r="4" spans="1:5" x14ac:dyDescent="0.25">
      <c r="A4" s="43"/>
      <c r="B4" s="43"/>
      <c r="C4" s="43"/>
      <c r="D4" s="43"/>
    </row>
    <row r="5" spans="1:5" x14ac:dyDescent="0.25">
      <c r="A5" s="594"/>
      <c r="B5" s="594"/>
      <c r="C5" s="594"/>
      <c r="D5" s="594"/>
      <c r="E5" s="44"/>
    </row>
    <row r="6" spans="1:5" ht="15.75" x14ac:dyDescent="0.25">
      <c r="A6" s="2"/>
      <c r="B6" s="457" t="s">
        <v>3</v>
      </c>
      <c r="C6" s="458" t="s">
        <v>4</v>
      </c>
      <c r="D6" s="599" t="s">
        <v>5</v>
      </c>
      <c r="E6" s="600"/>
    </row>
    <row r="7" spans="1:5" ht="15.75" x14ac:dyDescent="0.25">
      <c r="A7" s="8"/>
      <c r="B7" s="6" t="s">
        <v>6</v>
      </c>
      <c r="C7" s="7" t="s">
        <v>54</v>
      </c>
      <c r="D7" s="597" t="s">
        <v>115</v>
      </c>
      <c r="E7" s="598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8</v>
      </c>
      <c r="C9" s="9"/>
      <c r="D9" s="10">
        <v>-14641.93</v>
      </c>
      <c r="E9" s="11"/>
    </row>
    <row r="10" spans="1:5" x14ac:dyDescent="0.25">
      <c r="A10" s="13"/>
      <c r="B10" s="14" t="s">
        <v>9</v>
      </c>
      <c r="C10" s="12" t="s">
        <v>55</v>
      </c>
      <c r="D10" s="17">
        <v>7083</v>
      </c>
      <c r="E10" s="13"/>
    </row>
    <row r="11" spans="1:5" x14ac:dyDescent="0.25">
      <c r="A11" s="13"/>
      <c r="B11" s="14" t="s">
        <v>11</v>
      </c>
      <c r="C11" s="12" t="s">
        <v>55</v>
      </c>
      <c r="D11" s="17">
        <v>5084.0200000000004</v>
      </c>
      <c r="E11" s="13"/>
    </row>
    <row r="12" spans="1:5" x14ac:dyDescent="0.25">
      <c r="A12" s="13"/>
      <c r="B12" s="15" t="s">
        <v>12</v>
      </c>
      <c r="C12" s="12" t="s">
        <v>13</v>
      </c>
      <c r="D12" s="17">
        <v>240267.96</v>
      </c>
      <c r="E12" s="13"/>
    </row>
    <row r="13" spans="1:5" ht="15.75" x14ac:dyDescent="0.25">
      <c r="A13" s="13"/>
      <c r="B13" s="16" t="s">
        <v>14</v>
      </c>
      <c r="C13" s="9"/>
      <c r="D13" s="13"/>
      <c r="E13" s="13"/>
    </row>
    <row r="14" spans="1:5" x14ac:dyDescent="0.25">
      <c r="A14" s="13">
        <v>1</v>
      </c>
      <c r="B14" s="13" t="s">
        <v>15</v>
      </c>
      <c r="C14" s="12" t="s">
        <v>13</v>
      </c>
      <c r="D14" s="17">
        <v>210411.83</v>
      </c>
      <c r="E14" s="13"/>
    </row>
    <row r="15" spans="1:5" x14ac:dyDescent="0.25">
      <c r="A15" s="13"/>
      <c r="B15" s="13"/>
      <c r="C15" s="9"/>
      <c r="D15" s="17"/>
      <c r="E15" s="13"/>
    </row>
    <row r="16" spans="1:5" ht="15.75" x14ac:dyDescent="0.25">
      <c r="A16" s="13"/>
      <c r="B16" s="16" t="s">
        <v>17</v>
      </c>
      <c r="C16" s="9"/>
      <c r="D16" s="18">
        <f>D14</f>
        <v>210411.83</v>
      </c>
      <c r="E16" s="13"/>
    </row>
    <row r="17" spans="1:5" ht="15.75" x14ac:dyDescent="0.25">
      <c r="A17" s="13"/>
      <c r="B17" s="16"/>
      <c r="C17" s="9"/>
      <c r="D17" s="19"/>
      <c r="E17" s="13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D20+D25+D24</f>
        <v>63664.950000000004</v>
      </c>
      <c r="E19" s="26">
        <f>E20</f>
        <v>12571.00338</v>
      </c>
    </row>
    <row r="20" spans="1:5" x14ac:dyDescent="0.25">
      <c r="A20" s="20">
        <v>1</v>
      </c>
      <c r="B20" s="22" t="s">
        <v>22</v>
      </c>
      <c r="C20" s="27" t="s">
        <v>13</v>
      </c>
      <c r="D20" s="26">
        <f>D21+D22+D23</f>
        <v>62232.69</v>
      </c>
      <c r="E20" s="26">
        <f>E21+E22+E23</f>
        <v>12571.00338</v>
      </c>
    </row>
    <row r="21" spans="1:5" x14ac:dyDescent="0.25">
      <c r="A21" s="20"/>
      <c r="B21" s="20" t="s">
        <v>23</v>
      </c>
      <c r="C21" s="20"/>
      <c r="D21" s="20">
        <v>7481.77</v>
      </c>
      <c r="E21" s="28">
        <f>D21*20.2%</f>
        <v>1511.31754</v>
      </c>
    </row>
    <row r="22" spans="1:5" x14ac:dyDescent="0.25">
      <c r="A22" s="20"/>
      <c r="B22" s="20" t="s">
        <v>24</v>
      </c>
      <c r="C22" s="20"/>
      <c r="D22" s="29">
        <v>23406.49</v>
      </c>
      <c r="E22" s="28">
        <f>D22*20.2%</f>
        <v>4728.1109800000004</v>
      </c>
    </row>
    <row r="23" spans="1:5" x14ac:dyDescent="0.25">
      <c r="A23" s="20"/>
      <c r="B23" s="20" t="s">
        <v>25</v>
      </c>
      <c r="C23" s="20"/>
      <c r="D23" s="20">
        <v>31344.43</v>
      </c>
      <c r="E23" s="28">
        <f>D23*20.2%</f>
        <v>6331.5748599999997</v>
      </c>
    </row>
    <row r="24" spans="1:5" x14ac:dyDescent="0.25">
      <c r="A24" s="20"/>
      <c r="B24" s="20" t="s">
        <v>79</v>
      </c>
      <c r="C24" s="20"/>
      <c r="D24" s="20">
        <v>722.12</v>
      </c>
      <c r="E24" s="28"/>
    </row>
    <row r="25" spans="1:5" x14ac:dyDescent="0.25">
      <c r="A25" s="20">
        <v>2</v>
      </c>
      <c r="B25" s="27" t="s">
        <v>26</v>
      </c>
      <c r="C25" s="20"/>
      <c r="D25" s="20">
        <v>710.14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D27+D28+D29</f>
        <v>82044.88</v>
      </c>
      <c r="E26" s="26">
        <f>E27</f>
        <v>9775.0749199999991</v>
      </c>
    </row>
    <row r="27" spans="1:5" x14ac:dyDescent="0.25">
      <c r="A27" s="20">
        <v>1</v>
      </c>
      <c r="B27" s="31" t="s">
        <v>29</v>
      </c>
      <c r="C27" s="20"/>
      <c r="D27" s="31">
        <v>48391.46</v>
      </c>
      <c r="E27" s="28">
        <f>D27*20.2%</f>
        <v>9775.0749199999991</v>
      </c>
    </row>
    <row r="28" spans="1:5" x14ac:dyDescent="0.25">
      <c r="A28" s="20">
        <v>2</v>
      </c>
      <c r="B28" s="31" t="s">
        <v>26</v>
      </c>
      <c r="C28" s="20"/>
      <c r="D28" s="31">
        <v>13148.64</v>
      </c>
      <c r="E28" s="20"/>
    </row>
    <row r="29" spans="1:5" x14ac:dyDescent="0.25">
      <c r="A29" s="20">
        <v>3</v>
      </c>
      <c r="B29" s="31" t="s">
        <v>116</v>
      </c>
      <c r="C29" s="20"/>
      <c r="D29" s="31">
        <v>20504.78</v>
      </c>
      <c r="E29" s="20"/>
    </row>
    <row r="30" spans="1:5" x14ac:dyDescent="0.25">
      <c r="A30" s="24" t="s">
        <v>30</v>
      </c>
      <c r="B30" s="22" t="s">
        <v>31</v>
      </c>
      <c r="C30" s="20"/>
      <c r="D30" s="26">
        <f>D31+D32+D33+D34+D35+D36</f>
        <v>28127.69601</v>
      </c>
      <c r="E30" s="20"/>
    </row>
    <row r="31" spans="1:5" x14ac:dyDescent="0.25">
      <c r="A31" s="20"/>
      <c r="B31" s="20" t="s">
        <v>32</v>
      </c>
      <c r="C31" s="20"/>
      <c r="D31" s="28">
        <f>D16*4.7%</f>
        <v>9889.3560099999995</v>
      </c>
      <c r="E31" s="20"/>
    </row>
    <row r="32" spans="1:5" x14ac:dyDescent="0.25">
      <c r="A32" s="20"/>
      <c r="B32" s="20" t="s">
        <v>62</v>
      </c>
      <c r="C32" s="20"/>
      <c r="D32" s="20">
        <v>728.62</v>
      </c>
      <c r="E32" s="20"/>
    </row>
    <row r="33" spans="1:5" x14ac:dyDescent="0.25">
      <c r="A33" s="20"/>
      <c r="B33" s="20" t="s">
        <v>34</v>
      </c>
      <c r="C33" s="20"/>
      <c r="D33" s="28">
        <f>4011.12+3987.55</f>
        <v>7998.67</v>
      </c>
      <c r="E33" s="20"/>
    </row>
    <row r="34" spans="1:5" x14ac:dyDescent="0.25">
      <c r="A34" s="20"/>
      <c r="B34" s="27" t="s">
        <v>33</v>
      </c>
      <c r="C34" s="20"/>
      <c r="D34" s="20">
        <v>2748.8</v>
      </c>
      <c r="E34" s="20"/>
    </row>
    <row r="35" spans="1:5" x14ac:dyDescent="0.25">
      <c r="A35" s="20"/>
      <c r="B35" s="27" t="s">
        <v>36</v>
      </c>
      <c r="C35" s="20"/>
      <c r="D35" s="20">
        <v>2443.0100000000002</v>
      </c>
      <c r="E35" s="20"/>
    </row>
    <row r="36" spans="1:5" x14ac:dyDescent="0.25">
      <c r="A36" s="20"/>
      <c r="B36" s="20" t="s">
        <v>38</v>
      </c>
      <c r="C36" s="20"/>
      <c r="D36" s="20">
        <f>2211.96+2107.28</f>
        <v>4319.24</v>
      </c>
      <c r="E36" s="20"/>
    </row>
    <row r="37" spans="1:5" x14ac:dyDescent="0.25">
      <c r="A37" s="20">
        <v>4</v>
      </c>
      <c r="B37" s="22" t="s">
        <v>39</v>
      </c>
      <c r="C37" s="20"/>
      <c r="D37" s="26">
        <f>D38+D39</f>
        <v>33355.229999999996</v>
      </c>
      <c r="E37" s="26">
        <f>E38</f>
        <v>5493.3859599999996</v>
      </c>
    </row>
    <row r="38" spans="1:5" x14ac:dyDescent="0.25">
      <c r="A38" s="20"/>
      <c r="B38" s="31" t="s">
        <v>40</v>
      </c>
      <c r="C38" s="31"/>
      <c r="D38" s="32">
        <v>27194.98</v>
      </c>
      <c r="E38" s="28">
        <f>D38*20.2%</f>
        <v>5493.3859599999996</v>
      </c>
    </row>
    <row r="39" spans="1:5" x14ac:dyDescent="0.25">
      <c r="A39" s="20"/>
      <c r="B39" s="27" t="s">
        <v>41</v>
      </c>
      <c r="C39" s="20"/>
      <c r="D39" s="32">
        <v>6160.25</v>
      </c>
      <c r="E39" s="20"/>
    </row>
    <row r="40" spans="1:5" x14ac:dyDescent="0.25">
      <c r="A40" s="20">
        <v>5</v>
      </c>
      <c r="B40" s="22" t="s">
        <v>42</v>
      </c>
      <c r="C40" s="20"/>
      <c r="D40" s="26">
        <f>D19+E19+D26+E26+D30+D37+E37</f>
        <v>235032.22026999999</v>
      </c>
      <c r="E40" s="20"/>
    </row>
    <row r="41" spans="1:5" x14ac:dyDescent="0.25">
      <c r="A41" s="20">
        <v>6</v>
      </c>
      <c r="B41" s="20" t="s">
        <v>43</v>
      </c>
      <c r="C41" s="20"/>
      <c r="D41" s="26">
        <f>D16*6%</f>
        <v>12624.709799999999</v>
      </c>
      <c r="E41" s="20"/>
    </row>
    <row r="42" spans="1:5" x14ac:dyDescent="0.25">
      <c r="A42" s="20">
        <v>7</v>
      </c>
      <c r="B42" s="22" t="s">
        <v>44</v>
      </c>
      <c r="C42" s="20"/>
      <c r="D42" s="26">
        <f>D40+D41</f>
        <v>247656.93007</v>
      </c>
      <c r="E42" s="20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20">
        <v>8</v>
      </c>
      <c r="B44" s="22" t="s">
        <v>53</v>
      </c>
      <c r="C44" s="20"/>
      <c r="D44" s="26">
        <f>D16-D42</f>
        <v>-37245.100070000015</v>
      </c>
      <c r="E44" s="20"/>
    </row>
    <row r="45" spans="1:5" x14ac:dyDescent="0.25">
      <c r="A45" s="20">
        <v>9</v>
      </c>
      <c r="B45" s="22" t="s">
        <v>45</v>
      </c>
      <c r="C45" s="20"/>
      <c r="D45" s="26">
        <f>D9+D44</f>
        <v>-51887.030070000015</v>
      </c>
      <c r="E45" s="20"/>
    </row>
    <row r="46" spans="1:5" x14ac:dyDescent="0.25">
      <c r="A46" s="33"/>
      <c r="B46" s="34"/>
      <c r="C46" s="33"/>
      <c r="D46" s="35"/>
      <c r="E46" s="33"/>
    </row>
    <row r="47" spans="1:5" x14ac:dyDescent="0.25">
      <c r="A47" s="36"/>
      <c r="B47" s="36" t="s">
        <v>46</v>
      </c>
      <c r="C47" s="36"/>
      <c r="D47" s="36" t="s">
        <v>47</v>
      </c>
      <c r="E47" s="36"/>
    </row>
    <row r="48" spans="1:5" x14ac:dyDescent="0.25">
      <c r="A48" s="36"/>
      <c r="B48" s="36" t="s">
        <v>48</v>
      </c>
      <c r="C48" s="36"/>
      <c r="D48" s="36" t="s">
        <v>49</v>
      </c>
      <c r="E48" s="36"/>
    </row>
  </sheetData>
  <mergeCells count="4">
    <mergeCell ref="A5:B5"/>
    <mergeCell ref="C5:D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" workbookViewId="0">
      <selection activeCell="D17" sqref="D17"/>
    </sheetView>
  </sheetViews>
  <sheetFormatPr defaultRowHeight="15" x14ac:dyDescent="0.25"/>
  <cols>
    <col min="2" max="2" width="40.7109375" customWidth="1"/>
    <col min="4" max="4" width="10.42578125" customWidth="1"/>
    <col min="5" max="5" width="10.140625" customWidth="1"/>
  </cols>
  <sheetData>
    <row r="1" spans="1:5" ht="15.75" x14ac:dyDescent="0.25">
      <c r="B1" s="1" t="s">
        <v>0</v>
      </c>
    </row>
    <row r="2" spans="1:5" ht="15.75" x14ac:dyDescent="0.25">
      <c r="B2" s="1"/>
    </row>
    <row r="3" spans="1:5" ht="15.75" x14ac:dyDescent="0.25">
      <c r="B3" s="1"/>
    </row>
    <row r="4" spans="1:5" x14ac:dyDescent="0.25">
      <c r="B4" t="s">
        <v>1</v>
      </c>
    </row>
    <row r="5" spans="1:5" x14ac:dyDescent="0.25">
      <c r="B5" t="s">
        <v>174</v>
      </c>
    </row>
    <row r="8" spans="1:5" x14ac:dyDescent="0.25">
      <c r="A8" s="594"/>
      <c r="B8" s="594"/>
      <c r="C8" s="594"/>
      <c r="D8" s="594"/>
      <c r="E8" s="44"/>
    </row>
    <row r="9" spans="1:5" ht="15.75" x14ac:dyDescent="0.25">
      <c r="A9" s="2"/>
      <c r="B9" s="457" t="s">
        <v>3</v>
      </c>
      <c r="C9" s="458" t="s">
        <v>4</v>
      </c>
      <c r="D9" s="599" t="s">
        <v>5</v>
      </c>
      <c r="E9" s="600"/>
    </row>
    <row r="10" spans="1:5" ht="15.75" x14ac:dyDescent="0.25">
      <c r="A10" s="8"/>
      <c r="B10" s="6" t="s">
        <v>6</v>
      </c>
      <c r="C10" s="7" t="s">
        <v>54</v>
      </c>
      <c r="D10" s="597" t="s">
        <v>127</v>
      </c>
      <c r="E10" s="598"/>
    </row>
    <row r="11" spans="1:5" x14ac:dyDescent="0.25">
      <c r="A11" s="9"/>
      <c r="B11" s="9"/>
      <c r="C11" s="9"/>
      <c r="D11" s="10"/>
      <c r="E11" s="11"/>
    </row>
    <row r="12" spans="1:5" x14ac:dyDescent="0.25">
      <c r="A12" s="9"/>
      <c r="B12" s="375" t="s">
        <v>134</v>
      </c>
      <c r="C12" s="9"/>
      <c r="D12" s="10">
        <v>205305.23</v>
      </c>
      <c r="E12" s="11"/>
    </row>
    <row r="13" spans="1:5" x14ac:dyDescent="0.25">
      <c r="A13" s="9"/>
      <c r="B13" s="375" t="s">
        <v>135</v>
      </c>
      <c r="C13" s="9"/>
      <c r="D13" s="10">
        <v>137214.88</v>
      </c>
      <c r="E13" s="11"/>
    </row>
    <row r="14" spans="1:5" x14ac:dyDescent="0.25">
      <c r="A14" s="13"/>
      <c r="B14" s="14" t="s">
        <v>9</v>
      </c>
      <c r="C14" s="12" t="s">
        <v>55</v>
      </c>
      <c r="D14" s="13">
        <v>9546.7999999999993</v>
      </c>
      <c r="E14" s="13"/>
    </row>
    <row r="15" spans="1:5" x14ac:dyDescent="0.25">
      <c r="A15" s="13"/>
      <c r="B15" s="14" t="s">
        <v>11</v>
      </c>
      <c r="C15" s="12" t="s">
        <v>55</v>
      </c>
      <c r="D15" s="13">
        <v>5841.2</v>
      </c>
      <c r="E15" s="13"/>
    </row>
    <row r="16" spans="1:5" x14ac:dyDescent="0.25">
      <c r="A16" s="13"/>
      <c r="B16" s="15" t="s">
        <v>12</v>
      </c>
      <c r="C16" s="12" t="s">
        <v>13</v>
      </c>
      <c r="D16" s="17">
        <v>327143.11</v>
      </c>
      <c r="E16" s="13"/>
    </row>
    <row r="17" spans="1:5" ht="15.75" x14ac:dyDescent="0.25">
      <c r="A17" s="13"/>
      <c r="B17" s="16" t="s">
        <v>14</v>
      </c>
      <c r="C17" s="9"/>
      <c r="D17" s="13"/>
      <c r="E17" s="13"/>
    </row>
    <row r="18" spans="1:5" x14ac:dyDescent="0.25">
      <c r="A18" s="13">
        <v>1</v>
      </c>
      <c r="B18" s="13" t="s">
        <v>15</v>
      </c>
      <c r="C18" s="12" t="s">
        <v>13</v>
      </c>
      <c r="D18" s="13">
        <v>232031.34</v>
      </c>
      <c r="E18" s="13"/>
    </row>
    <row r="19" spans="1:5" x14ac:dyDescent="0.25">
      <c r="A19" s="13">
        <v>2</v>
      </c>
      <c r="B19" s="13" t="s">
        <v>16</v>
      </c>
      <c r="C19" s="9"/>
      <c r="D19" s="13">
        <v>75653.759999999995</v>
      </c>
      <c r="E19" s="13"/>
    </row>
    <row r="20" spans="1:5" x14ac:dyDescent="0.25">
      <c r="A20" s="13">
        <v>3</v>
      </c>
      <c r="B20" s="13" t="s">
        <v>101</v>
      </c>
      <c r="C20" s="9"/>
      <c r="D20" s="13">
        <f>7099.72+2400</f>
        <v>9499.7200000000012</v>
      </c>
      <c r="E20" s="13"/>
    </row>
    <row r="21" spans="1:5" ht="15.75" x14ac:dyDescent="0.25">
      <c r="A21" s="13"/>
      <c r="B21" s="16" t="s">
        <v>17</v>
      </c>
      <c r="C21" s="9"/>
      <c r="D21" s="18">
        <f>D18+D19+D20</f>
        <v>317184.81999999995</v>
      </c>
      <c r="E21" s="13"/>
    </row>
    <row r="22" spans="1:5" ht="15.75" x14ac:dyDescent="0.25">
      <c r="A22" s="13"/>
      <c r="B22" s="16"/>
      <c r="C22" s="9"/>
      <c r="D22" s="19"/>
      <c r="E22" s="13" t="s">
        <v>19</v>
      </c>
    </row>
    <row r="23" spans="1:5" ht="15.75" x14ac:dyDescent="0.25">
      <c r="A23" s="20"/>
      <c r="B23" s="21" t="s">
        <v>18</v>
      </c>
      <c r="C23" s="20"/>
      <c r="D23" s="19"/>
      <c r="E23" s="13"/>
    </row>
    <row r="24" spans="1:5" x14ac:dyDescent="0.25">
      <c r="A24" s="24" t="s">
        <v>20</v>
      </c>
      <c r="B24" s="25" t="s">
        <v>21</v>
      </c>
      <c r="C24" s="20"/>
      <c r="D24" s="19">
        <f>D25+D29</f>
        <v>9003.26</v>
      </c>
      <c r="E24" s="395">
        <f>E25</f>
        <v>1799.363566</v>
      </c>
    </row>
    <row r="25" spans="1:5" x14ac:dyDescent="0.25">
      <c r="A25" s="20">
        <v>1</v>
      </c>
      <c r="B25" s="22" t="s">
        <v>22</v>
      </c>
      <c r="C25" s="27" t="s">
        <v>13</v>
      </c>
      <c r="D25" s="19">
        <f>D26+D27+D28</f>
        <v>8987.83</v>
      </c>
      <c r="E25" s="18">
        <f>E26+E27+E28</f>
        <v>1799.363566</v>
      </c>
    </row>
    <row r="26" spans="1:5" x14ac:dyDescent="0.25">
      <c r="A26" s="20"/>
      <c r="B26" s="20" t="s">
        <v>23</v>
      </c>
      <c r="C26" s="20"/>
      <c r="D26" s="13">
        <v>8987.83</v>
      </c>
      <c r="E26" s="17">
        <f>D26*20.02%</f>
        <v>1799.363566</v>
      </c>
    </row>
    <row r="27" spans="1:5" x14ac:dyDescent="0.25">
      <c r="A27" s="20"/>
      <c r="B27" s="20" t="s">
        <v>24</v>
      </c>
      <c r="C27" s="20"/>
      <c r="D27" s="13">
        <v>0</v>
      </c>
      <c r="E27" s="17">
        <f>D27*26.2%</f>
        <v>0</v>
      </c>
    </row>
    <row r="28" spans="1:5" x14ac:dyDescent="0.25">
      <c r="A28" s="20"/>
      <c r="B28" s="31" t="s">
        <v>25</v>
      </c>
      <c r="C28" s="31"/>
      <c r="D28" s="396">
        <v>0</v>
      </c>
      <c r="E28" s="17">
        <f>D28*26.2%</f>
        <v>0</v>
      </c>
    </row>
    <row r="29" spans="1:5" x14ac:dyDescent="0.25">
      <c r="A29" s="20">
        <v>2</v>
      </c>
      <c r="B29" s="31" t="s">
        <v>26</v>
      </c>
      <c r="C29" s="31"/>
      <c r="D29" s="396">
        <v>15.43</v>
      </c>
      <c r="E29" s="17"/>
    </row>
    <row r="30" spans="1:5" x14ac:dyDescent="0.25">
      <c r="A30" s="24" t="s">
        <v>27</v>
      </c>
      <c r="B30" s="30" t="s">
        <v>28</v>
      </c>
      <c r="C30" s="22"/>
      <c r="D30" s="395">
        <f>D31+D32+D34</f>
        <v>50815.856539999993</v>
      </c>
      <c r="E30" s="395">
        <f>E31</f>
        <v>5469.131668</v>
      </c>
    </row>
    <row r="31" spans="1:5" x14ac:dyDescent="0.25">
      <c r="A31" s="20">
        <v>1</v>
      </c>
      <c r="B31" s="31" t="s">
        <v>29</v>
      </c>
      <c r="C31" s="31"/>
      <c r="D31" s="396">
        <v>27318.34</v>
      </c>
      <c r="E31" s="17">
        <f>D31*20.02%</f>
        <v>5469.131668</v>
      </c>
    </row>
    <row r="32" spans="1:5" x14ac:dyDescent="0.25">
      <c r="A32" s="20">
        <v>2</v>
      </c>
      <c r="B32" s="31" t="s">
        <v>26</v>
      </c>
      <c r="C32" s="31"/>
      <c r="D32" s="397">
        <v>114.07</v>
      </c>
      <c r="E32" s="13"/>
    </row>
    <row r="33" spans="1:5" x14ac:dyDescent="0.25">
      <c r="A33" s="20"/>
      <c r="B33" s="31" t="s">
        <v>116</v>
      </c>
      <c r="C33" s="460"/>
      <c r="D33" s="397">
        <v>23808.85</v>
      </c>
      <c r="E33" s="13"/>
    </row>
    <row r="34" spans="1:5" x14ac:dyDescent="0.25">
      <c r="A34" s="13">
        <v>3</v>
      </c>
      <c r="B34" s="19" t="s">
        <v>31</v>
      </c>
      <c r="C34" s="9"/>
      <c r="D34" s="18">
        <f>SUM(D35:D41)</f>
        <v>23383.446539999997</v>
      </c>
      <c r="E34" s="13"/>
    </row>
    <row r="35" spans="1:5" x14ac:dyDescent="0.25">
      <c r="A35" s="13"/>
      <c r="B35" s="13" t="s">
        <v>32</v>
      </c>
      <c r="C35" s="9"/>
      <c r="D35" s="17">
        <f>D21*4.7%</f>
        <v>14907.686539999997</v>
      </c>
      <c r="E35" s="13"/>
    </row>
    <row r="36" spans="1:5" x14ac:dyDescent="0.25">
      <c r="A36" s="13"/>
      <c r="B36" s="13" t="s">
        <v>62</v>
      </c>
      <c r="C36" s="9"/>
      <c r="D36" s="13">
        <v>707.04</v>
      </c>
      <c r="E36" s="13"/>
    </row>
    <row r="37" spans="1:5" x14ac:dyDescent="0.25">
      <c r="A37" s="13"/>
      <c r="B37" s="13" t="s">
        <v>33</v>
      </c>
      <c r="C37" s="9"/>
      <c r="D37" s="13">
        <v>0</v>
      </c>
      <c r="E37" s="13"/>
    </row>
    <row r="38" spans="1:5" x14ac:dyDescent="0.25">
      <c r="A38" s="13"/>
      <c r="B38" s="13" t="s">
        <v>34</v>
      </c>
      <c r="C38" s="9"/>
      <c r="D38" s="13">
        <v>4575.1499999999996</v>
      </c>
      <c r="E38" s="13"/>
    </row>
    <row r="39" spans="1:5" x14ac:dyDescent="0.25">
      <c r="A39" s="13"/>
      <c r="B39" s="13" t="s">
        <v>52</v>
      </c>
      <c r="C39" s="9"/>
      <c r="D39" s="13">
        <v>0</v>
      </c>
      <c r="E39" s="13"/>
    </row>
    <row r="40" spans="1:5" x14ac:dyDescent="0.25">
      <c r="A40" s="13"/>
      <c r="B40" s="27" t="s">
        <v>36</v>
      </c>
      <c r="C40" s="9"/>
      <c r="D40" s="13">
        <v>664.18</v>
      </c>
      <c r="E40" s="13"/>
    </row>
    <row r="41" spans="1:5" x14ac:dyDescent="0.25">
      <c r="A41" s="13"/>
      <c r="B41" s="13" t="s">
        <v>38</v>
      </c>
      <c r="C41" s="9"/>
      <c r="D41" s="13">
        <v>2529.39</v>
      </c>
      <c r="E41" s="13"/>
    </row>
    <row r="42" spans="1:5" x14ac:dyDescent="0.25">
      <c r="A42" s="20">
        <v>4</v>
      </c>
      <c r="B42" s="22" t="s">
        <v>39</v>
      </c>
      <c r="C42" s="20"/>
      <c r="D42" s="26">
        <f>D43+D44</f>
        <v>38102.720000000001</v>
      </c>
      <c r="E42" s="26">
        <f>E43</f>
        <v>6275.2451399999991</v>
      </c>
    </row>
    <row r="43" spans="1:5" x14ac:dyDescent="0.25">
      <c r="A43" s="20"/>
      <c r="B43" s="31" t="s">
        <v>40</v>
      </c>
      <c r="C43" s="31"/>
      <c r="D43" s="32">
        <v>31065.57</v>
      </c>
      <c r="E43" s="28">
        <f>D43*20.2%</f>
        <v>6275.2451399999991</v>
      </c>
    </row>
    <row r="44" spans="1:5" x14ac:dyDescent="0.25">
      <c r="A44" s="20"/>
      <c r="B44" s="27" t="s">
        <v>41</v>
      </c>
      <c r="C44" s="20"/>
      <c r="D44" s="32">
        <v>7037.15</v>
      </c>
      <c r="E44" s="20"/>
    </row>
    <row r="45" spans="1:5" x14ac:dyDescent="0.25">
      <c r="A45" s="20">
        <v>5</v>
      </c>
      <c r="B45" s="22" t="s">
        <v>42</v>
      </c>
      <c r="C45" s="20"/>
      <c r="D45" s="26">
        <f>D24+E24+D30+E30+D34+D42+E42</f>
        <v>134849.02345400001</v>
      </c>
      <c r="E45" s="20"/>
    </row>
    <row r="46" spans="1:5" x14ac:dyDescent="0.25">
      <c r="A46" s="20">
        <v>6</v>
      </c>
      <c r="B46" s="20" t="s">
        <v>43</v>
      </c>
      <c r="C46" s="20"/>
      <c r="D46" s="26">
        <f>D21*6%</f>
        <v>19031.089199999995</v>
      </c>
      <c r="E46" s="20"/>
    </row>
    <row r="47" spans="1:5" x14ac:dyDescent="0.25">
      <c r="A47" s="20">
        <v>7</v>
      </c>
      <c r="B47" s="22" t="s">
        <v>44</v>
      </c>
      <c r="C47" s="20"/>
      <c r="D47" s="26">
        <f>D45+D46</f>
        <v>153880.112654</v>
      </c>
      <c r="E47" s="20"/>
    </row>
    <row r="48" spans="1:5" x14ac:dyDescent="0.25">
      <c r="A48" s="20"/>
      <c r="B48" s="20"/>
      <c r="C48" s="20"/>
      <c r="D48" s="20"/>
      <c r="E48" s="20"/>
    </row>
    <row r="49" spans="1:5" x14ac:dyDescent="0.25">
      <c r="A49" s="20">
        <v>8</v>
      </c>
      <c r="B49" s="22" t="s">
        <v>53</v>
      </c>
      <c r="C49" s="20"/>
      <c r="D49" s="26">
        <f>D18+D20-D47</f>
        <v>87650.947346000001</v>
      </c>
      <c r="E49" s="20"/>
    </row>
    <row r="50" spans="1:5" x14ac:dyDescent="0.25">
      <c r="A50" s="20">
        <v>9</v>
      </c>
      <c r="B50" s="22" t="s">
        <v>45</v>
      </c>
      <c r="C50" s="20"/>
      <c r="D50" s="26">
        <f>D12+D49</f>
        <v>292956.17734599998</v>
      </c>
      <c r="E50" s="20"/>
    </row>
    <row r="51" spans="1:5" x14ac:dyDescent="0.25">
      <c r="A51" s="33"/>
      <c r="B51" s="34" t="s">
        <v>16</v>
      </c>
      <c r="C51" s="33"/>
      <c r="D51" s="35">
        <f>D13+D19</f>
        <v>212868.64</v>
      </c>
      <c r="E51" s="33"/>
    </row>
    <row r="52" spans="1:5" x14ac:dyDescent="0.25">
      <c r="A52" s="33"/>
      <c r="B52" s="34" t="s">
        <v>175</v>
      </c>
      <c r="C52" s="33"/>
      <c r="D52" s="35">
        <v>29640</v>
      </c>
      <c r="E52" s="33"/>
    </row>
    <row r="53" spans="1:5" x14ac:dyDescent="0.25">
      <c r="A53" s="33"/>
      <c r="B53" s="34" t="s">
        <v>136</v>
      </c>
      <c r="C53" s="33"/>
      <c r="D53" s="35">
        <f>D51-D52</f>
        <v>183228.64</v>
      </c>
      <c r="E53" s="33"/>
    </row>
    <row r="54" spans="1:5" x14ac:dyDescent="0.25">
      <c r="A54" s="33"/>
      <c r="B54" s="34"/>
      <c r="C54" s="33"/>
      <c r="D54" s="35"/>
      <c r="E54" s="33"/>
    </row>
    <row r="55" spans="1:5" x14ac:dyDescent="0.25">
      <c r="A55" s="36"/>
      <c r="B55" s="36" t="s">
        <v>46</v>
      </c>
      <c r="C55" s="36"/>
      <c r="D55" s="36" t="s">
        <v>47</v>
      </c>
      <c r="E55" s="36"/>
    </row>
    <row r="56" spans="1:5" x14ac:dyDescent="0.25">
      <c r="A56" s="36"/>
      <c r="B56" s="36" t="s">
        <v>48</v>
      </c>
      <c r="C56" s="36"/>
      <c r="D56" s="36" t="s">
        <v>49</v>
      </c>
      <c r="E56" s="36"/>
    </row>
  </sheetData>
  <mergeCells count="4">
    <mergeCell ref="D9:E9"/>
    <mergeCell ref="D10:E10"/>
    <mergeCell ref="A8:B8"/>
    <mergeCell ref="C8:D8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3" workbookViewId="0">
      <selection activeCell="D45" sqref="D45"/>
    </sheetView>
  </sheetViews>
  <sheetFormatPr defaultRowHeight="15" x14ac:dyDescent="0.25"/>
  <cols>
    <col min="2" max="2" width="38.85546875" customWidth="1"/>
    <col min="4" max="4" width="11.28515625" customWidth="1"/>
    <col min="5" max="5" width="10.85546875" customWidth="1"/>
  </cols>
  <sheetData>
    <row r="1" spans="1:5" ht="15.75" x14ac:dyDescent="0.25">
      <c r="B1" s="1" t="s">
        <v>0</v>
      </c>
    </row>
    <row r="2" spans="1:5" ht="15.75" x14ac:dyDescent="0.25">
      <c r="B2" s="1"/>
    </row>
    <row r="3" spans="1:5" x14ac:dyDescent="0.25">
      <c r="B3" t="s">
        <v>1</v>
      </c>
    </row>
    <row r="4" spans="1:5" x14ac:dyDescent="0.25">
      <c r="B4" t="s">
        <v>176</v>
      </c>
    </row>
    <row r="6" spans="1:5" x14ac:dyDescent="0.25">
      <c r="A6" s="593"/>
      <c r="B6" s="593"/>
      <c r="C6" s="593"/>
      <c r="D6" s="593"/>
      <c r="E6" s="43"/>
    </row>
    <row r="7" spans="1:5" ht="15.75" x14ac:dyDescent="0.25">
      <c r="A7" s="2"/>
      <c r="B7" s="457" t="s">
        <v>3</v>
      </c>
      <c r="C7" s="458" t="s">
        <v>4</v>
      </c>
      <c r="D7" s="599" t="s">
        <v>5</v>
      </c>
      <c r="E7" s="600"/>
    </row>
    <row r="8" spans="1:5" ht="15.75" x14ac:dyDescent="0.25">
      <c r="A8" s="8"/>
      <c r="B8" s="6" t="s">
        <v>6</v>
      </c>
      <c r="C8" s="7" t="s">
        <v>54</v>
      </c>
      <c r="D8" s="597" t="s">
        <v>177</v>
      </c>
      <c r="E8" s="598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375" t="s">
        <v>134</v>
      </c>
      <c r="C10" s="9"/>
      <c r="D10" s="10">
        <v>203908.85</v>
      </c>
      <c r="E10" s="11"/>
    </row>
    <row r="11" spans="1:5" x14ac:dyDescent="0.25">
      <c r="A11" s="9"/>
      <c r="B11" s="375" t="s">
        <v>135</v>
      </c>
      <c r="C11" s="9"/>
      <c r="D11" s="10">
        <v>114535.3</v>
      </c>
      <c r="E11" s="11"/>
    </row>
    <row r="12" spans="1:5" x14ac:dyDescent="0.25">
      <c r="A12" s="13"/>
      <c r="B12" s="14" t="s">
        <v>9</v>
      </c>
      <c r="C12" s="12" t="s">
        <v>55</v>
      </c>
      <c r="D12" s="17">
        <v>9568.5</v>
      </c>
      <c r="E12" s="13"/>
    </row>
    <row r="13" spans="1:5" x14ac:dyDescent="0.25">
      <c r="A13" s="13"/>
      <c r="B13" s="14" t="s">
        <v>11</v>
      </c>
      <c r="C13" s="12" t="s">
        <v>55</v>
      </c>
      <c r="D13" s="17">
        <v>5924.6</v>
      </c>
      <c r="E13" s="13"/>
    </row>
    <row r="14" spans="1:5" x14ac:dyDescent="0.25">
      <c r="A14" s="13"/>
      <c r="B14" s="15" t="s">
        <v>12</v>
      </c>
      <c r="C14" s="12" t="s">
        <v>13</v>
      </c>
      <c r="D14" s="17">
        <v>226840.62</v>
      </c>
      <c r="E14" s="13"/>
    </row>
    <row r="15" spans="1:5" ht="15.75" x14ac:dyDescent="0.25">
      <c r="A15" s="13"/>
      <c r="B15" s="16" t="s">
        <v>14</v>
      </c>
      <c r="C15" s="9"/>
      <c r="D15" s="17"/>
      <c r="E15" s="13"/>
    </row>
    <row r="16" spans="1:5" x14ac:dyDescent="0.25">
      <c r="A16" s="13">
        <v>1</v>
      </c>
      <c r="B16" s="13" t="s">
        <v>15</v>
      </c>
      <c r="C16" s="12" t="s">
        <v>13</v>
      </c>
      <c r="D16" s="17">
        <v>234906.61</v>
      </c>
      <c r="E16" s="13"/>
    </row>
    <row r="17" spans="1:5" x14ac:dyDescent="0.25">
      <c r="A17" s="13">
        <v>2</v>
      </c>
      <c r="B17" s="13" t="s">
        <v>178</v>
      </c>
      <c r="C17" s="14" t="s">
        <v>13</v>
      </c>
      <c r="D17" s="13">
        <f>138000+2400</f>
        <v>140400</v>
      </c>
      <c r="E17" s="13"/>
    </row>
    <row r="18" spans="1:5" x14ac:dyDescent="0.25">
      <c r="A18" s="13">
        <v>3</v>
      </c>
      <c r="B18" s="13" t="s">
        <v>16</v>
      </c>
      <c r="C18" s="12"/>
      <c r="D18" s="13">
        <v>71469.990000000005</v>
      </c>
      <c r="E18" s="13"/>
    </row>
    <row r="19" spans="1:5" ht="15.75" x14ac:dyDescent="0.25">
      <c r="A19" s="13"/>
      <c r="B19" s="16" t="s">
        <v>17</v>
      </c>
      <c r="C19" s="9"/>
      <c r="D19" s="18">
        <f>D16+D17+D18</f>
        <v>446776.6</v>
      </c>
      <c r="E19" s="13"/>
    </row>
    <row r="20" spans="1:5" ht="15.75" x14ac:dyDescent="0.25">
      <c r="A20" s="13"/>
      <c r="B20" s="16"/>
      <c r="C20" s="9"/>
      <c r="D20" s="19"/>
      <c r="E20" s="13"/>
    </row>
    <row r="21" spans="1:5" ht="15.75" x14ac:dyDescent="0.25">
      <c r="A21" s="20"/>
      <c r="B21" s="21" t="s">
        <v>18</v>
      </c>
      <c r="C21" s="20"/>
      <c r="D21" s="22"/>
      <c r="E21" s="23" t="s">
        <v>19</v>
      </c>
    </row>
    <row r="22" spans="1:5" x14ac:dyDescent="0.25">
      <c r="A22" s="24" t="s">
        <v>20</v>
      </c>
      <c r="B22" s="25" t="s">
        <v>21</v>
      </c>
      <c r="C22" s="20"/>
      <c r="D22" s="22">
        <f>D23+D26+D25</f>
        <v>28080.78</v>
      </c>
      <c r="E22" s="26">
        <f>E23</f>
        <v>4607.8219999999992</v>
      </c>
    </row>
    <row r="23" spans="1:5" x14ac:dyDescent="0.25">
      <c r="A23" s="20">
        <v>1</v>
      </c>
      <c r="B23" s="22" t="s">
        <v>22</v>
      </c>
      <c r="C23" s="27" t="s">
        <v>13</v>
      </c>
      <c r="D23" s="22">
        <f>D24</f>
        <v>22811</v>
      </c>
      <c r="E23" s="26">
        <f>E24</f>
        <v>4607.8219999999992</v>
      </c>
    </row>
    <row r="24" spans="1:5" x14ac:dyDescent="0.25">
      <c r="A24" s="20"/>
      <c r="B24" s="20" t="s">
        <v>23</v>
      </c>
      <c r="C24" s="20"/>
      <c r="D24" s="20">
        <v>22811</v>
      </c>
      <c r="E24" s="28">
        <f>D24*20.2%</f>
        <v>4607.8219999999992</v>
      </c>
    </row>
    <row r="25" spans="1:5" x14ac:dyDescent="0.25">
      <c r="A25" s="20"/>
      <c r="B25" s="20" t="s">
        <v>79</v>
      </c>
      <c r="C25" s="20"/>
      <c r="D25" s="20">
        <v>4446.9799999999996</v>
      </c>
      <c r="E25" s="28"/>
    </row>
    <row r="26" spans="1:5" x14ac:dyDescent="0.25">
      <c r="A26" s="20">
        <v>2</v>
      </c>
      <c r="B26" s="27" t="s">
        <v>26</v>
      </c>
      <c r="C26" s="20"/>
      <c r="D26" s="20">
        <v>822.8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84845.9</v>
      </c>
      <c r="E27" s="26">
        <f>E28</f>
        <v>11325.768319999999</v>
      </c>
    </row>
    <row r="28" spans="1:5" x14ac:dyDescent="0.25">
      <c r="A28" s="20">
        <v>1</v>
      </c>
      <c r="B28" s="31" t="s">
        <v>29</v>
      </c>
      <c r="C28" s="20"/>
      <c r="D28" s="31">
        <v>56068.160000000003</v>
      </c>
      <c r="E28" s="28">
        <f>D28*20.2%</f>
        <v>11325.768319999999</v>
      </c>
    </row>
    <row r="29" spans="1:5" x14ac:dyDescent="0.25">
      <c r="A29" s="20">
        <v>2</v>
      </c>
      <c r="B29" s="31" t="s">
        <v>26</v>
      </c>
      <c r="C29" s="20"/>
      <c r="D29" s="31">
        <v>11458.34</v>
      </c>
      <c r="E29" s="20"/>
    </row>
    <row r="30" spans="1:5" x14ac:dyDescent="0.25">
      <c r="A30" s="20">
        <v>3</v>
      </c>
      <c r="B30" s="31" t="s">
        <v>121</v>
      </c>
      <c r="C30" s="20"/>
      <c r="D30" s="31">
        <v>17319.400000000001</v>
      </c>
      <c r="E30" s="20"/>
    </row>
    <row r="31" spans="1:5" x14ac:dyDescent="0.25">
      <c r="A31" s="24" t="s">
        <v>30</v>
      </c>
      <c r="B31" s="22" t="s">
        <v>31</v>
      </c>
      <c r="C31" s="20"/>
      <c r="D31" s="26">
        <f>D32+D33+D34+D35+D37+D38+D39+D41+D40+D36</f>
        <v>104784.5702</v>
      </c>
      <c r="E31" s="20"/>
    </row>
    <row r="32" spans="1:5" x14ac:dyDescent="0.25">
      <c r="A32" s="20"/>
      <c r="B32" s="20" t="s">
        <v>32</v>
      </c>
      <c r="C32" s="20"/>
      <c r="D32" s="28">
        <f>D19*4.7%</f>
        <v>20998.500199999999</v>
      </c>
      <c r="E32" s="20"/>
    </row>
    <row r="33" spans="1:5" x14ac:dyDescent="0.25">
      <c r="A33" s="20"/>
      <c r="B33" s="20" t="s">
        <v>62</v>
      </c>
      <c r="C33" s="20"/>
      <c r="D33" s="20">
        <v>1325.21</v>
      </c>
      <c r="E33" s="20"/>
    </row>
    <row r="34" spans="1:5" x14ac:dyDescent="0.25">
      <c r="A34" s="20"/>
      <c r="B34" s="20" t="s">
        <v>34</v>
      </c>
      <c r="C34" s="20"/>
      <c r="D34" s="28">
        <f>4647.44+4620.13</f>
        <v>9267.57</v>
      </c>
      <c r="E34" s="20"/>
    </row>
    <row r="35" spans="1:5" x14ac:dyDescent="0.25">
      <c r="A35" s="20"/>
      <c r="B35" s="27" t="s">
        <v>33</v>
      </c>
      <c r="C35" s="20"/>
      <c r="D35" s="20">
        <v>4902.68</v>
      </c>
      <c r="E35" s="20"/>
    </row>
    <row r="36" spans="1:5" x14ac:dyDescent="0.25">
      <c r="A36" s="20"/>
      <c r="B36" s="13" t="s">
        <v>52</v>
      </c>
      <c r="C36" s="20"/>
      <c r="D36" s="20">
        <v>0</v>
      </c>
      <c r="E36" s="20"/>
    </row>
    <row r="37" spans="1:5" x14ac:dyDescent="0.25">
      <c r="A37" s="20"/>
      <c r="B37" s="27" t="s">
        <v>36</v>
      </c>
      <c r="C37" s="20"/>
      <c r="D37" s="20">
        <v>2830.57</v>
      </c>
      <c r="E37" s="20"/>
    </row>
    <row r="38" spans="1:5" x14ac:dyDescent="0.25">
      <c r="A38" s="20"/>
      <c r="B38" s="27" t="s">
        <v>67</v>
      </c>
      <c r="C38" s="20"/>
      <c r="D38" s="20">
        <v>4655.6099999999997</v>
      </c>
      <c r="E38" s="20"/>
    </row>
    <row r="39" spans="1:5" x14ac:dyDescent="0.25">
      <c r="A39" s="20"/>
      <c r="B39" s="13" t="s">
        <v>179</v>
      </c>
      <c r="C39" s="20"/>
      <c r="D39" s="20">
        <f>5000+4000</f>
        <v>9000</v>
      </c>
      <c r="E39" s="20"/>
    </row>
    <row r="40" spans="1:5" x14ac:dyDescent="0.25">
      <c r="A40" s="20"/>
      <c r="B40" s="13" t="s">
        <v>180</v>
      </c>
      <c r="C40" s="20"/>
      <c r="D40" s="20">
        <v>46800</v>
      </c>
      <c r="E40" s="20"/>
    </row>
    <row r="41" spans="1:5" x14ac:dyDescent="0.25">
      <c r="A41" s="20"/>
      <c r="B41" s="20" t="s">
        <v>38</v>
      </c>
      <c r="C41" s="20"/>
      <c r="D41" s="20">
        <f>2562.86+2441.57</f>
        <v>5004.43</v>
      </c>
      <c r="E41" s="20"/>
    </row>
    <row r="42" spans="1:5" x14ac:dyDescent="0.25">
      <c r="A42" s="20">
        <v>4</v>
      </c>
      <c r="B42" s="22" t="s">
        <v>39</v>
      </c>
      <c r="C42" s="20"/>
      <c r="D42" s="26">
        <f>D43+D44</f>
        <v>38646.61</v>
      </c>
      <c r="E42" s="26">
        <f>E43</f>
        <v>6364.842239999999</v>
      </c>
    </row>
    <row r="43" spans="1:5" x14ac:dyDescent="0.25">
      <c r="A43" s="20"/>
      <c r="B43" s="31" t="s">
        <v>40</v>
      </c>
      <c r="C43" s="31"/>
      <c r="D43" s="32">
        <v>31509.119999999999</v>
      </c>
      <c r="E43" s="28">
        <f>D43*20.2%</f>
        <v>6364.842239999999</v>
      </c>
    </row>
    <row r="44" spans="1:5" x14ac:dyDescent="0.25">
      <c r="A44" s="20"/>
      <c r="B44" s="27" t="s">
        <v>41</v>
      </c>
      <c r="C44" s="20"/>
      <c r="D44" s="32">
        <v>7137.49</v>
      </c>
      <c r="E44" s="20"/>
    </row>
    <row r="45" spans="1:5" x14ac:dyDescent="0.25">
      <c r="A45" s="20">
        <v>5</v>
      </c>
      <c r="B45" s="22" t="s">
        <v>42</v>
      </c>
      <c r="C45" s="20"/>
      <c r="D45" s="26">
        <f>D22+E22+D27+E27+D31+D42+E42</f>
        <v>278656.29276000004</v>
      </c>
      <c r="E45" s="20"/>
    </row>
    <row r="46" spans="1:5" x14ac:dyDescent="0.25">
      <c r="A46" s="20">
        <v>6</v>
      </c>
      <c r="B46" s="20" t="s">
        <v>43</v>
      </c>
      <c r="C46" s="20"/>
      <c r="D46" s="26">
        <f>D19*6%</f>
        <v>26806.595999999998</v>
      </c>
      <c r="E46" s="20"/>
    </row>
    <row r="47" spans="1:5" x14ac:dyDescent="0.25">
      <c r="A47" s="20">
        <v>7</v>
      </c>
      <c r="B47" s="22" t="s">
        <v>44</v>
      </c>
      <c r="C47" s="20"/>
      <c r="D47" s="26">
        <f>D45+D46</f>
        <v>305462.88876000006</v>
      </c>
      <c r="E47" s="20"/>
    </row>
    <row r="48" spans="1:5" x14ac:dyDescent="0.25">
      <c r="A48" s="20"/>
      <c r="B48" s="20"/>
      <c r="C48" s="20"/>
      <c r="D48" s="20"/>
      <c r="E48" s="20"/>
    </row>
    <row r="49" spans="1:5" x14ac:dyDescent="0.25">
      <c r="A49" s="20">
        <v>8</v>
      </c>
      <c r="B49" s="22" t="s">
        <v>53</v>
      </c>
      <c r="C49" s="20"/>
      <c r="D49" s="26">
        <f>D16+D17-D47</f>
        <v>69843.721239999926</v>
      </c>
      <c r="E49" s="20"/>
    </row>
    <row r="50" spans="1:5" x14ac:dyDescent="0.25">
      <c r="A50" s="20">
        <v>9</v>
      </c>
      <c r="B50" s="22" t="s">
        <v>45</v>
      </c>
      <c r="C50" s="20"/>
      <c r="D50" s="26">
        <f>D10+D49</f>
        <v>273752.57123999996</v>
      </c>
      <c r="E50" s="20"/>
    </row>
    <row r="51" spans="1:5" x14ac:dyDescent="0.25">
      <c r="A51" s="33"/>
      <c r="B51" s="461" t="s">
        <v>181</v>
      </c>
      <c r="C51" s="33"/>
      <c r="D51" s="35">
        <f>56287.5</f>
        <v>56287.5</v>
      </c>
      <c r="E51" s="33"/>
    </row>
    <row r="52" spans="1:5" x14ac:dyDescent="0.25">
      <c r="A52" s="33"/>
      <c r="B52" s="461" t="s">
        <v>182</v>
      </c>
      <c r="C52" s="33"/>
      <c r="D52" s="35">
        <f>(D11+D18)-D51</f>
        <v>129717.79000000001</v>
      </c>
      <c r="E52" s="33"/>
    </row>
    <row r="53" spans="1:5" x14ac:dyDescent="0.25">
      <c r="A53" s="33"/>
      <c r="B53" s="34"/>
      <c r="C53" s="33"/>
      <c r="D53" s="35"/>
      <c r="E53" s="33"/>
    </row>
    <row r="54" spans="1:5" x14ac:dyDescent="0.25">
      <c r="A54" s="36"/>
      <c r="B54" s="36" t="s">
        <v>46</v>
      </c>
      <c r="C54" s="36"/>
      <c r="D54" s="36" t="s">
        <v>47</v>
      </c>
      <c r="E54" s="36"/>
    </row>
    <row r="55" spans="1:5" x14ac:dyDescent="0.25">
      <c r="A55" s="36"/>
      <c r="B55" s="36" t="s">
        <v>48</v>
      </c>
      <c r="C55" s="36"/>
      <c r="D55" s="36" t="s">
        <v>49</v>
      </c>
      <c r="E55" s="36"/>
    </row>
  </sheetData>
  <mergeCells count="4">
    <mergeCell ref="A6:B6"/>
    <mergeCell ref="C6:D6"/>
    <mergeCell ref="D8:E8"/>
    <mergeCell ref="D7:E7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D29" sqref="D29"/>
    </sheetView>
  </sheetViews>
  <sheetFormatPr defaultRowHeight="15" x14ac:dyDescent="0.25"/>
  <cols>
    <col min="2" max="2" width="42.85546875" customWidth="1"/>
    <col min="4" max="4" width="11.7109375" customWidth="1"/>
    <col min="5" max="5" width="10.85546875" customWidth="1"/>
  </cols>
  <sheetData>
    <row r="1" spans="1:5" ht="15.75" x14ac:dyDescent="0.25">
      <c r="B1" s="1" t="s">
        <v>0</v>
      </c>
    </row>
    <row r="2" spans="1:5" x14ac:dyDescent="0.25">
      <c r="B2" t="s">
        <v>70</v>
      </c>
    </row>
    <row r="3" spans="1:5" x14ac:dyDescent="0.25">
      <c r="B3" t="s">
        <v>183</v>
      </c>
    </row>
    <row r="4" spans="1:5" ht="15.75" x14ac:dyDescent="0.25">
      <c r="A4" s="2"/>
      <c r="B4" s="457" t="s">
        <v>3</v>
      </c>
      <c r="C4" s="458" t="s">
        <v>4</v>
      </c>
      <c r="D4" s="599" t="s">
        <v>5</v>
      </c>
      <c r="E4" s="600"/>
    </row>
    <row r="5" spans="1:5" ht="15.75" x14ac:dyDescent="0.25">
      <c r="A5" s="8"/>
      <c r="B5" s="6" t="s">
        <v>6</v>
      </c>
      <c r="C5" s="7" t="s">
        <v>54</v>
      </c>
      <c r="D5" s="597" t="s">
        <v>184</v>
      </c>
      <c r="E5" s="598"/>
    </row>
    <row r="6" spans="1:5" x14ac:dyDescent="0.25">
      <c r="A6" s="13"/>
      <c r="B6" s="377" t="s">
        <v>134</v>
      </c>
      <c r="C6" s="13"/>
      <c r="D6" s="462">
        <v>-307911.63</v>
      </c>
      <c r="E6" s="398"/>
    </row>
    <row r="7" spans="1:5" x14ac:dyDescent="0.25">
      <c r="A7" s="9"/>
      <c r="B7" s="375" t="s">
        <v>135</v>
      </c>
      <c r="C7" s="9"/>
      <c r="D7" s="10">
        <v>19595.39</v>
      </c>
      <c r="E7" s="11"/>
    </row>
    <row r="8" spans="1:5" x14ac:dyDescent="0.25">
      <c r="A8" s="13"/>
      <c r="B8" s="14" t="s">
        <v>9</v>
      </c>
      <c r="C8" s="12" t="s">
        <v>55</v>
      </c>
      <c r="D8" s="13">
        <v>6474.6</v>
      </c>
      <c r="E8" s="13"/>
    </row>
    <row r="9" spans="1:5" x14ac:dyDescent="0.25">
      <c r="A9" s="13"/>
      <c r="B9" s="14" t="s">
        <v>11</v>
      </c>
      <c r="C9" s="12" t="s">
        <v>55</v>
      </c>
      <c r="D9" s="13">
        <v>4985.3</v>
      </c>
      <c r="E9" s="13"/>
    </row>
    <row r="10" spans="1:5" x14ac:dyDescent="0.25">
      <c r="A10" s="13"/>
      <c r="B10" s="15" t="s">
        <v>12</v>
      </c>
      <c r="C10" s="12" t="s">
        <v>13</v>
      </c>
      <c r="D10" s="13">
        <v>475225.2</v>
      </c>
      <c r="E10" s="13"/>
    </row>
    <row r="11" spans="1:5" ht="15.75" x14ac:dyDescent="0.25">
      <c r="A11" s="13"/>
      <c r="B11" s="16" t="s">
        <v>14</v>
      </c>
      <c r="C11" s="9"/>
      <c r="D11" s="13"/>
      <c r="E11" s="13"/>
    </row>
    <row r="12" spans="1:5" x14ac:dyDescent="0.25">
      <c r="A12" s="13">
        <v>1</v>
      </c>
      <c r="B12" s="13" t="s">
        <v>15</v>
      </c>
      <c r="C12" s="12" t="s">
        <v>13</v>
      </c>
      <c r="D12" s="13">
        <v>290230.07</v>
      </c>
      <c r="E12" s="13"/>
    </row>
    <row r="13" spans="1:5" x14ac:dyDescent="0.25">
      <c r="A13" s="13">
        <v>2</v>
      </c>
      <c r="B13" s="13" t="s">
        <v>16</v>
      </c>
      <c r="C13" s="9"/>
      <c r="D13" s="13">
        <v>70837.88</v>
      </c>
      <c r="E13" s="13"/>
    </row>
    <row r="14" spans="1:5" x14ac:dyDescent="0.25">
      <c r="A14" s="13">
        <v>3</v>
      </c>
      <c r="B14" s="13" t="s">
        <v>101</v>
      </c>
      <c r="C14" s="9"/>
      <c r="D14" s="13">
        <f>600+2400</f>
        <v>3000</v>
      </c>
      <c r="E14" s="13"/>
    </row>
    <row r="15" spans="1:5" ht="15.75" x14ac:dyDescent="0.25">
      <c r="A15" s="13"/>
      <c r="B15" s="16" t="s">
        <v>17</v>
      </c>
      <c r="C15" s="9"/>
      <c r="D15" s="19">
        <f>D12+D13+D14</f>
        <v>364067.95</v>
      </c>
      <c r="E15" s="13"/>
    </row>
    <row r="16" spans="1:5" ht="15.75" x14ac:dyDescent="0.25">
      <c r="A16" s="13"/>
      <c r="B16" s="16"/>
      <c r="C16" s="9"/>
      <c r="D16" s="19"/>
      <c r="E16" s="13" t="s">
        <v>19</v>
      </c>
    </row>
    <row r="17" spans="1:5" ht="15.75" x14ac:dyDescent="0.25">
      <c r="A17" s="20"/>
      <c r="B17" s="21" t="s">
        <v>18</v>
      </c>
      <c r="C17" s="20"/>
      <c r="D17" s="19"/>
      <c r="E17" s="13"/>
    </row>
    <row r="18" spans="1:5" x14ac:dyDescent="0.25">
      <c r="A18" s="24" t="s">
        <v>20</v>
      </c>
      <c r="B18" s="25" t="s">
        <v>21</v>
      </c>
      <c r="C18" s="20"/>
      <c r="D18" s="19">
        <f>D19+D24+D23</f>
        <v>78226.510000000009</v>
      </c>
      <c r="E18" s="395">
        <f>E19</f>
        <v>14543.743460000002</v>
      </c>
    </row>
    <row r="19" spans="1:5" x14ac:dyDescent="0.25">
      <c r="A19" s="20">
        <v>1</v>
      </c>
      <c r="B19" s="22" t="s">
        <v>22</v>
      </c>
      <c r="C19" s="27" t="s">
        <v>13</v>
      </c>
      <c r="D19" s="19">
        <f>D20+D21+D22</f>
        <v>71998.73000000001</v>
      </c>
      <c r="E19" s="18">
        <f>E20+E21+E22</f>
        <v>14543.743460000002</v>
      </c>
    </row>
    <row r="20" spans="1:5" x14ac:dyDescent="0.25">
      <c r="A20" s="20"/>
      <c r="B20" s="20" t="s">
        <v>23</v>
      </c>
      <c r="C20" s="20"/>
      <c r="D20" s="13">
        <v>13030.74</v>
      </c>
      <c r="E20" s="17">
        <f>D20*20.2%</f>
        <v>2632.20948</v>
      </c>
    </row>
    <row r="21" spans="1:5" x14ac:dyDescent="0.25">
      <c r="A21" s="20"/>
      <c r="B21" s="20" t="s">
        <v>24</v>
      </c>
      <c r="C21" s="20"/>
      <c r="D21" s="13">
        <v>23099.26</v>
      </c>
      <c r="E21" s="17">
        <f>D21*20.2%</f>
        <v>4666.0505199999998</v>
      </c>
    </row>
    <row r="22" spans="1:5" x14ac:dyDescent="0.25">
      <c r="A22" s="20"/>
      <c r="B22" s="31" t="s">
        <v>25</v>
      </c>
      <c r="C22" s="31"/>
      <c r="D22" s="396">
        <v>35868.730000000003</v>
      </c>
      <c r="E22" s="17">
        <f>D22*20.2%</f>
        <v>7245.4834600000004</v>
      </c>
    </row>
    <row r="23" spans="1:5" x14ac:dyDescent="0.25">
      <c r="A23" s="20"/>
      <c r="B23" s="31" t="s">
        <v>79</v>
      </c>
      <c r="C23" s="31"/>
      <c r="D23" s="396">
        <v>448.74</v>
      </c>
      <c r="E23" s="17"/>
    </row>
    <row r="24" spans="1:5" x14ac:dyDescent="0.25">
      <c r="A24" s="20">
        <v>2</v>
      </c>
      <c r="B24" s="31" t="s">
        <v>26</v>
      </c>
      <c r="C24" s="31"/>
      <c r="D24" s="396">
        <v>5779.04</v>
      </c>
      <c r="E24" s="17"/>
    </row>
    <row r="25" spans="1:5" x14ac:dyDescent="0.25">
      <c r="A25" s="24" t="s">
        <v>27</v>
      </c>
      <c r="B25" s="30" t="s">
        <v>28</v>
      </c>
      <c r="C25" s="22"/>
      <c r="D25" s="395">
        <f>D26+D27+D28</f>
        <v>76060.86</v>
      </c>
      <c r="E25" s="395">
        <f>E26</f>
        <v>9530.1539599999996</v>
      </c>
    </row>
    <row r="26" spans="1:5" x14ac:dyDescent="0.25">
      <c r="A26" s="20">
        <v>1</v>
      </c>
      <c r="B26" s="31" t="s">
        <v>29</v>
      </c>
      <c r="C26" s="31"/>
      <c r="D26" s="396">
        <v>47178.98</v>
      </c>
      <c r="E26" s="17">
        <f>D26*20.2%</f>
        <v>9530.1539599999996</v>
      </c>
    </row>
    <row r="27" spans="1:5" x14ac:dyDescent="0.25">
      <c r="A27" s="20">
        <v>2</v>
      </c>
      <c r="B27" s="31" t="s">
        <v>26</v>
      </c>
      <c r="C27" s="31"/>
      <c r="D27" s="397">
        <v>8377.1</v>
      </c>
      <c r="E27" s="13"/>
    </row>
    <row r="28" spans="1:5" x14ac:dyDescent="0.25">
      <c r="A28" s="20">
        <v>3</v>
      </c>
      <c r="B28" s="31" t="s">
        <v>116</v>
      </c>
      <c r="C28" s="460"/>
      <c r="D28" s="397">
        <v>20504.78</v>
      </c>
      <c r="E28" s="13"/>
    </row>
    <row r="29" spans="1:5" x14ac:dyDescent="0.25">
      <c r="A29" s="13">
        <v>3</v>
      </c>
      <c r="B29" s="19" t="s">
        <v>31</v>
      </c>
      <c r="C29" s="9"/>
      <c r="D29" s="18">
        <f>SUM(D30:D36)</f>
        <v>36141.773650000003</v>
      </c>
      <c r="E29" s="13"/>
    </row>
    <row r="30" spans="1:5" x14ac:dyDescent="0.25">
      <c r="A30" s="13"/>
      <c r="B30" s="13" t="s">
        <v>32</v>
      </c>
      <c r="C30" s="9"/>
      <c r="D30" s="17">
        <f>D15*4.7%</f>
        <v>17111.193650000001</v>
      </c>
      <c r="E30" s="13"/>
    </row>
    <row r="31" spans="1:5" x14ac:dyDescent="0.25">
      <c r="A31" s="13"/>
      <c r="B31" s="13" t="s">
        <v>62</v>
      </c>
      <c r="C31" s="9"/>
      <c r="D31" s="13">
        <v>738.98</v>
      </c>
      <c r="E31" s="13"/>
    </row>
    <row r="32" spans="1:5" x14ac:dyDescent="0.25">
      <c r="A32" s="13"/>
      <c r="B32" s="13" t="s">
        <v>33</v>
      </c>
      <c r="C32" s="9"/>
      <c r="D32" s="13">
        <v>3900.52</v>
      </c>
      <c r="E32" s="13"/>
    </row>
    <row r="33" spans="1:5" x14ac:dyDescent="0.25">
      <c r="A33" s="13"/>
      <c r="B33" s="13" t="s">
        <v>34</v>
      </c>
      <c r="C33" s="9"/>
      <c r="D33" s="13">
        <f>3910.62+3887.64</f>
        <v>7798.26</v>
      </c>
      <c r="E33" s="13"/>
    </row>
    <row r="34" spans="1:5" x14ac:dyDescent="0.25">
      <c r="A34" s="13"/>
      <c r="B34" s="27" t="s">
        <v>36</v>
      </c>
      <c r="C34" s="9"/>
      <c r="D34" s="13">
        <v>2381.8000000000002</v>
      </c>
      <c r="E34" s="13"/>
    </row>
    <row r="35" spans="1:5" x14ac:dyDescent="0.25">
      <c r="A35" s="13"/>
      <c r="B35" s="13" t="s">
        <v>172</v>
      </c>
      <c r="C35" s="9"/>
      <c r="D35" s="13">
        <v>0</v>
      </c>
      <c r="E35" s="13"/>
    </row>
    <row r="36" spans="1:5" x14ac:dyDescent="0.25">
      <c r="A36" s="13"/>
      <c r="B36" s="13" t="s">
        <v>38</v>
      </c>
      <c r="C36" s="9"/>
      <c r="D36" s="13">
        <f>2156.54+2054.48</f>
        <v>4211.0200000000004</v>
      </c>
      <c r="E36" s="13"/>
    </row>
    <row r="37" spans="1:5" x14ac:dyDescent="0.25">
      <c r="A37" s="20">
        <v>4</v>
      </c>
      <c r="B37" s="22" t="s">
        <v>39</v>
      </c>
      <c r="C37" s="20"/>
      <c r="D37" s="26">
        <f>D38+D39</f>
        <v>32519.5</v>
      </c>
      <c r="E37" s="26">
        <f>E38</f>
        <v>5355.7451799999999</v>
      </c>
    </row>
    <row r="38" spans="1:5" x14ac:dyDescent="0.25">
      <c r="A38" s="20"/>
      <c r="B38" s="31" t="s">
        <v>40</v>
      </c>
      <c r="C38" s="31"/>
      <c r="D38" s="32">
        <v>26513.59</v>
      </c>
      <c r="E38" s="28">
        <f>D38*20.2%</f>
        <v>5355.7451799999999</v>
      </c>
    </row>
    <row r="39" spans="1:5" x14ac:dyDescent="0.25">
      <c r="A39" s="20"/>
      <c r="B39" s="31" t="s">
        <v>41</v>
      </c>
      <c r="C39" s="20"/>
      <c r="D39" s="32">
        <v>6005.91</v>
      </c>
      <c r="E39" s="20"/>
    </row>
    <row r="40" spans="1:5" x14ac:dyDescent="0.25">
      <c r="A40" s="20">
        <v>5</v>
      </c>
      <c r="B40" s="22" t="s">
        <v>42</v>
      </c>
      <c r="C40" s="20"/>
      <c r="D40" s="26">
        <f>D18+E18+D25+E25+D29+D37+E37</f>
        <v>252378.28625000003</v>
      </c>
      <c r="E40" s="20"/>
    </row>
    <row r="41" spans="1:5" x14ac:dyDescent="0.25">
      <c r="A41" s="20">
        <v>6</v>
      </c>
      <c r="B41" s="20" t="s">
        <v>43</v>
      </c>
      <c r="C41" s="20"/>
      <c r="D41" s="26">
        <f>D15*6%</f>
        <v>21844.077000000001</v>
      </c>
      <c r="E41" s="20"/>
    </row>
    <row r="42" spans="1:5" x14ac:dyDescent="0.25">
      <c r="A42" s="20">
        <v>7</v>
      </c>
      <c r="B42" s="22" t="s">
        <v>44</v>
      </c>
      <c r="C42" s="20"/>
      <c r="D42" s="26">
        <f>D40+D41</f>
        <v>274222.36325000005</v>
      </c>
      <c r="E42" s="20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20">
        <v>8</v>
      </c>
      <c r="B44" s="22" t="s">
        <v>80</v>
      </c>
      <c r="C44" s="20"/>
      <c r="D44" s="26">
        <f>D12+D14-D42</f>
        <v>19007.706749999954</v>
      </c>
      <c r="E44" s="20"/>
    </row>
    <row r="45" spans="1:5" x14ac:dyDescent="0.25">
      <c r="A45" s="20">
        <v>9</v>
      </c>
      <c r="B45" s="22" t="s">
        <v>45</v>
      </c>
      <c r="C45" s="20"/>
      <c r="D45" s="26">
        <f>D6+D44</f>
        <v>-288903.92325000005</v>
      </c>
      <c r="E45" s="20"/>
    </row>
    <row r="46" spans="1:5" x14ac:dyDescent="0.25">
      <c r="A46" s="33"/>
      <c r="B46" s="34" t="s">
        <v>175</v>
      </c>
      <c r="C46" s="33"/>
      <c r="D46" s="35">
        <f>58442.02+52875</f>
        <v>111317.01999999999</v>
      </c>
      <c r="E46" s="33"/>
    </row>
    <row r="47" spans="1:5" x14ac:dyDescent="0.25">
      <c r="A47" s="33"/>
      <c r="B47" s="34" t="s">
        <v>182</v>
      </c>
      <c r="C47" s="33"/>
      <c r="D47" s="35">
        <f>D7+D13-D46</f>
        <v>-20883.749999999985</v>
      </c>
      <c r="E47" s="33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2">
    <mergeCell ref="D5:E5"/>
    <mergeCell ref="D4:E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I7" sqref="I7"/>
    </sheetView>
  </sheetViews>
  <sheetFormatPr defaultRowHeight="15" x14ac:dyDescent="0.25"/>
  <cols>
    <col min="2" max="2" width="40.5703125" customWidth="1"/>
    <col min="4" max="4" width="10.4257812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185</v>
      </c>
    </row>
    <row r="5" spans="1:5" x14ac:dyDescent="0.25">
      <c r="B5" t="s">
        <v>84</v>
      </c>
    </row>
    <row r="6" spans="1:5" x14ac:dyDescent="0.25">
      <c r="A6" s="594"/>
      <c r="B6" s="594"/>
      <c r="C6" s="594"/>
      <c r="D6" s="453"/>
      <c r="E6" s="44"/>
    </row>
    <row r="7" spans="1:5" x14ac:dyDescent="0.25">
      <c r="A7" s="5"/>
      <c r="B7" s="5"/>
      <c r="C7" s="5"/>
      <c r="D7" s="400"/>
      <c r="E7" s="45"/>
    </row>
    <row r="8" spans="1:5" ht="15.75" x14ac:dyDescent="0.25">
      <c r="A8" s="5"/>
      <c r="B8" s="6" t="s">
        <v>3</v>
      </c>
      <c r="C8" s="7" t="s">
        <v>4</v>
      </c>
      <c r="D8" s="595" t="s">
        <v>5</v>
      </c>
      <c r="E8" s="596"/>
    </row>
    <row r="9" spans="1:5" ht="15.75" x14ac:dyDescent="0.25">
      <c r="A9" s="463"/>
      <c r="B9" s="6" t="s">
        <v>6</v>
      </c>
      <c r="C9" s="7" t="s">
        <v>7</v>
      </c>
      <c r="D9" s="597" t="s">
        <v>120</v>
      </c>
      <c r="E9" s="598"/>
    </row>
    <row r="10" spans="1:5" x14ac:dyDescent="0.25">
      <c r="A10" s="13"/>
      <c r="B10" s="14" t="s">
        <v>8</v>
      </c>
      <c r="C10" s="13"/>
      <c r="D10" s="462">
        <v>-6719.71</v>
      </c>
      <c r="E10" s="398"/>
    </row>
    <row r="11" spans="1:5" x14ac:dyDescent="0.25">
      <c r="A11" s="13"/>
      <c r="B11" s="14" t="s">
        <v>9</v>
      </c>
      <c r="C11" s="13" t="s">
        <v>10</v>
      </c>
      <c r="D11" s="13">
        <v>1285.6199999999999</v>
      </c>
      <c r="E11" s="13"/>
    </row>
    <row r="12" spans="1:5" x14ac:dyDescent="0.25">
      <c r="A12" s="13"/>
      <c r="B12" s="14" t="s">
        <v>11</v>
      </c>
      <c r="C12" s="13" t="s">
        <v>10</v>
      </c>
      <c r="D12" s="13">
        <v>901.3</v>
      </c>
      <c r="E12" s="13"/>
    </row>
    <row r="13" spans="1:5" x14ac:dyDescent="0.25">
      <c r="A13" s="13"/>
      <c r="B13" s="15" t="s">
        <v>12</v>
      </c>
      <c r="C13" s="13" t="s">
        <v>13</v>
      </c>
      <c r="D13" s="19">
        <f>17332.05*2</f>
        <v>34664.1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14</v>
      </c>
      <c r="C15" s="13"/>
      <c r="D15" s="13"/>
      <c r="E15" s="13"/>
    </row>
    <row r="16" spans="1:5" x14ac:dyDescent="0.25">
      <c r="A16" s="13">
        <v>1</v>
      </c>
      <c r="B16" s="13" t="s">
        <v>15</v>
      </c>
      <c r="C16" s="13" t="s">
        <v>13</v>
      </c>
      <c r="D16" s="13">
        <v>37725.519999999997</v>
      </c>
      <c r="E16" s="13"/>
    </row>
    <row r="17" spans="1:5" x14ac:dyDescent="0.25">
      <c r="A17" s="13"/>
      <c r="B17" s="13"/>
      <c r="C17" s="13"/>
      <c r="D17" s="13"/>
      <c r="E17" s="13"/>
    </row>
    <row r="18" spans="1:5" ht="15.75" x14ac:dyDescent="0.25">
      <c r="A18" s="13"/>
      <c r="B18" s="16" t="s">
        <v>17</v>
      </c>
      <c r="C18" s="13"/>
      <c r="D18" s="19">
        <f>D16</f>
        <v>37725.519999999997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31"/>
      <c r="B20" s="21" t="s">
        <v>18</v>
      </c>
      <c r="C20" s="31"/>
      <c r="D20" s="22"/>
      <c r="E20" s="464" t="s">
        <v>19</v>
      </c>
    </row>
    <row r="21" spans="1:5" x14ac:dyDescent="0.25">
      <c r="A21" s="465" t="s">
        <v>20</v>
      </c>
      <c r="B21" s="25" t="s">
        <v>21</v>
      </c>
      <c r="C21" s="31"/>
      <c r="D21" s="22">
        <f>D22+D26</f>
        <v>9630.74</v>
      </c>
      <c r="E21" s="26">
        <f>E22</f>
        <v>1920.1251399999999</v>
      </c>
    </row>
    <row r="22" spans="1:5" x14ac:dyDescent="0.25">
      <c r="A22" s="31">
        <v>1</v>
      </c>
      <c r="B22" s="22" t="s">
        <v>22</v>
      </c>
      <c r="C22" s="31" t="s">
        <v>13</v>
      </c>
      <c r="D22" s="22">
        <f>D23</f>
        <v>9505.57</v>
      </c>
      <c r="E22" s="26">
        <f>E23</f>
        <v>1920.1251399999999</v>
      </c>
    </row>
    <row r="23" spans="1:5" x14ac:dyDescent="0.25">
      <c r="A23" s="31"/>
      <c r="B23" s="31" t="s">
        <v>23</v>
      </c>
      <c r="C23" s="31"/>
      <c r="D23" s="31">
        <v>9505.57</v>
      </c>
      <c r="E23" s="32">
        <f>D23*20.2%</f>
        <v>1920.1251399999999</v>
      </c>
    </row>
    <row r="24" spans="1:5" x14ac:dyDescent="0.25">
      <c r="A24" s="31"/>
      <c r="B24" s="31" t="s">
        <v>24</v>
      </c>
      <c r="C24" s="31"/>
      <c r="D24" s="473"/>
      <c r="E24" s="32"/>
    </row>
    <row r="25" spans="1:5" x14ac:dyDescent="0.25">
      <c r="A25" s="31"/>
      <c r="B25" s="31" t="s">
        <v>25</v>
      </c>
      <c r="C25" s="31"/>
      <c r="D25" s="31"/>
      <c r="E25" s="32"/>
    </row>
    <row r="26" spans="1:5" x14ac:dyDescent="0.25">
      <c r="A26" s="31">
        <v>2</v>
      </c>
      <c r="B26" s="31" t="s">
        <v>26</v>
      </c>
      <c r="C26" s="31"/>
      <c r="D26" s="31">
        <v>125.17</v>
      </c>
      <c r="E26" s="32"/>
    </row>
    <row r="27" spans="1:5" x14ac:dyDescent="0.25">
      <c r="A27" s="465" t="s">
        <v>27</v>
      </c>
      <c r="B27" s="30" t="s">
        <v>28</v>
      </c>
      <c r="C27" s="31"/>
      <c r="D27" s="22">
        <f>D28+D29</f>
        <v>9323.59</v>
      </c>
      <c r="E27" s="26">
        <f>E28</f>
        <v>1722.9711199999997</v>
      </c>
    </row>
    <row r="28" spans="1:5" x14ac:dyDescent="0.25">
      <c r="A28" s="31">
        <v>1</v>
      </c>
      <c r="B28" s="31" t="s">
        <v>29</v>
      </c>
      <c r="C28" s="31"/>
      <c r="D28" s="31">
        <v>8529.56</v>
      </c>
      <c r="E28" s="32">
        <f>D28*20.2%</f>
        <v>1722.9711199999997</v>
      </c>
    </row>
    <row r="29" spans="1:5" x14ac:dyDescent="0.25">
      <c r="A29" s="31">
        <v>2</v>
      </c>
      <c r="B29" s="31" t="s">
        <v>26</v>
      </c>
      <c r="C29" s="31"/>
      <c r="D29" s="31">
        <v>794.03</v>
      </c>
      <c r="E29" s="31"/>
    </row>
    <row r="30" spans="1:5" x14ac:dyDescent="0.25">
      <c r="A30" s="465" t="s">
        <v>30</v>
      </c>
      <c r="B30" s="22" t="s">
        <v>31</v>
      </c>
      <c r="C30" s="31"/>
      <c r="D30" s="26">
        <f>D31+D32+D33+D34+D35</f>
        <v>4562.4259999999995</v>
      </c>
      <c r="E30" s="31"/>
    </row>
    <row r="31" spans="1:5" x14ac:dyDescent="0.25">
      <c r="A31" s="31"/>
      <c r="B31" s="31" t="s">
        <v>32</v>
      </c>
      <c r="C31" s="31"/>
      <c r="D31" s="32">
        <f>D18*5%</f>
        <v>1886.2759999999998</v>
      </c>
      <c r="E31" s="31"/>
    </row>
    <row r="32" spans="1:5" x14ac:dyDescent="0.25">
      <c r="A32" s="31"/>
      <c r="B32" s="31" t="s">
        <v>34</v>
      </c>
      <c r="C32" s="31"/>
      <c r="D32" s="32">
        <f>707.01+702.85</f>
        <v>1409.8600000000001</v>
      </c>
      <c r="E32" s="31"/>
    </row>
    <row r="33" spans="1:5" x14ac:dyDescent="0.25">
      <c r="A33" s="31"/>
      <c r="B33" s="31" t="s">
        <v>35</v>
      </c>
      <c r="C33" s="31"/>
      <c r="D33" s="31">
        <f>52.61+21.76</f>
        <v>74.37</v>
      </c>
      <c r="E33" s="31"/>
    </row>
    <row r="34" spans="1:5" x14ac:dyDescent="0.25">
      <c r="A34" s="31"/>
      <c r="B34" s="31" t="s">
        <v>36</v>
      </c>
      <c r="C34" s="31"/>
      <c r="D34" s="31">
        <v>430.61</v>
      </c>
      <c r="E34" s="31"/>
    </row>
    <row r="35" spans="1:5" x14ac:dyDescent="0.25">
      <c r="A35" s="31"/>
      <c r="B35" s="31" t="s">
        <v>38</v>
      </c>
      <c r="C35" s="31"/>
      <c r="D35" s="31">
        <f>389.88+371.43</f>
        <v>761.31</v>
      </c>
      <c r="E35" s="31"/>
    </row>
    <row r="36" spans="1:5" x14ac:dyDescent="0.25">
      <c r="A36" s="31">
        <v>4</v>
      </c>
      <c r="B36" s="22" t="s">
        <v>39</v>
      </c>
      <c r="C36" s="31"/>
      <c r="D36" s="26">
        <f>D37+D38</f>
        <v>5879.24</v>
      </c>
      <c r="E36" s="26">
        <f>E37</f>
        <v>968.27286000000004</v>
      </c>
    </row>
    <row r="37" spans="1:5" x14ac:dyDescent="0.25">
      <c r="A37" s="31"/>
      <c r="B37" s="31" t="s">
        <v>40</v>
      </c>
      <c r="C37" s="31"/>
      <c r="D37" s="32">
        <v>4793.43</v>
      </c>
      <c r="E37" s="32">
        <f>D37*20.2%</f>
        <v>968.27286000000004</v>
      </c>
    </row>
    <row r="38" spans="1:5" x14ac:dyDescent="0.25">
      <c r="A38" s="31"/>
      <c r="B38" s="31" t="s">
        <v>41</v>
      </c>
      <c r="C38" s="31"/>
      <c r="D38" s="32">
        <v>1085.81</v>
      </c>
      <c r="E38" s="31"/>
    </row>
    <row r="39" spans="1:5" x14ac:dyDescent="0.25">
      <c r="A39" s="31">
        <v>5</v>
      </c>
      <c r="B39" s="22" t="s">
        <v>42</v>
      </c>
      <c r="C39" s="31"/>
      <c r="D39" s="26">
        <f>D21+E21+D27+E27+D30+D36+E36</f>
        <v>34007.365119999995</v>
      </c>
      <c r="E39" s="31"/>
    </row>
    <row r="40" spans="1:5" x14ac:dyDescent="0.25">
      <c r="A40" s="31">
        <v>6</v>
      </c>
      <c r="B40" s="31" t="s">
        <v>43</v>
      </c>
      <c r="C40" s="31"/>
      <c r="D40" s="26">
        <f>D18*6%</f>
        <v>2263.5311999999999</v>
      </c>
      <c r="E40" s="31"/>
    </row>
    <row r="41" spans="1:5" x14ac:dyDescent="0.25">
      <c r="A41" s="31">
        <v>7</v>
      </c>
      <c r="B41" s="22" t="s">
        <v>44</v>
      </c>
      <c r="C41" s="31"/>
      <c r="D41" s="26">
        <f>D39+D40</f>
        <v>36270.896319999993</v>
      </c>
      <c r="E41" s="31"/>
    </row>
    <row r="42" spans="1:5" x14ac:dyDescent="0.25">
      <c r="A42" s="31"/>
      <c r="B42" s="31"/>
      <c r="C42" s="31"/>
      <c r="D42" s="31"/>
      <c r="E42" s="31"/>
    </row>
    <row r="43" spans="1:5" x14ac:dyDescent="0.25">
      <c r="A43" s="31">
        <v>8</v>
      </c>
      <c r="B43" s="22" t="s">
        <v>53</v>
      </c>
      <c r="C43" s="31"/>
      <c r="D43" s="26">
        <f>D18-D41</f>
        <v>1454.6236800000042</v>
      </c>
      <c r="E43" s="31"/>
    </row>
    <row r="44" spans="1:5" x14ac:dyDescent="0.25">
      <c r="A44" s="31">
        <v>9</v>
      </c>
      <c r="B44" s="22" t="s">
        <v>45</v>
      </c>
      <c r="C44" s="31"/>
      <c r="D44" s="26">
        <f>D10+D43</f>
        <v>-5265.0863199999958</v>
      </c>
      <c r="E44" s="31"/>
    </row>
    <row r="45" spans="1:5" x14ac:dyDescent="0.25">
      <c r="A45" s="399"/>
      <c r="B45" s="34"/>
      <c r="C45" s="399"/>
      <c r="D45" s="35"/>
      <c r="E45" s="399"/>
    </row>
    <row r="46" spans="1:5" x14ac:dyDescent="0.25">
      <c r="A46" s="399"/>
      <c r="B46" s="34"/>
      <c r="C46" s="399"/>
      <c r="D46" s="35"/>
      <c r="E46" s="399"/>
    </row>
    <row r="47" spans="1:5" x14ac:dyDescent="0.25">
      <c r="A47" s="237"/>
      <c r="B47" s="237" t="s">
        <v>46</v>
      </c>
      <c r="C47" s="237"/>
      <c r="D47" s="237" t="s">
        <v>47</v>
      </c>
      <c r="E47" s="237"/>
    </row>
    <row r="48" spans="1:5" x14ac:dyDescent="0.25">
      <c r="A48" s="237"/>
      <c r="B48" s="237" t="s">
        <v>48</v>
      </c>
      <c r="C48" s="237"/>
      <c r="D48" s="237" t="s">
        <v>49</v>
      </c>
      <c r="E48" s="2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B1" sqref="B1"/>
    </sheetView>
  </sheetViews>
  <sheetFormatPr defaultRowHeight="15" x14ac:dyDescent="0.25"/>
  <cols>
    <col min="1" max="1" width="8.28515625" customWidth="1"/>
    <col min="2" max="2" width="40" customWidth="1"/>
    <col min="4" max="4" width="11.710937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186</v>
      </c>
    </row>
    <row r="5" spans="1:5" x14ac:dyDescent="0.25">
      <c r="B5" t="s">
        <v>2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3</v>
      </c>
      <c r="C7" s="7" t="s">
        <v>4</v>
      </c>
      <c r="D7" s="595" t="s">
        <v>5</v>
      </c>
      <c r="E7" s="596"/>
    </row>
    <row r="8" spans="1:5" ht="15.75" x14ac:dyDescent="0.25">
      <c r="A8" s="463"/>
      <c r="B8" s="6" t="s">
        <v>6</v>
      </c>
      <c r="C8" s="7" t="s">
        <v>7</v>
      </c>
      <c r="D8" s="597" t="s">
        <v>113</v>
      </c>
      <c r="E8" s="598"/>
    </row>
    <row r="9" spans="1:5" x14ac:dyDescent="0.25">
      <c r="A9" s="9"/>
      <c r="B9" s="12"/>
      <c r="C9" s="9"/>
      <c r="D9" s="10"/>
      <c r="E9" s="11"/>
    </row>
    <row r="10" spans="1:5" x14ac:dyDescent="0.25">
      <c r="A10" s="9"/>
      <c r="B10" s="12" t="s">
        <v>8</v>
      </c>
      <c r="C10" s="9"/>
      <c r="D10" s="10">
        <v>-3496.95</v>
      </c>
      <c r="E10" s="11"/>
    </row>
    <row r="11" spans="1:5" x14ac:dyDescent="0.25">
      <c r="A11" s="13"/>
      <c r="B11" s="14" t="s">
        <v>9</v>
      </c>
      <c r="C11" s="13" t="s">
        <v>10</v>
      </c>
      <c r="D11" s="17">
        <v>4710.8999999999996</v>
      </c>
      <c r="E11" s="13"/>
    </row>
    <row r="12" spans="1:5" x14ac:dyDescent="0.25">
      <c r="A12" s="13"/>
      <c r="B12" s="14" t="s">
        <v>11</v>
      </c>
      <c r="C12" s="13" t="s">
        <v>10</v>
      </c>
      <c r="D12" s="17">
        <v>2911.8</v>
      </c>
      <c r="E12" s="13"/>
    </row>
    <row r="13" spans="1:5" x14ac:dyDescent="0.25">
      <c r="A13" s="13"/>
      <c r="B13" s="15" t="s">
        <v>12</v>
      </c>
      <c r="C13" s="13" t="s">
        <v>13</v>
      </c>
      <c r="D13" s="18">
        <f>55993.95*2</f>
        <v>111987.9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14</v>
      </c>
      <c r="C15" s="13"/>
      <c r="D15" s="13"/>
      <c r="E15" s="13"/>
    </row>
    <row r="16" spans="1:5" x14ac:dyDescent="0.25">
      <c r="A16" s="13">
        <v>1</v>
      </c>
      <c r="B16" s="13" t="s">
        <v>15</v>
      </c>
      <c r="C16" s="13" t="s">
        <v>13</v>
      </c>
      <c r="D16" s="13">
        <v>107043.3</v>
      </c>
      <c r="E16" s="13"/>
    </row>
    <row r="17" spans="1:5" x14ac:dyDescent="0.25">
      <c r="A17" s="13">
        <v>2</v>
      </c>
      <c r="B17" s="13" t="s">
        <v>101</v>
      </c>
      <c r="C17" s="13"/>
      <c r="D17" s="13">
        <v>11506.57</v>
      </c>
      <c r="E17" s="13"/>
    </row>
    <row r="18" spans="1:5" ht="15.75" x14ac:dyDescent="0.25">
      <c r="A18" s="13"/>
      <c r="B18" s="16" t="s">
        <v>17</v>
      </c>
      <c r="C18" s="13"/>
      <c r="D18" s="19">
        <f>D16+D17</f>
        <v>118549.87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31"/>
      <c r="B20" s="21" t="s">
        <v>18</v>
      </c>
      <c r="C20" s="31"/>
      <c r="D20" s="22"/>
      <c r="E20" s="464" t="s">
        <v>19</v>
      </c>
    </row>
    <row r="21" spans="1:5" x14ac:dyDescent="0.25">
      <c r="A21" s="465" t="s">
        <v>20</v>
      </c>
      <c r="B21" s="25" t="s">
        <v>21</v>
      </c>
      <c r="C21" s="31"/>
      <c r="D21" s="22">
        <f>D22+D26</f>
        <v>14463.57</v>
      </c>
      <c r="E21" s="26">
        <f>E22</f>
        <v>2839.9563800000001</v>
      </c>
    </row>
    <row r="22" spans="1:5" x14ac:dyDescent="0.25">
      <c r="A22" s="31">
        <v>1</v>
      </c>
      <c r="B22" s="22" t="s">
        <v>22</v>
      </c>
      <c r="C22" s="31" t="s">
        <v>13</v>
      </c>
      <c r="D22" s="22">
        <f>D23</f>
        <v>14059.19</v>
      </c>
      <c r="E22" s="26">
        <f>E23</f>
        <v>2839.9563800000001</v>
      </c>
    </row>
    <row r="23" spans="1:5" x14ac:dyDescent="0.25">
      <c r="A23" s="31"/>
      <c r="B23" s="31" t="s">
        <v>23</v>
      </c>
      <c r="C23" s="31"/>
      <c r="D23" s="31">
        <v>14059.19</v>
      </c>
      <c r="E23" s="32">
        <f>D23*20.2%</f>
        <v>2839.9563800000001</v>
      </c>
    </row>
    <row r="24" spans="1:5" x14ac:dyDescent="0.25">
      <c r="A24" s="31"/>
      <c r="B24" s="31" t="s">
        <v>24</v>
      </c>
      <c r="C24" s="31"/>
      <c r="D24" s="473"/>
      <c r="E24" s="32"/>
    </row>
    <row r="25" spans="1:5" x14ac:dyDescent="0.25">
      <c r="A25" s="31"/>
      <c r="B25" s="31" t="s">
        <v>25</v>
      </c>
      <c r="C25" s="31"/>
      <c r="D25" s="31"/>
      <c r="E25" s="32"/>
    </row>
    <row r="26" spans="1:5" x14ac:dyDescent="0.25">
      <c r="A26" s="31">
        <v>2</v>
      </c>
      <c r="B26" s="31" t="s">
        <v>26</v>
      </c>
      <c r="C26" s="31"/>
      <c r="D26" s="31">
        <v>404.38</v>
      </c>
      <c r="E26" s="32"/>
    </row>
    <row r="27" spans="1:5" x14ac:dyDescent="0.25">
      <c r="A27" s="465" t="s">
        <v>27</v>
      </c>
      <c r="B27" s="30" t="s">
        <v>28</v>
      </c>
      <c r="C27" s="31"/>
      <c r="D27" s="26">
        <f>D28+D29+D30</f>
        <v>30786.48</v>
      </c>
      <c r="E27" s="26">
        <f>E28</f>
        <v>5566.3463399999991</v>
      </c>
    </row>
    <row r="28" spans="1:5" x14ac:dyDescent="0.25">
      <c r="A28" s="31">
        <v>1</v>
      </c>
      <c r="B28" s="31" t="s">
        <v>29</v>
      </c>
      <c r="C28" s="31"/>
      <c r="D28" s="31">
        <v>27556.17</v>
      </c>
      <c r="E28" s="32">
        <f>D28*20.2%</f>
        <v>5566.3463399999991</v>
      </c>
    </row>
    <row r="29" spans="1:5" x14ac:dyDescent="0.25">
      <c r="A29" s="31">
        <v>2</v>
      </c>
      <c r="B29" s="31" t="s">
        <v>26</v>
      </c>
      <c r="C29" s="31"/>
      <c r="D29" s="31">
        <v>3230.31</v>
      </c>
      <c r="E29" s="31"/>
    </row>
    <row r="30" spans="1:5" x14ac:dyDescent="0.25">
      <c r="A30" s="31">
        <v>3</v>
      </c>
      <c r="B30" s="31" t="s">
        <v>85</v>
      </c>
      <c r="C30" s="31"/>
      <c r="D30" s="32">
        <v>0</v>
      </c>
      <c r="E30" s="31"/>
    </row>
    <row r="31" spans="1:5" x14ac:dyDescent="0.25">
      <c r="A31" s="465" t="s">
        <v>30</v>
      </c>
      <c r="B31" s="22" t="s">
        <v>31</v>
      </c>
      <c r="C31" s="31"/>
      <c r="D31" s="26">
        <f>D32+D33+D34+D35+D36+D37</f>
        <v>14573.263499999999</v>
      </c>
      <c r="E31" s="31"/>
    </row>
    <row r="32" spans="1:5" x14ac:dyDescent="0.25">
      <c r="A32" s="31"/>
      <c r="B32" s="31" t="s">
        <v>32</v>
      </c>
      <c r="C32" s="31"/>
      <c r="D32" s="32">
        <f>D18*5%</f>
        <v>5927.4935000000005</v>
      </c>
      <c r="E32" s="31"/>
    </row>
    <row r="33" spans="1:5" x14ac:dyDescent="0.25">
      <c r="A33" s="31"/>
      <c r="B33" s="31" t="s">
        <v>34</v>
      </c>
      <c r="C33" s="31"/>
      <c r="D33" s="32">
        <f>2284.1+2270.68</f>
        <v>4554.78</v>
      </c>
      <c r="E33" s="31"/>
    </row>
    <row r="34" spans="1:5" x14ac:dyDescent="0.25">
      <c r="A34" s="31"/>
      <c r="B34" s="31" t="s">
        <v>35</v>
      </c>
      <c r="C34" s="31"/>
      <c r="D34" s="31">
        <f>169.96+70.31</f>
        <v>240.27</v>
      </c>
      <c r="E34" s="31"/>
    </row>
    <row r="35" spans="1:5" x14ac:dyDescent="0.25">
      <c r="A35" s="31"/>
      <c r="B35" s="31" t="s">
        <v>36</v>
      </c>
      <c r="C35" s="31"/>
      <c r="D35" s="31">
        <v>1391.16</v>
      </c>
      <c r="E35" s="31"/>
    </row>
    <row r="36" spans="1:5" x14ac:dyDescent="0.25">
      <c r="A36" s="31"/>
      <c r="B36" s="31" t="s">
        <v>67</v>
      </c>
      <c r="C36" s="31"/>
      <c r="D36" s="31">
        <v>0</v>
      </c>
      <c r="E36" s="31"/>
    </row>
    <row r="37" spans="1:5" x14ac:dyDescent="0.25">
      <c r="A37" s="31"/>
      <c r="B37" s="31" t="s">
        <v>38</v>
      </c>
      <c r="C37" s="31"/>
      <c r="D37" s="31">
        <f>1259.59+1199.97</f>
        <v>2459.56</v>
      </c>
      <c r="E37" s="31"/>
    </row>
    <row r="38" spans="1:5" x14ac:dyDescent="0.25">
      <c r="A38" s="31">
        <v>4</v>
      </c>
      <c r="B38" s="22" t="s">
        <v>39</v>
      </c>
      <c r="C38" s="31"/>
      <c r="D38" s="26">
        <f>D39+D40</f>
        <v>18993.88</v>
      </c>
      <c r="E38" s="26">
        <f>E39</f>
        <v>3128.1679599999998</v>
      </c>
    </row>
    <row r="39" spans="1:5" x14ac:dyDescent="0.25">
      <c r="A39" s="31"/>
      <c r="B39" s="31" t="s">
        <v>40</v>
      </c>
      <c r="C39" s="31"/>
      <c r="D39" s="32">
        <v>15485.98</v>
      </c>
      <c r="E39" s="32">
        <f>D39*20.2%</f>
        <v>3128.1679599999998</v>
      </c>
    </row>
    <row r="40" spans="1:5" x14ac:dyDescent="0.25">
      <c r="A40" s="31"/>
      <c r="B40" s="31" t="s">
        <v>41</v>
      </c>
      <c r="C40" s="31"/>
      <c r="D40" s="32">
        <v>3507.9</v>
      </c>
      <c r="E40" s="31"/>
    </row>
    <row r="41" spans="1:5" x14ac:dyDescent="0.25">
      <c r="A41" s="31">
        <v>5</v>
      </c>
      <c r="B41" s="22" t="s">
        <v>42</v>
      </c>
      <c r="C41" s="31"/>
      <c r="D41" s="26">
        <f>D21+E21+D27+E27+D31+D38+E38</f>
        <v>90351.664180000007</v>
      </c>
      <c r="E41" s="31"/>
    </row>
    <row r="42" spans="1:5" x14ac:dyDescent="0.25">
      <c r="A42" s="31">
        <v>6</v>
      </c>
      <c r="B42" s="31" t="s">
        <v>43</v>
      </c>
      <c r="C42" s="31"/>
      <c r="D42" s="26">
        <f>D18*6%</f>
        <v>7112.9921999999997</v>
      </c>
      <c r="E42" s="31"/>
    </row>
    <row r="43" spans="1:5" x14ac:dyDescent="0.25">
      <c r="A43" s="31">
        <v>7</v>
      </c>
      <c r="B43" s="22" t="s">
        <v>44</v>
      </c>
      <c r="C43" s="31"/>
      <c r="D43" s="26">
        <f>D41+D42</f>
        <v>97464.65638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53</v>
      </c>
      <c r="C45" s="31"/>
      <c r="D45" s="26">
        <f>D18-D43</f>
        <v>21085.213619999995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D10+D45</f>
        <v>17588.263619999994</v>
      </c>
      <c r="E46" s="31"/>
    </row>
    <row r="47" spans="1:5" x14ac:dyDescent="0.25">
      <c r="A47" s="399"/>
      <c r="B47" s="34"/>
      <c r="C47" s="399"/>
      <c r="D47" s="35"/>
      <c r="E47" s="399"/>
    </row>
    <row r="48" spans="1:5" x14ac:dyDescent="0.25">
      <c r="A48" s="399"/>
      <c r="B48" s="34"/>
      <c r="C48" s="399"/>
      <c r="D48" s="35"/>
      <c r="E48" s="399"/>
    </row>
    <row r="49" spans="1:5" x14ac:dyDescent="0.25">
      <c r="A49" s="399"/>
      <c r="B49" t="s">
        <v>46</v>
      </c>
      <c r="D49" t="s">
        <v>47</v>
      </c>
      <c r="E49" s="399"/>
    </row>
    <row r="50" spans="1:5" x14ac:dyDescent="0.25">
      <c r="A50" s="237"/>
      <c r="B50" s="237" t="s">
        <v>48</v>
      </c>
      <c r="C50" s="237"/>
      <c r="D50" s="237" t="s">
        <v>49</v>
      </c>
      <c r="E50" s="2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J28" sqref="J28"/>
    </sheetView>
  </sheetViews>
  <sheetFormatPr defaultRowHeight="15" x14ac:dyDescent="0.25"/>
  <cols>
    <col min="1" max="1" width="7.85546875" customWidth="1"/>
    <col min="2" max="2" width="41.28515625" customWidth="1"/>
    <col min="4" max="5" width="11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187</v>
      </c>
    </row>
    <row r="5" spans="1:5" x14ac:dyDescent="0.25">
      <c r="A5" s="594"/>
      <c r="B5" s="594"/>
      <c r="C5" s="594"/>
      <c r="D5" s="453"/>
      <c r="E5" s="44"/>
    </row>
    <row r="6" spans="1:5" x14ac:dyDescent="0.25">
      <c r="A6" s="5"/>
      <c r="B6" s="5"/>
      <c r="C6" s="5"/>
      <c r="D6" s="3"/>
      <c r="E6" s="45"/>
    </row>
    <row r="7" spans="1:5" ht="15.75" x14ac:dyDescent="0.25">
      <c r="A7" s="5"/>
      <c r="B7" s="6" t="s">
        <v>3</v>
      </c>
      <c r="C7" s="7" t="s">
        <v>4</v>
      </c>
      <c r="D7" s="595" t="s">
        <v>5</v>
      </c>
      <c r="E7" s="596"/>
    </row>
    <row r="8" spans="1:5" ht="15.75" x14ac:dyDescent="0.25">
      <c r="A8" s="463"/>
      <c r="B8" s="6" t="s">
        <v>6</v>
      </c>
      <c r="C8" s="7" t="s">
        <v>7</v>
      </c>
      <c r="D8" s="597" t="s">
        <v>132</v>
      </c>
      <c r="E8" s="598"/>
    </row>
    <row r="9" spans="1:5" x14ac:dyDescent="0.25">
      <c r="A9" s="13"/>
      <c r="B9" s="14" t="s">
        <v>8</v>
      </c>
      <c r="C9" s="13"/>
      <c r="D9" s="462">
        <v>-14333.57</v>
      </c>
      <c r="E9" s="398"/>
    </row>
    <row r="10" spans="1:5" x14ac:dyDescent="0.25">
      <c r="A10" s="13"/>
      <c r="B10" s="14" t="s">
        <v>9</v>
      </c>
      <c r="C10" s="13" t="s">
        <v>10</v>
      </c>
      <c r="D10" s="17">
        <v>1084.9000000000001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604.88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27643.07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25155.09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17</v>
      </c>
      <c r="C17" s="13"/>
      <c r="D17" s="19">
        <f>D15</f>
        <v>25155.09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31"/>
      <c r="B19" s="21" t="s">
        <v>18</v>
      </c>
      <c r="C19" s="31"/>
      <c r="D19" s="22"/>
      <c r="E19" s="464" t="s">
        <v>19</v>
      </c>
    </row>
    <row r="20" spans="1:5" x14ac:dyDescent="0.25">
      <c r="A20" s="465" t="s">
        <v>20</v>
      </c>
      <c r="B20" s="25" t="s">
        <v>21</v>
      </c>
      <c r="C20" s="31"/>
      <c r="D20" s="22">
        <f>D21+D25</f>
        <v>9589.5300000000007</v>
      </c>
      <c r="E20" s="26">
        <f>E21</f>
        <v>1920.11706</v>
      </c>
    </row>
    <row r="21" spans="1:5" x14ac:dyDescent="0.25">
      <c r="A21" s="31">
        <v>1</v>
      </c>
      <c r="B21" s="22" t="s">
        <v>22</v>
      </c>
      <c r="C21" s="31" t="s">
        <v>13</v>
      </c>
      <c r="D21" s="22">
        <f>D22</f>
        <v>9505.5300000000007</v>
      </c>
      <c r="E21" s="26">
        <f>E22</f>
        <v>1920.11706</v>
      </c>
    </row>
    <row r="22" spans="1:5" x14ac:dyDescent="0.25">
      <c r="A22" s="31"/>
      <c r="B22" s="31" t="s">
        <v>23</v>
      </c>
      <c r="C22" s="31"/>
      <c r="D22" s="31">
        <v>9505.5300000000007</v>
      </c>
      <c r="E22" s="32">
        <f>D22*20.2%</f>
        <v>1920.11706</v>
      </c>
    </row>
    <row r="23" spans="1:5" x14ac:dyDescent="0.25">
      <c r="A23" s="31"/>
      <c r="B23" s="31" t="s">
        <v>24</v>
      </c>
      <c r="C23" s="31"/>
      <c r="D23" s="473"/>
      <c r="E23" s="32"/>
    </row>
    <row r="24" spans="1:5" x14ac:dyDescent="0.25">
      <c r="A24" s="31"/>
      <c r="B24" s="31" t="s">
        <v>25</v>
      </c>
      <c r="C24" s="31"/>
      <c r="D24" s="31"/>
      <c r="E24" s="32"/>
    </row>
    <row r="25" spans="1:5" x14ac:dyDescent="0.25">
      <c r="A25" s="31">
        <v>2</v>
      </c>
      <c r="B25" s="31" t="s">
        <v>26</v>
      </c>
      <c r="C25" s="31"/>
      <c r="D25" s="31">
        <v>84</v>
      </c>
      <c r="E25" s="32"/>
    </row>
    <row r="26" spans="1:5" x14ac:dyDescent="0.25">
      <c r="A26" s="465" t="s">
        <v>27</v>
      </c>
      <c r="B26" s="30" t="s">
        <v>28</v>
      </c>
      <c r="C26" s="31" t="s">
        <v>13</v>
      </c>
      <c r="D26" s="22">
        <f>D27+D28</f>
        <v>5754.9400000000005</v>
      </c>
      <c r="E26" s="26">
        <f>E27</f>
        <v>1156.3187</v>
      </c>
    </row>
    <row r="27" spans="1:5" x14ac:dyDescent="0.25">
      <c r="A27" s="31">
        <v>1</v>
      </c>
      <c r="B27" s="31" t="s">
        <v>29</v>
      </c>
      <c r="C27" s="31"/>
      <c r="D27" s="31">
        <v>5724.35</v>
      </c>
      <c r="E27" s="32">
        <f>D27*20.2%</f>
        <v>1156.3187</v>
      </c>
    </row>
    <row r="28" spans="1:5" x14ac:dyDescent="0.25">
      <c r="A28" s="31">
        <v>2</v>
      </c>
      <c r="B28" s="31" t="s">
        <v>26</v>
      </c>
      <c r="C28" s="31"/>
      <c r="D28" s="31">
        <v>30.59</v>
      </c>
      <c r="E28" s="31"/>
    </row>
    <row r="29" spans="1:5" x14ac:dyDescent="0.25">
      <c r="A29" s="465" t="s">
        <v>30</v>
      </c>
      <c r="B29" s="22" t="s">
        <v>31</v>
      </c>
      <c r="C29" s="31"/>
      <c r="D29" s="26">
        <f>D30+D31+D32+D33+D34</f>
        <v>3053.7945000000004</v>
      </c>
      <c r="E29" s="31"/>
    </row>
    <row r="30" spans="1:5" x14ac:dyDescent="0.25">
      <c r="A30" s="31"/>
      <c r="B30" s="31" t="s">
        <v>32</v>
      </c>
      <c r="C30" s="31"/>
      <c r="D30" s="32">
        <f>D17*5%</f>
        <v>1257.7545</v>
      </c>
      <c r="E30" s="31"/>
    </row>
    <row r="31" spans="1:5" x14ac:dyDescent="0.25">
      <c r="A31" s="31"/>
      <c r="B31" s="31" t="s">
        <v>34</v>
      </c>
      <c r="C31" s="31"/>
      <c r="D31" s="32">
        <f>474.49+471.7</f>
        <v>946.19</v>
      </c>
      <c r="E31" s="31"/>
    </row>
    <row r="32" spans="1:5" x14ac:dyDescent="0.25">
      <c r="A32" s="31"/>
      <c r="B32" s="31" t="s">
        <v>35</v>
      </c>
      <c r="C32" s="31"/>
      <c r="D32" s="31">
        <f>35.31+14.61</f>
        <v>49.92</v>
      </c>
      <c r="E32" s="31"/>
    </row>
    <row r="33" spans="1:5" x14ac:dyDescent="0.25">
      <c r="A33" s="31"/>
      <c r="B33" s="31" t="s">
        <v>36</v>
      </c>
      <c r="C33" s="31"/>
      <c r="D33" s="31">
        <v>288.99</v>
      </c>
      <c r="E33" s="31"/>
    </row>
    <row r="34" spans="1:5" x14ac:dyDescent="0.25">
      <c r="A34" s="31"/>
      <c r="B34" s="31" t="s">
        <v>38</v>
      </c>
      <c r="C34" s="31"/>
      <c r="D34" s="31">
        <f>261.66+249.28</f>
        <v>510.94000000000005</v>
      </c>
      <c r="E34" s="31"/>
    </row>
    <row r="35" spans="1:5" x14ac:dyDescent="0.25">
      <c r="A35" s="31">
        <v>4</v>
      </c>
      <c r="B35" s="22" t="s">
        <v>39</v>
      </c>
      <c r="C35" s="31"/>
      <c r="D35" s="26">
        <f>D36+D37</f>
        <v>3945.6899999999996</v>
      </c>
      <c r="E35" s="26">
        <f>E36</f>
        <v>649.8279399999999</v>
      </c>
    </row>
    <row r="36" spans="1:5" x14ac:dyDescent="0.25">
      <c r="A36" s="31"/>
      <c r="B36" s="31" t="s">
        <v>40</v>
      </c>
      <c r="C36" s="31"/>
      <c r="D36" s="32">
        <v>3216.97</v>
      </c>
      <c r="E36" s="32">
        <f>D36*20.2%</f>
        <v>649.8279399999999</v>
      </c>
    </row>
    <row r="37" spans="1:5" x14ac:dyDescent="0.25">
      <c r="A37" s="31"/>
      <c r="B37" s="31" t="s">
        <v>41</v>
      </c>
      <c r="C37" s="31"/>
      <c r="D37" s="32">
        <v>728.72</v>
      </c>
      <c r="E37" s="31"/>
    </row>
    <row r="38" spans="1:5" x14ac:dyDescent="0.25">
      <c r="A38" s="31">
        <v>5</v>
      </c>
      <c r="B38" s="22" t="s">
        <v>42</v>
      </c>
      <c r="C38" s="31"/>
      <c r="D38" s="26">
        <f>D20+E20+D26+E26+D29+D35+E35</f>
        <v>26070.218199999999</v>
      </c>
      <c r="E38" s="31"/>
    </row>
    <row r="39" spans="1:5" x14ac:dyDescent="0.25">
      <c r="A39" s="31">
        <v>6</v>
      </c>
      <c r="B39" s="31" t="s">
        <v>43</v>
      </c>
      <c r="C39" s="31"/>
      <c r="D39" s="26">
        <f>D17*6%</f>
        <v>1509.3054</v>
      </c>
      <c r="E39" s="31"/>
    </row>
    <row r="40" spans="1:5" x14ac:dyDescent="0.25">
      <c r="A40" s="31">
        <v>7</v>
      </c>
      <c r="B40" s="22" t="s">
        <v>44</v>
      </c>
      <c r="C40" s="31"/>
      <c r="D40" s="26">
        <f>D38+D39</f>
        <v>27579.5236</v>
      </c>
      <c r="E40" s="31"/>
    </row>
    <row r="41" spans="1:5" x14ac:dyDescent="0.25">
      <c r="A41" s="31"/>
      <c r="B41" s="31"/>
      <c r="C41" s="31"/>
      <c r="D41" s="31"/>
      <c r="E41" s="31"/>
    </row>
    <row r="42" spans="1:5" x14ac:dyDescent="0.25">
      <c r="A42" s="31">
        <v>8</v>
      </c>
      <c r="B42" s="22" t="s">
        <v>53</v>
      </c>
      <c r="C42" s="31"/>
      <c r="D42" s="26">
        <f>D17-D40</f>
        <v>-2424.4336000000003</v>
      </c>
      <c r="E42" s="31"/>
    </row>
    <row r="43" spans="1:5" x14ac:dyDescent="0.25">
      <c r="A43" s="31">
        <v>9</v>
      </c>
      <c r="B43" s="22" t="s">
        <v>45</v>
      </c>
      <c r="C43" s="31"/>
      <c r="D43" s="26">
        <f>D9+D42</f>
        <v>-16758.0036</v>
      </c>
      <c r="E43" s="31"/>
    </row>
    <row r="44" spans="1:5" x14ac:dyDescent="0.25">
      <c r="A44" s="399"/>
      <c r="B44" s="34"/>
      <c r="C44" s="399"/>
      <c r="D44" s="35"/>
      <c r="E44" s="399"/>
    </row>
    <row r="45" spans="1:5" x14ac:dyDescent="0.25">
      <c r="A45" s="399"/>
      <c r="B45" s="399" t="s">
        <v>82</v>
      </c>
      <c r="C45" s="399"/>
      <c r="D45" s="401" t="s">
        <v>86</v>
      </c>
      <c r="E45" s="399"/>
    </row>
    <row r="46" spans="1:5" x14ac:dyDescent="0.25">
      <c r="A46" s="237"/>
      <c r="B46" s="237" t="s">
        <v>48</v>
      </c>
      <c r="C46" s="237"/>
      <c r="D46" s="237" t="s">
        <v>49</v>
      </c>
      <c r="E46" s="237"/>
    </row>
  </sheetData>
  <mergeCells count="3">
    <mergeCell ref="D7:E7"/>
    <mergeCell ref="A5:C5"/>
    <mergeCell ref="D8:E8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9" workbookViewId="0">
      <selection activeCell="J39" sqref="J39"/>
    </sheetView>
  </sheetViews>
  <sheetFormatPr defaultRowHeight="15" x14ac:dyDescent="0.25"/>
  <cols>
    <col min="2" max="2" width="41.28515625" customWidth="1"/>
    <col min="4" max="4" width="10.5703125" customWidth="1"/>
    <col min="5" max="5" width="11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188</v>
      </c>
    </row>
    <row r="5" spans="1:5" x14ac:dyDescent="0.25">
      <c r="A5" s="594"/>
      <c r="B5" s="594"/>
      <c r="C5" s="594"/>
      <c r="D5" s="453"/>
      <c r="E5" s="44"/>
    </row>
    <row r="6" spans="1:5" ht="15.75" x14ac:dyDescent="0.25">
      <c r="A6" s="2"/>
      <c r="B6" s="457" t="s">
        <v>3</v>
      </c>
      <c r="C6" s="458" t="s">
        <v>4</v>
      </c>
      <c r="D6" s="599" t="s">
        <v>5</v>
      </c>
      <c r="E6" s="600"/>
    </row>
    <row r="7" spans="1:5" ht="15.75" x14ac:dyDescent="0.25">
      <c r="A7" s="463"/>
      <c r="B7" s="6" t="s">
        <v>6</v>
      </c>
      <c r="C7" s="7" t="s">
        <v>7</v>
      </c>
      <c r="D7" s="597" t="s">
        <v>132</v>
      </c>
      <c r="E7" s="598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8</v>
      </c>
      <c r="C9" s="9"/>
      <c r="D9" s="10">
        <v>-2101.44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760.9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434.8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20547.27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14940.31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17</v>
      </c>
      <c r="C17" s="13"/>
      <c r="D17" s="19">
        <f>D15</f>
        <v>14940.31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31"/>
      <c r="B19" s="21" t="s">
        <v>18</v>
      </c>
      <c r="C19" s="31"/>
      <c r="D19" s="22"/>
      <c r="E19" s="464" t="s">
        <v>19</v>
      </c>
    </row>
    <row r="20" spans="1:5" x14ac:dyDescent="0.25">
      <c r="A20" s="465" t="s">
        <v>20</v>
      </c>
      <c r="B20" s="25" t="s">
        <v>21</v>
      </c>
      <c r="C20" s="31"/>
      <c r="D20" s="22">
        <f>D21+D25+D24</f>
        <v>2672.51</v>
      </c>
      <c r="E20" s="26">
        <f>E21</f>
        <v>389.75899999999996</v>
      </c>
    </row>
    <row r="21" spans="1:5" x14ac:dyDescent="0.25">
      <c r="A21" s="31">
        <v>1</v>
      </c>
      <c r="B21" s="22" t="s">
        <v>22</v>
      </c>
      <c r="C21" s="31" t="s">
        <v>13</v>
      </c>
      <c r="D21" s="22">
        <f>D22</f>
        <v>1929.5</v>
      </c>
      <c r="E21" s="26">
        <f>E22</f>
        <v>389.75899999999996</v>
      </c>
    </row>
    <row r="22" spans="1:5" x14ac:dyDescent="0.25">
      <c r="A22" s="31"/>
      <c r="B22" s="31" t="s">
        <v>23</v>
      </c>
      <c r="C22" s="31"/>
      <c r="D22" s="31">
        <v>1929.5</v>
      </c>
      <c r="E22" s="32">
        <f>D22*20.2%</f>
        <v>389.75899999999996</v>
      </c>
    </row>
    <row r="23" spans="1:5" x14ac:dyDescent="0.25">
      <c r="A23" s="31"/>
      <c r="B23" s="31" t="s">
        <v>24</v>
      </c>
      <c r="C23" s="31"/>
      <c r="D23" s="473"/>
      <c r="E23" s="32"/>
    </row>
    <row r="24" spans="1:5" x14ac:dyDescent="0.25">
      <c r="A24" s="31"/>
      <c r="B24" s="31" t="s">
        <v>79</v>
      </c>
      <c r="C24" s="31"/>
      <c r="D24" s="31">
        <v>682.63</v>
      </c>
      <c r="E24" s="32"/>
    </row>
    <row r="25" spans="1:5" x14ac:dyDescent="0.25">
      <c r="A25" s="31">
        <v>2</v>
      </c>
      <c r="B25" s="31" t="s">
        <v>26</v>
      </c>
      <c r="C25" s="31"/>
      <c r="D25" s="31">
        <v>60.38</v>
      </c>
      <c r="E25" s="32"/>
    </row>
    <row r="26" spans="1:5" x14ac:dyDescent="0.25">
      <c r="A26" s="465" t="s">
        <v>27</v>
      </c>
      <c r="B26" s="30" t="s">
        <v>28</v>
      </c>
      <c r="C26" s="31"/>
      <c r="D26" s="22">
        <f>D27+D28</f>
        <v>4263.54</v>
      </c>
      <c r="E26" s="26">
        <f>E27</f>
        <v>831.1855599999999</v>
      </c>
    </row>
    <row r="27" spans="1:5" x14ac:dyDescent="0.25">
      <c r="A27" s="31">
        <v>1</v>
      </c>
      <c r="B27" s="31" t="s">
        <v>29</v>
      </c>
      <c r="C27" s="31"/>
      <c r="D27" s="31">
        <v>4114.78</v>
      </c>
      <c r="E27" s="32">
        <f>D27*20.2%</f>
        <v>831.1855599999999</v>
      </c>
    </row>
    <row r="28" spans="1:5" x14ac:dyDescent="0.25">
      <c r="A28" s="31">
        <v>2</v>
      </c>
      <c r="B28" s="31" t="s">
        <v>26</v>
      </c>
      <c r="C28" s="31"/>
      <c r="D28" s="31">
        <v>148.76</v>
      </c>
      <c r="E28" s="31"/>
    </row>
    <row r="29" spans="1:5" x14ac:dyDescent="0.25">
      <c r="A29" s="465" t="s">
        <v>30</v>
      </c>
      <c r="B29" s="22" t="s">
        <v>31</v>
      </c>
      <c r="C29" s="31"/>
      <c r="D29" s="26">
        <f>D30+D31+D32+D33+D34+D35</f>
        <v>19459.075500000003</v>
      </c>
      <c r="E29" s="31"/>
    </row>
    <row r="30" spans="1:5" x14ac:dyDescent="0.25">
      <c r="A30" s="31"/>
      <c r="B30" s="31" t="s">
        <v>32</v>
      </c>
      <c r="C30" s="31"/>
      <c r="D30" s="32">
        <f>D17*5%</f>
        <v>747.01549999999997</v>
      </c>
      <c r="E30" s="31"/>
    </row>
    <row r="31" spans="1:5" x14ac:dyDescent="0.25">
      <c r="A31" s="31"/>
      <c r="B31" s="31" t="s">
        <v>67</v>
      </c>
      <c r="C31" s="31"/>
      <c r="D31" s="31">
        <v>17421.04</v>
      </c>
      <c r="E31" s="31"/>
    </row>
    <row r="32" spans="1:5" x14ac:dyDescent="0.25">
      <c r="A32" s="31"/>
      <c r="B32" s="31" t="s">
        <v>34</v>
      </c>
      <c r="C32" s="31"/>
      <c r="D32" s="32">
        <f>341.07+339.07</f>
        <v>680.14</v>
      </c>
      <c r="E32" s="31"/>
    </row>
    <row r="33" spans="1:5" x14ac:dyDescent="0.25">
      <c r="A33" s="31"/>
      <c r="B33" s="31" t="s">
        <v>35</v>
      </c>
      <c r="C33" s="31"/>
      <c r="D33" s="31">
        <f>25.38+10.5</f>
        <v>35.879999999999995</v>
      </c>
      <c r="E33" s="31"/>
    </row>
    <row r="34" spans="1:5" x14ac:dyDescent="0.25">
      <c r="A34" s="31"/>
      <c r="B34" s="31" t="s">
        <v>36</v>
      </c>
      <c r="C34" s="31"/>
      <c r="D34" s="31">
        <v>207.73</v>
      </c>
      <c r="E34" s="31"/>
    </row>
    <row r="35" spans="1:5" x14ac:dyDescent="0.25">
      <c r="A35" s="31"/>
      <c r="B35" s="31" t="s">
        <v>38</v>
      </c>
      <c r="C35" s="31"/>
      <c r="D35" s="31">
        <f>188.09+179.18</f>
        <v>367.27</v>
      </c>
      <c r="E35" s="31"/>
    </row>
    <row r="36" spans="1:5" x14ac:dyDescent="0.25">
      <c r="A36" s="31"/>
      <c r="B36" s="22" t="s">
        <v>39</v>
      </c>
      <c r="C36" s="31"/>
      <c r="D36" s="26">
        <f>D37+D38</f>
        <v>2835.23</v>
      </c>
      <c r="E36" s="26">
        <f>E37</f>
        <v>467.10883999999999</v>
      </c>
    </row>
    <row r="37" spans="1:5" x14ac:dyDescent="0.25">
      <c r="A37" s="31"/>
      <c r="B37" s="31" t="s">
        <v>40</v>
      </c>
      <c r="C37" s="31"/>
      <c r="D37" s="32">
        <v>2312.42</v>
      </c>
      <c r="E37" s="32">
        <f>D37*20.2%</f>
        <v>467.10883999999999</v>
      </c>
    </row>
    <row r="38" spans="1:5" x14ac:dyDescent="0.25">
      <c r="A38" s="31"/>
      <c r="B38" s="31" t="s">
        <v>41</v>
      </c>
      <c r="C38" s="31"/>
      <c r="D38" s="32">
        <v>522.80999999999995</v>
      </c>
      <c r="E38" s="31"/>
    </row>
    <row r="39" spans="1:5" x14ac:dyDescent="0.25">
      <c r="A39" s="31"/>
      <c r="B39" s="22" t="s">
        <v>42</v>
      </c>
      <c r="C39" s="31"/>
      <c r="D39" s="26">
        <f>D20+E20+D26+E26+D29+D36+E36</f>
        <v>30918.408900000002</v>
      </c>
      <c r="E39" s="31"/>
    </row>
    <row r="40" spans="1:5" x14ac:dyDescent="0.25">
      <c r="A40" s="31"/>
      <c r="B40" s="31" t="s">
        <v>43</v>
      </c>
      <c r="C40" s="31"/>
      <c r="D40" s="26">
        <f>D17*6%</f>
        <v>896.41859999999997</v>
      </c>
      <c r="E40" s="31"/>
    </row>
    <row r="41" spans="1:5" x14ac:dyDescent="0.25">
      <c r="A41" s="31"/>
      <c r="B41" s="22" t="s">
        <v>44</v>
      </c>
      <c r="C41" s="31"/>
      <c r="D41" s="26">
        <f>D39+D40</f>
        <v>31814.827500000003</v>
      </c>
      <c r="E41" s="31"/>
    </row>
    <row r="42" spans="1:5" x14ac:dyDescent="0.25">
      <c r="A42" s="31">
        <v>5</v>
      </c>
      <c r="B42" s="31"/>
      <c r="C42" s="31"/>
      <c r="D42" s="31"/>
      <c r="E42" s="31"/>
    </row>
    <row r="43" spans="1:5" x14ac:dyDescent="0.25">
      <c r="A43" s="31">
        <v>6</v>
      </c>
      <c r="B43" s="22" t="s">
        <v>53</v>
      </c>
      <c r="C43" s="31"/>
      <c r="D43" s="26">
        <f>D17-D41</f>
        <v>-16874.517500000002</v>
      </c>
      <c r="E43" s="31"/>
    </row>
    <row r="44" spans="1:5" x14ac:dyDescent="0.25">
      <c r="A44" s="31">
        <v>7</v>
      </c>
      <c r="B44" s="22" t="s">
        <v>45</v>
      </c>
      <c r="C44" s="31"/>
      <c r="D44" s="26">
        <f>D9+D43</f>
        <v>-18975.9575</v>
      </c>
      <c r="E44" s="31"/>
    </row>
    <row r="45" spans="1:5" x14ac:dyDescent="0.25">
      <c r="A45" s="399"/>
      <c r="B45" s="34"/>
      <c r="C45" s="399"/>
      <c r="D45" s="35"/>
      <c r="E45" s="399"/>
    </row>
    <row r="46" spans="1:5" x14ac:dyDescent="0.25">
      <c r="A46" s="399"/>
      <c r="B46" s="34"/>
      <c r="C46" s="399"/>
      <c r="D46" s="35"/>
      <c r="E46" s="399"/>
    </row>
    <row r="47" spans="1:5" x14ac:dyDescent="0.25">
      <c r="A47" s="601" t="s">
        <v>46</v>
      </c>
      <c r="B47" s="601"/>
      <c r="C47" s="399" t="s">
        <v>86</v>
      </c>
      <c r="D47" s="35"/>
      <c r="E47" s="399"/>
    </row>
    <row r="48" spans="1:5" x14ac:dyDescent="0.25">
      <c r="A48" s="237" t="s">
        <v>48</v>
      </c>
      <c r="B48" s="237"/>
      <c r="C48" s="237" t="s">
        <v>49</v>
      </c>
      <c r="D48" s="237"/>
    </row>
  </sheetData>
  <mergeCells count="4">
    <mergeCell ref="A5:C5"/>
    <mergeCell ref="D6:E6"/>
    <mergeCell ref="D7:E7"/>
    <mergeCell ref="A47:B47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9" workbookViewId="0">
      <selection activeCell="I7" sqref="H6:I7"/>
    </sheetView>
  </sheetViews>
  <sheetFormatPr defaultRowHeight="15" x14ac:dyDescent="0.25"/>
  <cols>
    <col min="2" max="2" width="41.7109375" customWidth="1"/>
    <col min="4" max="4" width="10.28515625" customWidth="1"/>
    <col min="5" max="5" width="10.42578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189</v>
      </c>
    </row>
    <row r="5" spans="1:5" x14ac:dyDescent="0.25">
      <c r="A5" s="594"/>
      <c r="B5" s="594"/>
      <c r="C5" s="594"/>
      <c r="D5" s="453"/>
      <c r="E5" s="44"/>
    </row>
    <row r="6" spans="1:5" x14ac:dyDescent="0.25">
      <c r="A6" s="5"/>
      <c r="B6" s="5"/>
      <c r="C6" s="5"/>
      <c r="D6" s="400"/>
      <c r="E6" s="45"/>
    </row>
    <row r="7" spans="1:5" ht="15.75" x14ac:dyDescent="0.25">
      <c r="A7" s="5"/>
      <c r="B7" s="6" t="s">
        <v>3</v>
      </c>
      <c r="C7" s="7" t="s">
        <v>4</v>
      </c>
      <c r="D7" s="595" t="s">
        <v>5</v>
      </c>
      <c r="E7" s="596"/>
    </row>
    <row r="8" spans="1:5" ht="15.75" x14ac:dyDescent="0.25">
      <c r="A8" s="463"/>
      <c r="B8" s="6" t="s">
        <v>6</v>
      </c>
      <c r="C8" s="7" t="s">
        <v>7</v>
      </c>
      <c r="D8" s="597" t="s">
        <v>120</v>
      </c>
      <c r="E8" s="598"/>
    </row>
    <row r="9" spans="1:5" x14ac:dyDescent="0.25">
      <c r="A9" s="13"/>
      <c r="B9" s="14" t="s">
        <v>8</v>
      </c>
      <c r="C9" s="13"/>
      <c r="D9" s="462">
        <v>21505.48</v>
      </c>
      <c r="E9" s="398"/>
    </row>
    <row r="10" spans="1:5" x14ac:dyDescent="0.25">
      <c r="A10" s="13"/>
      <c r="B10" s="14" t="s">
        <v>9</v>
      </c>
      <c r="C10" s="13" t="s">
        <v>10</v>
      </c>
      <c r="D10" s="13">
        <v>1079.25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613.1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23579.88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21350.37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17</v>
      </c>
      <c r="C17" s="13"/>
      <c r="D17" s="19">
        <f>D15</f>
        <v>21350.37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31"/>
      <c r="B19" s="21" t="s">
        <v>18</v>
      </c>
      <c r="C19" s="31"/>
      <c r="D19" s="22"/>
      <c r="E19" s="464" t="s">
        <v>19</v>
      </c>
    </row>
    <row r="20" spans="1:5" x14ac:dyDescent="0.25">
      <c r="A20" s="465" t="s">
        <v>20</v>
      </c>
      <c r="B20" s="25" t="s">
        <v>21</v>
      </c>
      <c r="C20" s="31"/>
      <c r="D20" s="22">
        <f>D21+D25</f>
        <v>5787.04</v>
      </c>
      <c r="E20" s="26">
        <f>E21</f>
        <v>1151.78178</v>
      </c>
    </row>
    <row r="21" spans="1:5" x14ac:dyDescent="0.25">
      <c r="A21" s="31">
        <v>1</v>
      </c>
      <c r="B21" s="22" t="s">
        <v>22</v>
      </c>
      <c r="C21" s="31" t="s">
        <v>13</v>
      </c>
      <c r="D21" s="22">
        <f>D22</f>
        <v>5701.89</v>
      </c>
      <c r="E21" s="26">
        <f>E22</f>
        <v>1151.78178</v>
      </c>
    </row>
    <row r="22" spans="1:5" x14ac:dyDescent="0.25">
      <c r="A22" s="31"/>
      <c r="B22" s="31" t="s">
        <v>23</v>
      </c>
      <c r="C22" s="31"/>
      <c r="D22" s="31">
        <v>5701.89</v>
      </c>
      <c r="E22" s="32">
        <f>D22*20.2%</f>
        <v>1151.78178</v>
      </c>
    </row>
    <row r="23" spans="1:5" x14ac:dyDescent="0.25">
      <c r="A23" s="31"/>
      <c r="B23" s="31" t="s">
        <v>24</v>
      </c>
      <c r="C23" s="31"/>
      <c r="D23" s="473"/>
      <c r="E23" s="32"/>
    </row>
    <row r="24" spans="1:5" x14ac:dyDescent="0.25">
      <c r="A24" s="31"/>
      <c r="B24" s="31" t="s">
        <v>25</v>
      </c>
      <c r="C24" s="31"/>
      <c r="D24" s="31"/>
      <c r="E24" s="32"/>
    </row>
    <row r="25" spans="1:5" x14ac:dyDescent="0.25">
      <c r="A25" s="31">
        <v>2</v>
      </c>
      <c r="B25" s="31" t="s">
        <v>26</v>
      </c>
      <c r="C25" s="31"/>
      <c r="D25" s="31">
        <v>85.15</v>
      </c>
      <c r="E25" s="32"/>
    </row>
    <row r="26" spans="1:5" x14ac:dyDescent="0.25">
      <c r="A26" s="465" t="s">
        <v>27</v>
      </c>
      <c r="B26" s="30" t="s">
        <v>28</v>
      </c>
      <c r="C26" s="31"/>
      <c r="D26" s="22">
        <f>D27+D28</f>
        <v>5871.33</v>
      </c>
      <c r="E26" s="26">
        <f>E27</f>
        <v>1172.0342999999998</v>
      </c>
    </row>
    <row r="27" spans="1:5" x14ac:dyDescent="0.25">
      <c r="A27" s="31">
        <v>1</v>
      </c>
      <c r="B27" s="31" t="s">
        <v>29</v>
      </c>
      <c r="C27" s="31"/>
      <c r="D27" s="31">
        <v>5802.15</v>
      </c>
      <c r="E27" s="32">
        <f>D27*20.2%</f>
        <v>1172.0342999999998</v>
      </c>
    </row>
    <row r="28" spans="1:5" x14ac:dyDescent="0.25">
      <c r="A28" s="31">
        <v>2</v>
      </c>
      <c r="B28" s="31" t="s">
        <v>26</v>
      </c>
      <c r="C28" s="31"/>
      <c r="D28" s="31">
        <v>69.180000000000007</v>
      </c>
      <c r="E28" s="31"/>
    </row>
    <row r="29" spans="1:5" x14ac:dyDescent="0.25">
      <c r="A29" s="465" t="s">
        <v>30</v>
      </c>
      <c r="B29" s="22" t="s">
        <v>31</v>
      </c>
      <c r="C29" s="31"/>
      <c r="D29" s="26">
        <f>D30+D31+D32+D33+D34+D35+D36</f>
        <v>2887.9384999999997</v>
      </c>
      <c r="E29" s="31"/>
    </row>
    <row r="30" spans="1:5" x14ac:dyDescent="0.25">
      <c r="A30" s="31"/>
      <c r="B30" s="31" t="s">
        <v>32</v>
      </c>
      <c r="C30" s="31"/>
      <c r="D30" s="32">
        <f>D17*5%</f>
        <v>1067.5184999999999</v>
      </c>
      <c r="E30" s="31"/>
    </row>
    <row r="31" spans="1:5" x14ac:dyDescent="0.25">
      <c r="A31" s="31"/>
      <c r="B31" s="31" t="s">
        <v>62</v>
      </c>
      <c r="C31" s="31"/>
      <c r="D31" s="31">
        <v>0</v>
      </c>
      <c r="E31" s="31"/>
    </row>
    <row r="32" spans="1:5" x14ac:dyDescent="0.25">
      <c r="A32" s="31"/>
      <c r="B32" s="31" t="s">
        <v>34</v>
      </c>
      <c r="C32" s="31"/>
      <c r="D32" s="32">
        <f>480.93+478.11</f>
        <v>959.04</v>
      </c>
      <c r="E32" s="31"/>
    </row>
    <row r="33" spans="1:5" x14ac:dyDescent="0.25">
      <c r="A33" s="31"/>
      <c r="B33" s="31" t="s">
        <v>35</v>
      </c>
      <c r="C33" s="31"/>
      <c r="D33" s="31">
        <f>35.79+14.8</f>
        <v>50.59</v>
      </c>
      <c r="E33" s="31"/>
    </row>
    <row r="34" spans="1:5" x14ac:dyDescent="0.25">
      <c r="A34" s="31"/>
      <c r="B34" s="31" t="s">
        <v>36</v>
      </c>
      <c r="C34" s="31"/>
      <c r="D34" s="31">
        <v>292.92</v>
      </c>
      <c r="E34" s="31"/>
    </row>
    <row r="35" spans="1:5" x14ac:dyDescent="0.25">
      <c r="A35" s="31"/>
      <c r="B35" s="31" t="s">
        <v>67</v>
      </c>
      <c r="C35" s="31"/>
      <c r="D35" s="31">
        <v>0</v>
      </c>
      <c r="E35" s="31"/>
    </row>
    <row r="36" spans="1:5" x14ac:dyDescent="0.25">
      <c r="A36" s="31"/>
      <c r="B36" s="31" t="s">
        <v>38</v>
      </c>
      <c r="C36" s="31"/>
      <c r="D36" s="31">
        <f>265.21+252.66</f>
        <v>517.87</v>
      </c>
      <c r="E36" s="31"/>
    </row>
    <row r="37" spans="1:5" x14ac:dyDescent="0.25">
      <c r="A37" s="31">
        <v>4</v>
      </c>
      <c r="B37" s="22" t="s">
        <v>39</v>
      </c>
      <c r="C37" s="31"/>
      <c r="D37" s="26">
        <f>D38+D39</f>
        <v>3998.29</v>
      </c>
      <c r="E37" s="26">
        <f>E38</f>
        <v>658.65735999999993</v>
      </c>
    </row>
    <row r="38" spans="1:5" x14ac:dyDescent="0.25">
      <c r="A38" s="31"/>
      <c r="B38" s="31" t="s">
        <v>40</v>
      </c>
      <c r="C38" s="31"/>
      <c r="D38" s="32">
        <v>3260.68</v>
      </c>
      <c r="E38" s="32">
        <f>D38*20.2%</f>
        <v>658.65735999999993</v>
      </c>
    </row>
    <row r="39" spans="1:5" x14ac:dyDescent="0.25">
      <c r="A39" s="31"/>
      <c r="B39" s="31" t="s">
        <v>41</v>
      </c>
      <c r="C39" s="31"/>
      <c r="D39" s="32">
        <v>737.61</v>
      </c>
      <c r="E39" s="31"/>
    </row>
    <row r="40" spans="1:5" x14ac:dyDescent="0.25">
      <c r="A40" s="31">
        <v>5</v>
      </c>
      <c r="B40" s="22" t="s">
        <v>42</v>
      </c>
      <c r="C40" s="31"/>
      <c r="D40" s="26">
        <f>D20+E20+D26+E26+D29+D37+E37</f>
        <v>21527.071940000002</v>
      </c>
      <c r="E40" s="31"/>
    </row>
    <row r="41" spans="1:5" x14ac:dyDescent="0.25">
      <c r="A41" s="31">
        <v>6</v>
      </c>
      <c r="B41" s="31" t="s">
        <v>43</v>
      </c>
      <c r="C41" s="31"/>
      <c r="D41" s="26">
        <f>D17*6%</f>
        <v>1281.0221999999999</v>
      </c>
      <c r="E41" s="31"/>
    </row>
    <row r="42" spans="1:5" x14ac:dyDescent="0.25">
      <c r="A42" s="31">
        <v>7</v>
      </c>
      <c r="B42" s="22" t="s">
        <v>44</v>
      </c>
      <c r="C42" s="31"/>
      <c r="D42" s="26">
        <f>D40+D41</f>
        <v>22808.094140000001</v>
      </c>
      <c r="E42" s="31"/>
    </row>
    <row r="43" spans="1:5" x14ac:dyDescent="0.25">
      <c r="A43" s="31"/>
      <c r="B43" s="31"/>
      <c r="C43" s="31"/>
      <c r="D43" s="31"/>
      <c r="E43" s="31"/>
    </row>
    <row r="44" spans="1:5" x14ac:dyDescent="0.25">
      <c r="A44" s="31">
        <v>8</v>
      </c>
      <c r="B44" s="22" t="s">
        <v>53</v>
      </c>
      <c r="C44" s="31"/>
      <c r="D44" s="26">
        <f>D17-D42</f>
        <v>-1457.7241400000021</v>
      </c>
      <c r="E44" s="31"/>
    </row>
    <row r="45" spans="1:5" x14ac:dyDescent="0.25">
      <c r="A45" s="31">
        <v>9</v>
      </c>
      <c r="B45" s="22" t="s">
        <v>45</v>
      </c>
      <c r="C45" s="31"/>
      <c r="D45" s="26">
        <f>D9+D44</f>
        <v>20047.755859999997</v>
      </c>
      <c r="E45" s="31"/>
    </row>
    <row r="46" spans="1:5" x14ac:dyDescent="0.25">
      <c r="A46" s="399"/>
      <c r="B46" s="34"/>
      <c r="C46" s="399"/>
      <c r="D46" s="35"/>
      <c r="E46" s="399"/>
    </row>
    <row r="47" spans="1:5" x14ac:dyDescent="0.25">
      <c r="A47" s="399"/>
      <c r="B47" s="34"/>
      <c r="C47" s="399"/>
      <c r="D47" s="35"/>
      <c r="E47" s="399"/>
    </row>
    <row r="48" spans="1:5" x14ac:dyDescent="0.25">
      <c r="A48" s="399"/>
      <c r="B48" s="601" t="s">
        <v>46</v>
      </c>
      <c r="C48" s="601"/>
      <c r="D48" s="399" t="s">
        <v>86</v>
      </c>
      <c r="E48" s="35"/>
    </row>
    <row r="49" spans="1:5" x14ac:dyDescent="0.25">
      <c r="A49" s="237"/>
      <c r="B49" s="237" t="s">
        <v>48</v>
      </c>
      <c r="C49" s="237"/>
      <c r="D49" s="237" t="s">
        <v>49</v>
      </c>
      <c r="E49" s="237"/>
    </row>
  </sheetData>
  <mergeCells count="4">
    <mergeCell ref="A5:C5"/>
    <mergeCell ref="D7:E7"/>
    <mergeCell ref="D8:E8"/>
    <mergeCell ref="B48:C48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H10" sqref="H10"/>
    </sheetView>
  </sheetViews>
  <sheetFormatPr defaultRowHeight="15" x14ac:dyDescent="0.25"/>
  <cols>
    <col min="2" max="2" width="44.28515625" customWidth="1"/>
    <col min="4" max="4" width="10.5703125" customWidth="1"/>
    <col min="5" max="5" width="10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190</v>
      </c>
    </row>
    <row r="5" spans="1:5" x14ac:dyDescent="0.25">
      <c r="A5" s="594"/>
      <c r="B5" s="594"/>
      <c r="C5" s="594"/>
      <c r="D5" s="453"/>
      <c r="E5" s="44"/>
    </row>
    <row r="6" spans="1:5" x14ac:dyDescent="0.25">
      <c r="A6" s="5"/>
      <c r="B6" s="5"/>
      <c r="C6" s="5"/>
      <c r="D6" s="3"/>
      <c r="E6" s="45"/>
    </row>
    <row r="7" spans="1:5" ht="15.75" x14ac:dyDescent="0.25">
      <c r="A7" s="5"/>
      <c r="B7" s="6" t="s">
        <v>3</v>
      </c>
      <c r="C7" s="7" t="s">
        <v>4</v>
      </c>
      <c r="D7" s="595" t="s">
        <v>5</v>
      </c>
      <c r="E7" s="596"/>
    </row>
    <row r="8" spans="1:5" ht="15.75" x14ac:dyDescent="0.25">
      <c r="A8" s="463"/>
      <c r="B8" s="6" t="s">
        <v>6</v>
      </c>
      <c r="C8" s="7" t="s">
        <v>7</v>
      </c>
      <c r="D8" s="597" t="s">
        <v>127</v>
      </c>
      <c r="E8" s="598"/>
    </row>
    <row r="9" spans="1:5" x14ac:dyDescent="0.25">
      <c r="A9" s="13"/>
      <c r="B9" s="14" t="s">
        <v>8</v>
      </c>
      <c r="C9" s="13"/>
      <c r="D9" s="462">
        <v>-16012.41</v>
      </c>
      <c r="E9" s="398"/>
    </row>
    <row r="10" spans="1:5" x14ac:dyDescent="0.25">
      <c r="A10" s="13"/>
      <c r="B10" s="14" t="s">
        <v>9</v>
      </c>
      <c r="C10" s="13" t="s">
        <v>10</v>
      </c>
      <c r="D10" s="13">
        <v>3722.8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2935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f>55776.63*2</f>
        <v>111553.26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100585.55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17</v>
      </c>
      <c r="C17" s="13"/>
      <c r="D17" s="19">
        <f>D15</f>
        <v>100585.55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31"/>
      <c r="B19" s="21" t="s">
        <v>18</v>
      </c>
      <c r="C19" s="31"/>
      <c r="D19" s="22"/>
      <c r="E19" s="464" t="s">
        <v>19</v>
      </c>
    </row>
    <row r="20" spans="1:5" x14ac:dyDescent="0.25">
      <c r="A20" s="465" t="s">
        <v>20</v>
      </c>
      <c r="B20" s="25" t="s">
        <v>21</v>
      </c>
      <c r="C20" s="13"/>
      <c r="D20" s="19">
        <f>D22+D25</f>
        <v>19112.03</v>
      </c>
      <c r="E20" s="395">
        <f>E21</f>
        <v>3778.2928399999992</v>
      </c>
    </row>
    <row r="21" spans="1:5" x14ac:dyDescent="0.25">
      <c r="A21" s="31">
        <v>1</v>
      </c>
      <c r="B21" s="19" t="s">
        <v>22</v>
      </c>
      <c r="C21" s="13" t="s">
        <v>13</v>
      </c>
      <c r="D21" s="19">
        <f>D22+D23+D24</f>
        <v>18704.419999999998</v>
      </c>
      <c r="E21" s="18">
        <f>E22+E23+E24</f>
        <v>3778.2928399999992</v>
      </c>
    </row>
    <row r="22" spans="1:5" x14ac:dyDescent="0.25">
      <c r="A22" s="31"/>
      <c r="B22" s="13" t="s">
        <v>23</v>
      </c>
      <c r="C22" s="13"/>
      <c r="D22" s="13">
        <v>18704.419999999998</v>
      </c>
      <c r="E22" s="17">
        <f>D22*20.2%</f>
        <v>3778.2928399999992</v>
      </c>
    </row>
    <row r="23" spans="1:5" x14ac:dyDescent="0.25">
      <c r="A23" s="31"/>
      <c r="B23" s="13" t="s">
        <v>24</v>
      </c>
      <c r="C23" s="13"/>
      <c r="D23" s="13">
        <v>0</v>
      </c>
      <c r="E23" s="17">
        <f>D23*14.2%</f>
        <v>0</v>
      </c>
    </row>
    <row r="24" spans="1:5" x14ac:dyDescent="0.25">
      <c r="A24" s="31"/>
      <c r="B24" s="13" t="s">
        <v>25</v>
      </c>
      <c r="C24" s="13"/>
      <c r="D24" s="13">
        <v>0</v>
      </c>
      <c r="E24" s="17">
        <f>D24*14.2%</f>
        <v>0</v>
      </c>
    </row>
    <row r="25" spans="1:5" x14ac:dyDescent="0.25">
      <c r="A25" s="31">
        <v>2</v>
      </c>
      <c r="B25" s="31" t="s">
        <v>26</v>
      </c>
      <c r="C25" s="13"/>
      <c r="D25" s="13">
        <v>407.61</v>
      </c>
      <c r="E25" s="17">
        <v>0</v>
      </c>
    </row>
    <row r="26" spans="1:5" x14ac:dyDescent="0.25">
      <c r="A26" s="465" t="s">
        <v>27</v>
      </c>
      <c r="B26" s="30" t="s">
        <v>28</v>
      </c>
      <c r="C26" s="13"/>
      <c r="D26" s="395">
        <f>D27+D28</f>
        <v>31034.620000000003</v>
      </c>
      <c r="E26" s="395">
        <f>E27</f>
        <v>5610.6954399999995</v>
      </c>
    </row>
    <row r="27" spans="1:5" x14ac:dyDescent="0.25">
      <c r="A27" s="31">
        <v>1</v>
      </c>
      <c r="B27" s="31" t="s">
        <v>29</v>
      </c>
      <c r="C27" s="13"/>
      <c r="D27" s="17">
        <v>27775.72</v>
      </c>
      <c r="E27" s="17">
        <f>D27*20.2%</f>
        <v>5610.6954399999995</v>
      </c>
    </row>
    <row r="28" spans="1:5" x14ac:dyDescent="0.25">
      <c r="A28" s="31">
        <v>2</v>
      </c>
      <c r="B28" s="31" t="s">
        <v>26</v>
      </c>
      <c r="C28" s="13"/>
      <c r="D28" s="456">
        <v>3258.9</v>
      </c>
      <c r="E28" s="13"/>
    </row>
    <row r="29" spans="1:5" x14ac:dyDescent="0.25">
      <c r="A29" s="465" t="s">
        <v>30</v>
      </c>
      <c r="B29" s="475" t="s">
        <v>31</v>
      </c>
      <c r="C29" s="475"/>
      <c r="D29" s="18">
        <f>D30+D31+D32+D33+D34+D35+D36</f>
        <v>48299.590850000001</v>
      </c>
      <c r="E29" s="475"/>
    </row>
    <row r="30" spans="1:5" x14ac:dyDescent="0.25">
      <c r="A30" s="31"/>
      <c r="B30" s="13" t="s">
        <v>32</v>
      </c>
      <c r="C30" s="13"/>
      <c r="D30" s="17">
        <f>D17*4.7%</f>
        <v>4727.5208499999999</v>
      </c>
      <c r="E30" s="13"/>
    </row>
    <row r="31" spans="1:5" x14ac:dyDescent="0.25">
      <c r="A31" s="31"/>
      <c r="B31" s="31" t="s">
        <v>67</v>
      </c>
      <c r="C31" s="13"/>
      <c r="D31" s="13">
        <v>3005.66</v>
      </c>
      <c r="E31" s="13"/>
    </row>
    <row r="32" spans="1:5" x14ac:dyDescent="0.25">
      <c r="A32" s="31"/>
      <c r="B32" s="13" t="s">
        <v>33</v>
      </c>
      <c r="C32" s="13"/>
      <c r="D32" s="476">
        <v>2388.5300000000002</v>
      </c>
      <c r="E32" s="13"/>
    </row>
    <row r="33" spans="1:5" x14ac:dyDescent="0.25">
      <c r="A33" s="31"/>
      <c r="B33" s="13" t="s">
        <v>34</v>
      </c>
      <c r="C33" s="13"/>
      <c r="D33" s="13">
        <f>2302.3+2288.77</f>
        <v>4591.07</v>
      </c>
      <c r="E33" s="13"/>
    </row>
    <row r="34" spans="1:5" x14ac:dyDescent="0.25">
      <c r="A34" s="31"/>
      <c r="B34" s="13" t="s">
        <v>36</v>
      </c>
      <c r="C34" s="13"/>
      <c r="D34" s="13">
        <v>1402.24</v>
      </c>
      <c r="E34" s="13"/>
    </row>
    <row r="35" spans="1:5" x14ac:dyDescent="0.25">
      <c r="A35" s="31"/>
      <c r="B35" s="31" t="s">
        <v>118</v>
      </c>
      <c r="C35" s="13"/>
      <c r="D35" s="13">
        <f>13512.62+16192.8</f>
        <v>29705.42</v>
      </c>
      <c r="E35" s="13"/>
    </row>
    <row r="36" spans="1:5" x14ac:dyDescent="0.25">
      <c r="A36" s="31"/>
      <c r="B36" s="13" t="s">
        <v>38</v>
      </c>
      <c r="C36" s="13"/>
      <c r="D36" s="13">
        <f>1269.62+1209.53</f>
        <v>2479.1499999999996</v>
      </c>
      <c r="E36" s="13"/>
    </row>
    <row r="37" spans="1:5" x14ac:dyDescent="0.25">
      <c r="A37" s="31">
        <v>4</v>
      </c>
      <c r="B37" s="22" t="s">
        <v>39</v>
      </c>
      <c r="C37" s="31"/>
      <c r="D37" s="26">
        <f>D38+D39</f>
        <v>18414.34</v>
      </c>
      <c r="E37" s="26">
        <f>E38</f>
        <v>3153.09274</v>
      </c>
    </row>
    <row r="38" spans="1:5" x14ac:dyDescent="0.25">
      <c r="A38" s="31"/>
      <c r="B38" s="31" t="s">
        <v>40</v>
      </c>
      <c r="C38" s="31"/>
      <c r="D38" s="32">
        <v>15609.37</v>
      </c>
      <c r="E38" s="32">
        <f>D38*20.2%</f>
        <v>3153.09274</v>
      </c>
    </row>
    <row r="39" spans="1:5" x14ac:dyDescent="0.25">
      <c r="A39" s="31"/>
      <c r="B39" s="31" t="s">
        <v>41</v>
      </c>
      <c r="C39" s="31"/>
      <c r="D39" s="32">
        <v>2804.97</v>
      </c>
      <c r="E39" s="31"/>
    </row>
    <row r="40" spans="1:5" x14ac:dyDescent="0.25">
      <c r="A40" s="31">
        <v>5</v>
      </c>
      <c r="B40" s="22" t="s">
        <v>42</v>
      </c>
      <c r="C40" s="31"/>
      <c r="D40" s="26">
        <f>D20+E20+D26+E26+D29+D37+E37</f>
        <v>129402.66186999998</v>
      </c>
      <c r="E40" s="31"/>
    </row>
    <row r="41" spans="1:5" x14ac:dyDescent="0.25">
      <c r="A41" s="31">
        <v>6</v>
      </c>
      <c r="B41" s="31" t="s">
        <v>43</v>
      </c>
      <c r="C41" s="31"/>
      <c r="D41" s="26">
        <f>D17*6%</f>
        <v>6035.1329999999998</v>
      </c>
      <c r="E41" s="31"/>
    </row>
    <row r="42" spans="1:5" x14ac:dyDescent="0.25">
      <c r="A42" s="31">
        <v>7</v>
      </c>
      <c r="B42" s="22" t="s">
        <v>44</v>
      </c>
      <c r="C42" s="31"/>
      <c r="D42" s="26">
        <f>D40+D41</f>
        <v>135437.79486999998</v>
      </c>
      <c r="E42" s="31"/>
    </row>
    <row r="43" spans="1:5" x14ac:dyDescent="0.25">
      <c r="A43" s="31"/>
      <c r="B43" s="31"/>
      <c r="C43" s="31"/>
      <c r="D43" s="31"/>
      <c r="E43" s="31"/>
    </row>
    <row r="44" spans="1:5" x14ac:dyDescent="0.25">
      <c r="A44" s="31">
        <v>8</v>
      </c>
      <c r="B44" s="22" t="s">
        <v>80</v>
      </c>
      <c r="C44" s="31"/>
      <c r="D44" s="26">
        <f>D17-D42</f>
        <v>-34852.24486999998</v>
      </c>
      <c r="E44" s="31"/>
    </row>
    <row r="45" spans="1:5" x14ac:dyDescent="0.25">
      <c r="A45" s="31">
        <v>9</v>
      </c>
      <c r="B45" s="22" t="s">
        <v>45</v>
      </c>
      <c r="C45" s="31"/>
      <c r="D45" s="26">
        <f>D9+D44</f>
        <v>-50864.654869999984</v>
      </c>
      <c r="E45" s="31"/>
    </row>
    <row r="46" spans="1:5" x14ac:dyDescent="0.25">
      <c r="A46" s="399"/>
      <c r="B46" s="34"/>
      <c r="C46" s="399"/>
      <c r="D46" s="35"/>
      <c r="E46" s="399"/>
    </row>
    <row r="47" spans="1:5" x14ac:dyDescent="0.25">
      <c r="A47" s="399"/>
      <c r="B47" s="34"/>
      <c r="C47" s="399"/>
      <c r="D47" s="35"/>
      <c r="E47" s="399"/>
    </row>
    <row r="48" spans="1:5" x14ac:dyDescent="0.25">
      <c r="A48" s="399"/>
      <c r="B48" s="601" t="s">
        <v>46</v>
      </c>
      <c r="C48" s="601"/>
      <c r="D48" s="399" t="s">
        <v>86</v>
      </c>
      <c r="E48" s="399"/>
    </row>
    <row r="49" spans="1:5" x14ac:dyDescent="0.25">
      <c r="A49" s="237"/>
      <c r="B49" s="237" t="s">
        <v>48</v>
      </c>
      <c r="C49" s="237"/>
      <c r="D49" s="237" t="s">
        <v>49</v>
      </c>
      <c r="E49" s="237"/>
    </row>
  </sheetData>
  <mergeCells count="4">
    <mergeCell ref="B48:C48"/>
    <mergeCell ref="D7:E7"/>
    <mergeCell ref="A5:C5"/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D14" sqref="D14"/>
    </sheetView>
  </sheetViews>
  <sheetFormatPr defaultRowHeight="15" x14ac:dyDescent="0.25"/>
  <cols>
    <col min="2" max="2" width="35.85546875" customWidth="1"/>
    <col min="4" max="4" width="10.42578125" customWidth="1"/>
    <col min="5" max="5" width="10.7109375" customWidth="1"/>
  </cols>
  <sheetData>
    <row r="1" spans="1:5" ht="15.75" x14ac:dyDescent="0.25">
      <c r="A1" s="69"/>
      <c r="B1" s="70" t="s">
        <v>0</v>
      </c>
      <c r="C1" s="69"/>
      <c r="D1" s="69"/>
      <c r="E1" s="69"/>
    </row>
    <row r="2" spans="1:5" x14ac:dyDescent="0.25">
      <c r="A2" s="69"/>
      <c r="B2" s="69"/>
      <c r="C2" s="69"/>
      <c r="D2" s="69"/>
      <c r="E2" s="69"/>
    </row>
    <row r="3" spans="1:5" x14ac:dyDescent="0.25">
      <c r="A3" s="69"/>
      <c r="B3" s="69" t="s">
        <v>59</v>
      </c>
      <c r="C3" s="69"/>
      <c r="D3" s="69"/>
      <c r="E3" s="69"/>
    </row>
    <row r="4" spans="1:5" x14ac:dyDescent="0.25">
      <c r="A4" s="69"/>
      <c r="B4" s="71" t="s">
        <v>110</v>
      </c>
      <c r="C4" s="69"/>
      <c r="D4" s="69"/>
      <c r="E4" s="69"/>
    </row>
    <row r="5" spans="1:5" x14ac:dyDescent="0.25">
      <c r="A5" s="509"/>
      <c r="B5" s="509"/>
      <c r="C5" s="509"/>
      <c r="D5" s="402"/>
      <c r="E5" s="72"/>
    </row>
    <row r="6" spans="1:5" x14ac:dyDescent="0.25">
      <c r="A6" s="73"/>
      <c r="B6" s="73"/>
      <c r="C6" s="73"/>
      <c r="D6" s="74"/>
      <c r="E6" s="75"/>
    </row>
    <row r="7" spans="1:5" ht="15.75" x14ac:dyDescent="0.25">
      <c r="A7" s="76"/>
      <c r="B7" s="77" t="s">
        <v>3</v>
      </c>
      <c r="C7" s="78" t="s">
        <v>4</v>
      </c>
      <c r="D7" s="510" t="s">
        <v>5</v>
      </c>
      <c r="E7" s="511"/>
    </row>
    <row r="8" spans="1:5" ht="15.75" x14ac:dyDescent="0.25">
      <c r="A8" s="79"/>
      <c r="B8" s="77" t="s">
        <v>6</v>
      </c>
      <c r="C8" s="78" t="s">
        <v>7</v>
      </c>
      <c r="D8" s="507" t="s">
        <v>111</v>
      </c>
      <c r="E8" s="508"/>
    </row>
    <row r="9" spans="1:5" x14ac:dyDescent="0.25">
      <c r="A9" s="80"/>
      <c r="B9" s="80"/>
      <c r="C9" s="80"/>
      <c r="D9" s="81"/>
      <c r="E9" s="82"/>
    </row>
    <row r="10" spans="1:5" x14ac:dyDescent="0.25">
      <c r="A10" s="80"/>
      <c r="B10" s="83" t="s">
        <v>8</v>
      </c>
      <c r="C10" s="80"/>
      <c r="D10" s="81">
        <v>98226.29</v>
      </c>
      <c r="E10" s="82"/>
    </row>
    <row r="11" spans="1:5" x14ac:dyDescent="0.25">
      <c r="A11" s="23"/>
      <c r="B11" s="84" t="s">
        <v>9</v>
      </c>
      <c r="C11" s="23" t="s">
        <v>10</v>
      </c>
      <c r="D11" s="23">
        <v>5182.7</v>
      </c>
      <c r="E11" s="23"/>
    </row>
    <row r="12" spans="1:5" x14ac:dyDescent="0.25">
      <c r="A12" s="23"/>
      <c r="B12" s="84" t="s">
        <v>11</v>
      </c>
      <c r="C12" s="23" t="s">
        <v>10</v>
      </c>
      <c r="D12" s="23">
        <v>4325</v>
      </c>
      <c r="E12" s="23"/>
    </row>
    <row r="13" spans="1:5" x14ac:dyDescent="0.25">
      <c r="A13" s="23"/>
      <c r="B13" s="85" t="s">
        <v>12</v>
      </c>
      <c r="C13" s="23" t="s">
        <v>13</v>
      </c>
      <c r="D13" s="23">
        <v>166147.26</v>
      </c>
      <c r="E13" s="23"/>
    </row>
    <row r="14" spans="1:5" x14ac:dyDescent="0.25">
      <c r="A14" s="23"/>
      <c r="B14" s="23"/>
      <c r="C14" s="23"/>
      <c r="D14" s="23"/>
      <c r="E14" s="23"/>
    </row>
    <row r="15" spans="1:5" ht="15.75" x14ac:dyDescent="0.25">
      <c r="A15" s="23"/>
      <c r="B15" s="86" t="s">
        <v>14</v>
      </c>
      <c r="C15" s="23"/>
      <c r="D15" s="23"/>
      <c r="E15" s="23"/>
    </row>
    <row r="16" spans="1:5" x14ac:dyDescent="0.25">
      <c r="A16" s="23">
        <v>1</v>
      </c>
      <c r="B16" s="23" t="s">
        <v>15</v>
      </c>
      <c r="C16" s="23" t="s">
        <v>13</v>
      </c>
      <c r="D16" s="23">
        <v>166418.22</v>
      </c>
      <c r="E16" s="23"/>
    </row>
    <row r="17" spans="1:5" x14ac:dyDescent="0.25">
      <c r="A17" s="23">
        <v>2</v>
      </c>
      <c r="B17" s="23" t="s">
        <v>101</v>
      </c>
      <c r="C17" s="23"/>
      <c r="D17" s="23">
        <f>649.97+3000+1200</f>
        <v>4849.97</v>
      </c>
      <c r="E17" s="23"/>
    </row>
    <row r="18" spans="1:5" ht="15.75" x14ac:dyDescent="0.25">
      <c r="A18" s="23"/>
      <c r="B18" s="86" t="s">
        <v>17</v>
      </c>
      <c r="C18" s="23"/>
      <c r="D18" s="87">
        <f>D16+D17</f>
        <v>171268.19</v>
      </c>
      <c r="E18" s="23"/>
    </row>
    <row r="19" spans="1:5" ht="15.75" x14ac:dyDescent="0.25">
      <c r="A19" s="23"/>
      <c r="B19" s="86"/>
      <c r="C19" s="23"/>
      <c r="D19" s="87"/>
      <c r="E19" s="23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6">
        <f>D22+D26+D25</f>
        <v>25100.99</v>
      </c>
      <c r="E21" s="26">
        <f>E22</f>
        <v>4837.8090999999995</v>
      </c>
    </row>
    <row r="22" spans="1:5" x14ac:dyDescent="0.25">
      <c r="A22" s="20">
        <v>1</v>
      </c>
      <c r="B22" s="22" t="s">
        <v>22</v>
      </c>
      <c r="C22" s="27" t="s">
        <v>13</v>
      </c>
      <c r="D22" s="26">
        <f>D23+D24</f>
        <v>23949.55</v>
      </c>
      <c r="E22" s="26">
        <f>E23+E24+E25</f>
        <v>4837.8090999999995</v>
      </c>
    </row>
    <row r="23" spans="1:5" x14ac:dyDescent="0.25">
      <c r="A23" s="20"/>
      <c r="B23" s="20" t="s">
        <v>23</v>
      </c>
      <c r="C23" s="20"/>
      <c r="D23" s="20">
        <v>23949.55</v>
      </c>
      <c r="E23" s="28">
        <f>D23*20.2%</f>
        <v>4837.8090999999995</v>
      </c>
    </row>
    <row r="24" spans="1:5" x14ac:dyDescent="0.25">
      <c r="A24" s="20"/>
      <c r="B24" s="20" t="s">
        <v>24</v>
      </c>
      <c r="C24" s="20"/>
      <c r="D24" s="29">
        <v>0</v>
      </c>
      <c r="E24" s="28"/>
    </row>
    <row r="25" spans="1:5" x14ac:dyDescent="0.25">
      <c r="A25" s="20"/>
      <c r="B25" s="20" t="s">
        <v>79</v>
      </c>
      <c r="C25" s="20"/>
      <c r="D25" s="20">
        <v>550.79</v>
      </c>
      <c r="E25" s="28"/>
    </row>
    <row r="26" spans="1:5" x14ac:dyDescent="0.25">
      <c r="A26" s="20">
        <v>2</v>
      </c>
      <c r="B26" s="27" t="s">
        <v>26</v>
      </c>
      <c r="C26" s="20"/>
      <c r="D26" s="20">
        <v>600.65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54655.15</v>
      </c>
      <c r="E27" s="26">
        <f>E28</f>
        <v>8267.8923200000008</v>
      </c>
    </row>
    <row r="28" spans="1:5" x14ac:dyDescent="0.25">
      <c r="A28" s="20">
        <v>1</v>
      </c>
      <c r="B28" s="31" t="s">
        <v>29</v>
      </c>
      <c r="C28" s="20"/>
      <c r="D28" s="31">
        <v>40930.160000000003</v>
      </c>
      <c r="E28" s="32">
        <f>D28*20.2%</f>
        <v>8267.8923200000008</v>
      </c>
    </row>
    <row r="29" spans="1:5" x14ac:dyDescent="0.25">
      <c r="A29" s="20">
        <v>2</v>
      </c>
      <c r="B29" s="31" t="s">
        <v>26</v>
      </c>
      <c r="C29" s="20"/>
      <c r="D29" s="31">
        <v>7724.99</v>
      </c>
      <c r="E29" s="20"/>
    </row>
    <row r="30" spans="1:5" x14ac:dyDescent="0.25">
      <c r="A30" s="20">
        <v>3</v>
      </c>
      <c r="B30" s="31" t="s">
        <v>57</v>
      </c>
      <c r="C30" s="20"/>
      <c r="D30" s="31">
        <v>6000</v>
      </c>
      <c r="E30" s="20"/>
    </row>
    <row r="31" spans="1:5" x14ac:dyDescent="0.25">
      <c r="A31" s="24" t="s">
        <v>30</v>
      </c>
      <c r="B31" s="22" t="s">
        <v>31</v>
      </c>
      <c r="C31" s="20"/>
      <c r="D31" s="26">
        <f>D32+D33+D35+D37+D38+D36+D34</f>
        <v>21793.6695</v>
      </c>
      <c r="E31" s="20"/>
    </row>
    <row r="32" spans="1:5" x14ac:dyDescent="0.25">
      <c r="A32" s="20"/>
      <c r="B32" s="20" t="s">
        <v>32</v>
      </c>
      <c r="C32" s="20"/>
      <c r="D32" s="28">
        <f>D18*5%</f>
        <v>8563.4094999999998</v>
      </c>
      <c r="E32" s="20"/>
    </row>
    <row r="33" spans="1:5" x14ac:dyDescent="0.25">
      <c r="A33" s="20"/>
      <c r="B33" s="20" t="s">
        <v>62</v>
      </c>
      <c r="C33" s="20"/>
      <c r="D33" s="20">
        <v>745.27</v>
      </c>
      <c r="E33" s="20"/>
    </row>
    <row r="34" spans="1:5" x14ac:dyDescent="0.25">
      <c r="A34" s="20"/>
      <c r="B34" s="20" t="s">
        <v>33</v>
      </c>
      <c r="C34" s="20"/>
      <c r="D34" s="20">
        <v>0</v>
      </c>
      <c r="E34" s="20"/>
    </row>
    <row r="35" spans="1:5" x14ac:dyDescent="0.25">
      <c r="A35" s="20"/>
      <c r="B35" s="20" t="s">
        <v>34</v>
      </c>
      <c r="C35" s="20"/>
      <c r="D35" s="28">
        <f>3392.66+3372.73</f>
        <v>6765.3899999999994</v>
      </c>
      <c r="E35" s="20"/>
    </row>
    <row r="36" spans="1:5" x14ac:dyDescent="0.25">
      <c r="A36" s="20"/>
      <c r="B36" s="13" t="s">
        <v>52</v>
      </c>
      <c r="C36" s="20"/>
      <c r="D36" s="28">
        <v>0</v>
      </c>
      <c r="E36" s="20"/>
    </row>
    <row r="37" spans="1:5" x14ac:dyDescent="0.25">
      <c r="A37" s="20"/>
      <c r="B37" s="27" t="s">
        <v>36</v>
      </c>
      <c r="C37" s="20"/>
      <c r="D37" s="20">
        <v>2066.33</v>
      </c>
      <c r="E37" s="20"/>
    </row>
    <row r="38" spans="1:5" x14ac:dyDescent="0.25">
      <c r="A38" s="20"/>
      <c r="B38" s="20" t="s">
        <v>38</v>
      </c>
      <c r="C38" s="20"/>
      <c r="D38" s="20">
        <f>1870.91+1782.36</f>
        <v>3653.27</v>
      </c>
      <c r="E38" s="20"/>
    </row>
    <row r="39" spans="1:5" x14ac:dyDescent="0.25">
      <c r="A39" s="20">
        <v>4</v>
      </c>
      <c r="B39" s="22" t="s">
        <v>39</v>
      </c>
      <c r="C39" s="20"/>
      <c r="D39" s="26">
        <f>D40+D41</f>
        <v>28212.300000000003</v>
      </c>
      <c r="E39" s="26">
        <f>E40</f>
        <v>4646.3797599999998</v>
      </c>
    </row>
    <row r="40" spans="1:5" x14ac:dyDescent="0.25">
      <c r="A40" s="20"/>
      <c r="B40" s="31" t="s">
        <v>40</v>
      </c>
      <c r="C40" s="31"/>
      <c r="D40" s="32">
        <v>23001.88</v>
      </c>
      <c r="E40" s="32">
        <f>D40*20.2%</f>
        <v>4646.3797599999998</v>
      </c>
    </row>
    <row r="41" spans="1:5" x14ac:dyDescent="0.25">
      <c r="A41" s="20"/>
      <c r="B41" s="31" t="s">
        <v>41</v>
      </c>
      <c r="C41" s="20"/>
      <c r="D41" s="32">
        <v>5210.42</v>
      </c>
      <c r="E41" s="20"/>
    </row>
    <row r="42" spans="1:5" x14ac:dyDescent="0.25">
      <c r="A42" s="20">
        <v>5</v>
      </c>
      <c r="B42" s="22" t="s">
        <v>42</v>
      </c>
      <c r="C42" s="20"/>
      <c r="D42" s="26">
        <f>D21+E21+D27+E27+D31+D39+E39</f>
        <v>147514.19068000003</v>
      </c>
      <c r="E42" s="20"/>
    </row>
    <row r="43" spans="1:5" x14ac:dyDescent="0.25">
      <c r="A43" s="20">
        <v>6</v>
      </c>
      <c r="B43" s="20" t="s">
        <v>43</v>
      </c>
      <c r="C43" s="20"/>
      <c r="D43" s="26">
        <f>D18*6%</f>
        <v>10276.091399999999</v>
      </c>
      <c r="E43" s="20"/>
    </row>
    <row r="44" spans="1:5" x14ac:dyDescent="0.25">
      <c r="A44" s="20">
        <v>7</v>
      </c>
      <c r="B44" s="22" t="s">
        <v>44</v>
      </c>
      <c r="C44" s="20"/>
      <c r="D44" s="26">
        <f>D42+D43</f>
        <v>157790.28208000003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53</v>
      </c>
      <c r="C46" s="20"/>
      <c r="D46" s="26">
        <f>D18-D44</f>
        <v>13477.907919999969</v>
      </c>
      <c r="E46" s="20"/>
    </row>
    <row r="47" spans="1:5" x14ac:dyDescent="0.25">
      <c r="A47" s="20">
        <v>9</v>
      </c>
      <c r="B47" s="22" t="s">
        <v>45</v>
      </c>
      <c r="C47" s="20"/>
      <c r="D47" s="26">
        <f>D10+D46</f>
        <v>111704.19791999996</v>
      </c>
      <c r="E47" s="20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3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3">
    <mergeCell ref="D8:E8"/>
    <mergeCell ref="A5:C5"/>
    <mergeCell ref="D7:E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9" workbookViewId="0">
      <selection activeCell="G9" sqref="G9"/>
    </sheetView>
  </sheetViews>
  <sheetFormatPr defaultRowHeight="15" x14ac:dyDescent="0.25"/>
  <cols>
    <col min="1" max="1" width="7.5703125" customWidth="1"/>
    <col min="2" max="2" width="45.7109375" customWidth="1"/>
    <col min="4" max="4" width="12.140625" customWidth="1"/>
    <col min="5" max="5" width="11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191</v>
      </c>
    </row>
    <row r="5" spans="1:5" x14ac:dyDescent="0.25">
      <c r="A5" s="594"/>
      <c r="B5" s="594"/>
      <c r="C5" s="594"/>
      <c r="D5" s="453"/>
      <c r="E5" s="44"/>
    </row>
    <row r="6" spans="1:5" ht="15.75" x14ac:dyDescent="0.25">
      <c r="A6" s="2"/>
      <c r="B6" s="457" t="s">
        <v>3</v>
      </c>
      <c r="C6" s="458" t="s">
        <v>4</v>
      </c>
      <c r="D6" s="599" t="s">
        <v>5</v>
      </c>
      <c r="E6" s="600"/>
    </row>
    <row r="7" spans="1:5" ht="15.75" x14ac:dyDescent="0.25">
      <c r="A7" s="463"/>
      <c r="B7" s="6" t="s">
        <v>6</v>
      </c>
      <c r="C7" s="7" t="s">
        <v>7</v>
      </c>
      <c r="D7" s="597" t="s">
        <v>132</v>
      </c>
      <c r="E7" s="598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8</v>
      </c>
      <c r="C9" s="9"/>
      <c r="D9" s="10">
        <v>-8297.58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1061.79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597.9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f>11497.68*2</f>
        <v>22995.360000000001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20361.349999999999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17</v>
      </c>
      <c r="C17" s="13"/>
      <c r="D17" s="19">
        <f>D15</f>
        <v>20361.349999999999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31"/>
      <c r="B19" s="21" t="s">
        <v>18</v>
      </c>
      <c r="C19" s="31"/>
      <c r="D19" s="22"/>
      <c r="E19" s="464" t="s">
        <v>19</v>
      </c>
    </row>
    <row r="20" spans="1:5" x14ac:dyDescent="0.25">
      <c r="A20" s="465" t="s">
        <v>20</v>
      </c>
      <c r="B20" s="25" t="s">
        <v>21</v>
      </c>
      <c r="C20" s="31"/>
      <c r="D20" s="22">
        <f>D21+D25</f>
        <v>2344.14</v>
      </c>
      <c r="E20" s="26">
        <f>E21</f>
        <v>456.74219999999997</v>
      </c>
    </row>
    <row r="21" spans="1:5" x14ac:dyDescent="0.25">
      <c r="A21" s="31">
        <v>1</v>
      </c>
      <c r="B21" s="22" t="s">
        <v>22</v>
      </c>
      <c r="C21" s="31" t="s">
        <v>13</v>
      </c>
      <c r="D21" s="22">
        <f>D22</f>
        <v>2261.1</v>
      </c>
      <c r="E21" s="26">
        <f>E22</f>
        <v>456.74219999999997</v>
      </c>
    </row>
    <row r="22" spans="1:5" x14ac:dyDescent="0.25">
      <c r="A22" s="31"/>
      <c r="B22" s="31" t="s">
        <v>23</v>
      </c>
      <c r="C22" s="31"/>
      <c r="D22" s="31">
        <v>2261.1</v>
      </c>
      <c r="E22" s="32">
        <f>D22*20.2%</f>
        <v>456.74219999999997</v>
      </c>
    </row>
    <row r="23" spans="1:5" x14ac:dyDescent="0.25">
      <c r="A23" s="31"/>
      <c r="B23" s="31" t="s">
        <v>24</v>
      </c>
      <c r="C23" s="31"/>
      <c r="D23" s="473"/>
      <c r="E23" s="32"/>
    </row>
    <row r="24" spans="1:5" x14ac:dyDescent="0.25">
      <c r="A24" s="31"/>
      <c r="B24" s="31" t="s">
        <v>25</v>
      </c>
      <c r="C24" s="31"/>
      <c r="D24" s="31"/>
      <c r="E24" s="32"/>
    </row>
    <row r="25" spans="1:5" x14ac:dyDescent="0.25">
      <c r="A25" s="31">
        <v>2</v>
      </c>
      <c r="B25" s="31" t="s">
        <v>26</v>
      </c>
      <c r="C25" s="31"/>
      <c r="D25" s="31">
        <v>83.04</v>
      </c>
      <c r="E25" s="32"/>
    </row>
    <row r="26" spans="1:5" x14ac:dyDescent="0.25">
      <c r="A26" s="465" t="s">
        <v>27</v>
      </c>
      <c r="B26" s="30" t="s">
        <v>28</v>
      </c>
      <c r="C26" s="31"/>
      <c r="D26" s="22">
        <f>D27+D28</f>
        <v>5688.54</v>
      </c>
      <c r="E26" s="26">
        <f>E27</f>
        <v>1142.9766</v>
      </c>
    </row>
    <row r="27" spans="1:5" x14ac:dyDescent="0.25">
      <c r="A27" s="31">
        <v>1</v>
      </c>
      <c r="B27" s="31" t="s">
        <v>29</v>
      </c>
      <c r="C27" s="31"/>
      <c r="D27" s="31">
        <v>5658.3</v>
      </c>
      <c r="E27" s="32">
        <f>D27*20.2%</f>
        <v>1142.9766</v>
      </c>
    </row>
    <row r="28" spans="1:5" x14ac:dyDescent="0.25">
      <c r="A28" s="31">
        <v>2</v>
      </c>
      <c r="B28" s="31" t="s">
        <v>26</v>
      </c>
      <c r="C28" s="31"/>
      <c r="D28" s="31">
        <v>30.24</v>
      </c>
      <c r="E28" s="31"/>
    </row>
    <row r="29" spans="1:5" x14ac:dyDescent="0.25">
      <c r="A29" s="465" t="s">
        <v>30</v>
      </c>
      <c r="B29" s="22" t="s">
        <v>31</v>
      </c>
      <c r="C29" s="31"/>
      <c r="D29" s="26">
        <f>D30+D31+D32+D33+D34+D35+D36</f>
        <v>2891.1575000000003</v>
      </c>
      <c r="E29" s="31"/>
    </row>
    <row r="30" spans="1:5" x14ac:dyDescent="0.25">
      <c r="A30" s="31"/>
      <c r="B30" s="31" t="s">
        <v>32</v>
      </c>
      <c r="C30" s="31"/>
      <c r="D30" s="32">
        <f>D17*5%</f>
        <v>1018.0675</v>
      </c>
      <c r="E30" s="31"/>
    </row>
    <row r="31" spans="1:5" x14ac:dyDescent="0.25">
      <c r="A31" s="31"/>
      <c r="B31" s="31" t="s">
        <v>33</v>
      </c>
      <c r="C31" s="31"/>
      <c r="D31" s="31">
        <v>97.79</v>
      </c>
      <c r="E31" s="31"/>
    </row>
    <row r="32" spans="1:5" x14ac:dyDescent="0.25">
      <c r="A32" s="31"/>
      <c r="B32" s="31" t="s">
        <v>34</v>
      </c>
      <c r="C32" s="31"/>
      <c r="D32" s="32">
        <f>469.01+466.25</f>
        <v>935.26</v>
      </c>
      <c r="E32" s="31"/>
    </row>
    <row r="33" spans="1:5" x14ac:dyDescent="0.25">
      <c r="A33" s="31"/>
      <c r="B33" s="31" t="s">
        <v>35</v>
      </c>
      <c r="C33" s="31"/>
      <c r="D33" s="31">
        <f>34.9+14.44</f>
        <v>49.339999999999996</v>
      </c>
      <c r="E33" s="31"/>
    </row>
    <row r="34" spans="1:5" x14ac:dyDescent="0.25">
      <c r="A34" s="31"/>
      <c r="B34" s="31" t="s">
        <v>36</v>
      </c>
      <c r="C34" s="31"/>
      <c r="D34" s="31">
        <v>285.66000000000003</v>
      </c>
      <c r="E34" s="31"/>
    </row>
    <row r="35" spans="1:5" x14ac:dyDescent="0.25">
      <c r="A35" s="31"/>
      <c r="B35" s="31" t="s">
        <v>67</v>
      </c>
      <c r="C35" s="31"/>
      <c r="D35" s="31">
        <v>0</v>
      </c>
      <c r="E35" s="31"/>
    </row>
    <row r="36" spans="1:5" x14ac:dyDescent="0.25">
      <c r="A36" s="31"/>
      <c r="B36" s="31" t="s">
        <v>38</v>
      </c>
      <c r="C36" s="31"/>
      <c r="D36" s="31">
        <f>258.64+246.4</f>
        <v>505.03999999999996</v>
      </c>
      <c r="E36" s="31"/>
    </row>
    <row r="37" spans="1:5" x14ac:dyDescent="0.25">
      <c r="A37" s="31">
        <v>4</v>
      </c>
      <c r="B37" s="22" t="s">
        <v>39</v>
      </c>
      <c r="C37" s="31"/>
      <c r="D37" s="26">
        <f>D38+D39</f>
        <v>3851.4700000000003</v>
      </c>
      <c r="E37" s="26">
        <f>E38</f>
        <v>642.32767999999999</v>
      </c>
    </row>
    <row r="38" spans="1:5" x14ac:dyDescent="0.25">
      <c r="A38" s="31"/>
      <c r="B38" s="31" t="s">
        <v>40</v>
      </c>
      <c r="C38" s="31"/>
      <c r="D38" s="32">
        <v>3179.84</v>
      </c>
      <c r="E38" s="32">
        <f>D38*20.2%</f>
        <v>642.32767999999999</v>
      </c>
    </row>
    <row r="39" spans="1:5" x14ac:dyDescent="0.25">
      <c r="A39" s="31"/>
      <c r="B39" s="31" t="s">
        <v>41</v>
      </c>
      <c r="C39" s="31"/>
      <c r="D39" s="32">
        <v>671.63</v>
      </c>
      <c r="E39" s="31"/>
    </row>
    <row r="40" spans="1:5" x14ac:dyDescent="0.25">
      <c r="A40" s="31">
        <v>5</v>
      </c>
      <c r="B40" s="22" t="s">
        <v>42</v>
      </c>
      <c r="C40" s="31"/>
      <c r="D40" s="26">
        <f>D20+E20+D26+E26+D29+D37+E37</f>
        <v>17017.35398</v>
      </c>
      <c r="E40" s="31"/>
    </row>
    <row r="41" spans="1:5" x14ac:dyDescent="0.25">
      <c r="A41" s="31">
        <v>6</v>
      </c>
      <c r="B41" s="31" t="s">
        <v>43</v>
      </c>
      <c r="C41" s="31"/>
      <c r="D41" s="26">
        <f>D17*6%</f>
        <v>1221.6809999999998</v>
      </c>
      <c r="E41" s="31"/>
    </row>
    <row r="42" spans="1:5" x14ac:dyDescent="0.25">
      <c r="A42" s="31">
        <v>7</v>
      </c>
      <c r="B42" s="22" t="s">
        <v>44</v>
      </c>
      <c r="C42" s="31"/>
      <c r="D42" s="26">
        <f>D40+D41</f>
        <v>18239.03498</v>
      </c>
      <c r="E42" s="31"/>
    </row>
    <row r="43" spans="1:5" x14ac:dyDescent="0.25">
      <c r="A43" s="31"/>
      <c r="B43" s="31"/>
      <c r="C43" s="31"/>
      <c r="D43" s="31"/>
      <c r="E43" s="31"/>
    </row>
    <row r="44" spans="1:5" x14ac:dyDescent="0.25">
      <c r="A44" s="31">
        <v>8</v>
      </c>
      <c r="B44" s="22" t="s">
        <v>53</v>
      </c>
      <c r="C44" s="31"/>
      <c r="D44" s="26">
        <f>D17-D42</f>
        <v>2122.3150199999982</v>
      </c>
      <c r="E44" s="31"/>
    </row>
    <row r="45" spans="1:5" x14ac:dyDescent="0.25">
      <c r="A45" s="31">
        <v>9</v>
      </c>
      <c r="B45" s="22" t="s">
        <v>45</v>
      </c>
      <c r="C45" s="31"/>
      <c r="D45" s="26">
        <f>D9+D44</f>
        <v>-6175.2649800000017</v>
      </c>
      <c r="E45" s="31"/>
    </row>
    <row r="46" spans="1:5" x14ac:dyDescent="0.25">
      <c r="A46" s="399"/>
      <c r="B46" s="34"/>
      <c r="C46" s="399"/>
      <c r="D46" s="35"/>
      <c r="E46" s="399"/>
    </row>
    <row r="47" spans="1:5" x14ac:dyDescent="0.25">
      <c r="A47" s="399"/>
      <c r="B47" s="34"/>
      <c r="C47" s="399"/>
      <c r="D47" s="35"/>
      <c r="E47" s="399"/>
    </row>
    <row r="48" spans="1:5" x14ac:dyDescent="0.25">
      <c r="A48" s="237"/>
      <c r="B48" s="237" t="s">
        <v>46</v>
      </c>
      <c r="C48" s="237"/>
      <c r="D48" s="237" t="s">
        <v>47</v>
      </c>
      <c r="E48" s="237"/>
    </row>
    <row r="49" spans="1:5" x14ac:dyDescent="0.25">
      <c r="A49" s="237"/>
      <c r="B49" s="237" t="s">
        <v>48</v>
      </c>
      <c r="C49" s="237"/>
      <c r="D49" s="237" t="s">
        <v>49</v>
      </c>
      <c r="E49" s="237"/>
    </row>
  </sheetData>
  <mergeCells count="3">
    <mergeCell ref="A5:C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8" workbookViewId="0">
      <selection activeCell="H6" sqref="H6"/>
    </sheetView>
  </sheetViews>
  <sheetFormatPr defaultRowHeight="15" x14ac:dyDescent="0.25"/>
  <cols>
    <col min="2" max="2" width="44.7109375" customWidth="1"/>
    <col min="4" max="4" width="11" customWidth="1"/>
    <col min="5" max="5" width="10.5703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192</v>
      </c>
    </row>
    <row r="5" spans="1:5" x14ac:dyDescent="0.25">
      <c r="A5" s="594"/>
      <c r="B5" s="594"/>
      <c r="C5" s="594"/>
      <c r="D5" s="453"/>
      <c r="E5" s="44"/>
    </row>
    <row r="6" spans="1:5" ht="15.75" x14ac:dyDescent="0.25">
      <c r="A6" s="2"/>
      <c r="B6" s="457" t="s">
        <v>3</v>
      </c>
      <c r="C6" s="458" t="s">
        <v>4</v>
      </c>
      <c r="D6" s="599" t="s">
        <v>5</v>
      </c>
      <c r="E6" s="600"/>
    </row>
    <row r="7" spans="1:5" ht="15.75" x14ac:dyDescent="0.25">
      <c r="A7" s="463"/>
      <c r="B7" s="6" t="s">
        <v>6</v>
      </c>
      <c r="C7" s="7" t="s">
        <v>7</v>
      </c>
      <c r="D7" s="597" t="s">
        <v>120</v>
      </c>
      <c r="E7" s="598"/>
    </row>
    <row r="8" spans="1:5" x14ac:dyDescent="0.25">
      <c r="A8" s="13"/>
      <c r="B8" s="14" t="s">
        <v>8</v>
      </c>
      <c r="C8" s="13"/>
      <c r="D8" s="462">
        <v>-31554.92</v>
      </c>
      <c r="E8" s="398"/>
    </row>
    <row r="9" spans="1:5" x14ac:dyDescent="0.25">
      <c r="A9" s="13"/>
      <c r="B9" s="14" t="s">
        <v>9</v>
      </c>
      <c r="C9" s="13" t="s">
        <v>10</v>
      </c>
      <c r="D9" s="13">
        <v>1542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636.69000000000005</v>
      </c>
      <c r="E10" s="13"/>
    </row>
    <row r="11" spans="1:5" x14ac:dyDescent="0.25">
      <c r="A11" s="13"/>
      <c r="B11" s="15" t="s">
        <v>12</v>
      </c>
      <c r="C11" s="13" t="s">
        <v>13</v>
      </c>
      <c r="D11" s="13">
        <f>12243.54*2</f>
        <v>24487.08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32832.18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17</v>
      </c>
      <c r="C16" s="13"/>
      <c r="D16" s="19">
        <f>D14</f>
        <v>32832.18</v>
      </c>
      <c r="E16" s="13"/>
    </row>
    <row r="17" spans="1:5" ht="15.75" x14ac:dyDescent="0.25">
      <c r="A17" s="13"/>
      <c r="B17" s="16"/>
      <c r="C17" s="13"/>
      <c r="D17" s="19"/>
      <c r="E17" s="13"/>
    </row>
    <row r="18" spans="1:5" ht="15.75" x14ac:dyDescent="0.25">
      <c r="A18" s="31"/>
      <c r="B18" s="21" t="s">
        <v>18</v>
      </c>
      <c r="C18" s="31"/>
      <c r="D18" s="22"/>
      <c r="E18" s="464" t="s">
        <v>19</v>
      </c>
    </row>
    <row r="19" spans="1:5" x14ac:dyDescent="0.25">
      <c r="A19" s="465" t="s">
        <v>20</v>
      </c>
      <c r="B19" s="25" t="s">
        <v>21</v>
      </c>
      <c r="C19" s="31"/>
      <c r="D19" s="22">
        <f>D20+D24</f>
        <v>7235.08</v>
      </c>
      <c r="E19" s="26">
        <f>E20</f>
        <v>1443.6253199999999</v>
      </c>
    </row>
    <row r="20" spans="1:5" x14ac:dyDescent="0.25">
      <c r="A20" s="31">
        <v>1</v>
      </c>
      <c r="B20" s="22" t="s">
        <v>22</v>
      </c>
      <c r="C20" s="31" t="s">
        <v>13</v>
      </c>
      <c r="D20" s="22">
        <f>D21</f>
        <v>7146.66</v>
      </c>
      <c r="E20" s="26">
        <f>E21</f>
        <v>1443.6253199999999</v>
      </c>
    </row>
    <row r="21" spans="1:5" x14ac:dyDescent="0.25">
      <c r="A21" s="31"/>
      <c r="B21" s="31" t="s">
        <v>23</v>
      </c>
      <c r="C21" s="31"/>
      <c r="D21" s="31">
        <v>7146.66</v>
      </c>
      <c r="E21" s="32">
        <f>D21*20.2%</f>
        <v>1443.6253199999999</v>
      </c>
    </row>
    <row r="22" spans="1:5" x14ac:dyDescent="0.25">
      <c r="A22" s="31"/>
      <c r="B22" s="31" t="s">
        <v>24</v>
      </c>
      <c r="C22" s="31"/>
      <c r="D22" s="473"/>
      <c r="E22" s="32"/>
    </row>
    <row r="23" spans="1:5" x14ac:dyDescent="0.25">
      <c r="A23" s="31"/>
      <c r="B23" s="31" t="s">
        <v>25</v>
      </c>
      <c r="C23" s="31"/>
      <c r="D23" s="31"/>
      <c r="E23" s="32"/>
    </row>
    <row r="24" spans="1:5" x14ac:dyDescent="0.25">
      <c r="A24" s="31">
        <v>2</v>
      </c>
      <c r="B24" s="31" t="s">
        <v>26</v>
      </c>
      <c r="C24" s="31"/>
      <c r="D24" s="31">
        <v>88.42</v>
      </c>
      <c r="E24" s="32"/>
    </row>
    <row r="25" spans="1:5" x14ac:dyDescent="0.25">
      <c r="A25" s="465" t="s">
        <v>27</v>
      </c>
      <c r="B25" s="30" t="s">
        <v>28</v>
      </c>
      <c r="C25" s="31"/>
      <c r="D25" s="22">
        <f>D26+D27</f>
        <v>8693.1500000000015</v>
      </c>
      <c r="E25" s="26">
        <f>E26</f>
        <v>1217.12878</v>
      </c>
    </row>
    <row r="26" spans="1:5" x14ac:dyDescent="0.25">
      <c r="A26" s="31">
        <v>1</v>
      </c>
      <c r="B26" s="31" t="s">
        <v>29</v>
      </c>
      <c r="C26" s="31"/>
      <c r="D26" s="31">
        <v>6025.39</v>
      </c>
      <c r="E26" s="32">
        <f>D26*20.2%</f>
        <v>1217.12878</v>
      </c>
    </row>
    <row r="27" spans="1:5" x14ac:dyDescent="0.25">
      <c r="A27" s="31">
        <v>2</v>
      </c>
      <c r="B27" s="31" t="s">
        <v>26</v>
      </c>
      <c r="C27" s="31"/>
      <c r="D27" s="31">
        <v>2667.76</v>
      </c>
      <c r="E27" s="31"/>
    </row>
    <row r="28" spans="1:5" x14ac:dyDescent="0.25">
      <c r="A28" s="465" t="s">
        <v>30</v>
      </c>
      <c r="B28" s="22" t="s">
        <v>31</v>
      </c>
      <c r="C28" s="31"/>
      <c r="D28" s="26">
        <f>D29+D30+D31+D32+D33+D34</f>
        <v>12758.049000000001</v>
      </c>
      <c r="E28" s="31"/>
    </row>
    <row r="29" spans="1:5" x14ac:dyDescent="0.25">
      <c r="A29" s="31"/>
      <c r="B29" s="31" t="s">
        <v>32</v>
      </c>
      <c r="C29" s="31"/>
      <c r="D29" s="32">
        <f>D16*5%</f>
        <v>1641.6090000000002</v>
      </c>
      <c r="E29" s="31"/>
    </row>
    <row r="30" spans="1:5" x14ac:dyDescent="0.25">
      <c r="A30" s="31"/>
      <c r="B30" s="31" t="s">
        <v>62</v>
      </c>
      <c r="C30" s="31"/>
      <c r="D30" s="31">
        <v>181.47</v>
      </c>
      <c r="E30" s="31"/>
    </row>
    <row r="31" spans="1:5" x14ac:dyDescent="0.25">
      <c r="A31" s="31"/>
      <c r="B31" s="31" t="s">
        <v>34</v>
      </c>
      <c r="C31" s="31"/>
      <c r="D31" s="32">
        <f>499.44+496.5</f>
        <v>995.94</v>
      </c>
      <c r="E31" s="31"/>
    </row>
    <row r="32" spans="1:5" x14ac:dyDescent="0.25">
      <c r="A32" s="31"/>
      <c r="B32" s="31" t="s">
        <v>67</v>
      </c>
      <c r="C32" s="31"/>
      <c r="D32" s="31">
        <v>9097.0400000000009</v>
      </c>
      <c r="E32" s="31"/>
    </row>
    <row r="33" spans="1:5" x14ac:dyDescent="0.25">
      <c r="A33" s="31"/>
      <c r="B33" s="31" t="s">
        <v>36</v>
      </c>
      <c r="C33" s="31"/>
      <c r="D33" s="31">
        <v>304.19</v>
      </c>
      <c r="E33" s="31"/>
    </row>
    <row r="34" spans="1:5" x14ac:dyDescent="0.25">
      <c r="A34" s="31"/>
      <c r="B34" s="31" t="s">
        <v>38</v>
      </c>
      <c r="C34" s="31"/>
      <c r="D34" s="31">
        <f>275.42+262.38</f>
        <v>537.79999999999995</v>
      </c>
      <c r="E34" s="31"/>
    </row>
    <row r="35" spans="1:5" x14ac:dyDescent="0.25">
      <c r="A35" s="31">
        <v>4</v>
      </c>
      <c r="B35" s="22" t="s">
        <v>39</v>
      </c>
      <c r="C35" s="31"/>
      <c r="D35" s="26">
        <f>D36+D37</f>
        <v>4153.17</v>
      </c>
      <c r="E35" s="26">
        <f>E36</f>
        <v>684.00027999999998</v>
      </c>
    </row>
    <row r="36" spans="1:5" x14ac:dyDescent="0.25">
      <c r="A36" s="31"/>
      <c r="B36" s="31" t="s">
        <v>40</v>
      </c>
      <c r="C36" s="31"/>
      <c r="D36" s="32">
        <v>3386.14</v>
      </c>
      <c r="E36" s="32">
        <f>D36*20.2%</f>
        <v>684.00027999999998</v>
      </c>
    </row>
    <row r="37" spans="1:5" x14ac:dyDescent="0.25">
      <c r="A37" s="31"/>
      <c r="B37" s="31" t="s">
        <v>41</v>
      </c>
      <c r="C37" s="31"/>
      <c r="D37" s="32">
        <v>767.03</v>
      </c>
      <c r="E37" s="31"/>
    </row>
    <row r="38" spans="1:5" x14ac:dyDescent="0.25">
      <c r="A38" s="31">
        <v>5</v>
      </c>
      <c r="B38" s="22" t="s">
        <v>42</v>
      </c>
      <c r="C38" s="31"/>
      <c r="D38" s="26">
        <f>D19+E19+D25+E25+D28+D35+E35</f>
        <v>36184.203379999999</v>
      </c>
      <c r="E38" s="31"/>
    </row>
    <row r="39" spans="1:5" x14ac:dyDescent="0.25">
      <c r="A39" s="31">
        <v>6</v>
      </c>
      <c r="B39" s="31" t="s">
        <v>43</v>
      </c>
      <c r="C39" s="31"/>
      <c r="D39" s="26">
        <f>D16*6%</f>
        <v>1969.9307999999999</v>
      </c>
      <c r="E39" s="31"/>
    </row>
    <row r="40" spans="1:5" x14ac:dyDescent="0.25">
      <c r="A40" s="31">
        <v>7</v>
      </c>
      <c r="B40" s="22" t="s">
        <v>44</v>
      </c>
      <c r="C40" s="31"/>
      <c r="D40" s="26">
        <f>D38+D39</f>
        <v>38154.134180000001</v>
      </c>
      <c r="E40" s="31"/>
    </row>
    <row r="41" spans="1:5" x14ac:dyDescent="0.25">
      <c r="A41" s="31"/>
      <c r="B41" s="31"/>
      <c r="C41" s="31"/>
      <c r="D41" s="31"/>
      <c r="E41" s="31"/>
    </row>
    <row r="42" spans="1:5" x14ac:dyDescent="0.25">
      <c r="A42" s="31">
        <v>8</v>
      </c>
      <c r="B42" s="22" t="s">
        <v>53</v>
      </c>
      <c r="C42" s="31"/>
      <c r="D42" s="26">
        <f>D16-D40</f>
        <v>-5321.9541800000006</v>
      </c>
      <c r="E42" s="31"/>
    </row>
    <row r="43" spans="1:5" x14ac:dyDescent="0.25">
      <c r="A43" s="31">
        <v>9</v>
      </c>
      <c r="B43" s="22" t="s">
        <v>45</v>
      </c>
      <c r="C43" s="31"/>
      <c r="D43" s="26">
        <f>D8+D42</f>
        <v>-36876.874179999999</v>
      </c>
      <c r="E43" s="31"/>
    </row>
    <row r="44" spans="1:5" x14ac:dyDescent="0.25">
      <c r="A44" s="399"/>
      <c r="B44" s="34"/>
      <c r="C44" s="399"/>
      <c r="D44" s="35"/>
      <c r="E44" s="399"/>
    </row>
    <row r="45" spans="1:5" x14ac:dyDescent="0.25">
      <c r="A45" s="399"/>
      <c r="B45" s="34"/>
      <c r="C45" s="399"/>
      <c r="D45" s="35"/>
      <c r="E45" s="399"/>
    </row>
    <row r="46" spans="1:5" x14ac:dyDescent="0.25">
      <c r="A46" s="237"/>
      <c r="B46" s="237" t="s">
        <v>46</v>
      </c>
      <c r="C46" s="237"/>
      <c r="D46" s="237" t="s">
        <v>47</v>
      </c>
      <c r="E46" s="237"/>
    </row>
    <row r="47" spans="1:5" x14ac:dyDescent="0.25">
      <c r="A47" s="237"/>
      <c r="B47" s="237" t="s">
        <v>48</v>
      </c>
      <c r="C47" s="237"/>
      <c r="D47" s="237" t="s">
        <v>49</v>
      </c>
      <c r="E47" s="237"/>
    </row>
  </sheetData>
  <mergeCells count="3">
    <mergeCell ref="A5:C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1" workbookViewId="0">
      <selection activeCell="K6" sqref="K6"/>
    </sheetView>
  </sheetViews>
  <sheetFormatPr defaultRowHeight="15" x14ac:dyDescent="0.25"/>
  <cols>
    <col min="2" max="2" width="39.140625" customWidth="1"/>
    <col min="4" max="4" width="11.42578125" customWidth="1"/>
    <col min="5" max="5" width="11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193</v>
      </c>
    </row>
    <row r="4" spans="1:5" x14ac:dyDescent="0.25">
      <c r="A4" s="594"/>
      <c r="B4" s="594"/>
      <c r="C4" s="594"/>
      <c r="D4" s="453"/>
      <c r="E4" s="44"/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463"/>
      <c r="B6" s="6" t="s">
        <v>6</v>
      </c>
      <c r="C6" s="7" t="s">
        <v>7</v>
      </c>
      <c r="D6" s="597" t="s">
        <v>132</v>
      </c>
      <c r="E6" s="598"/>
    </row>
    <row r="7" spans="1:5" x14ac:dyDescent="0.25">
      <c r="A7" s="13"/>
      <c r="B7" s="480" t="s">
        <v>134</v>
      </c>
      <c r="C7" s="13"/>
      <c r="D7" s="486">
        <v>-14665.08</v>
      </c>
      <c r="E7" s="398"/>
    </row>
    <row r="8" spans="1:5" x14ac:dyDescent="0.25">
      <c r="A8" s="9"/>
      <c r="B8" s="477" t="s">
        <v>135</v>
      </c>
      <c r="C8" s="9"/>
      <c r="D8" s="10">
        <v>15766.94</v>
      </c>
      <c r="E8" s="11"/>
    </row>
    <row r="9" spans="1:5" x14ac:dyDescent="0.25">
      <c r="A9" s="13"/>
      <c r="B9" s="14" t="s">
        <v>9</v>
      </c>
      <c r="C9" s="13" t="s">
        <v>10</v>
      </c>
      <c r="D9" s="13">
        <v>1287.74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727.95</v>
      </c>
      <c r="E10" s="13"/>
    </row>
    <row r="11" spans="1:5" x14ac:dyDescent="0.25">
      <c r="A11" s="13"/>
      <c r="B11" s="15" t="s">
        <v>12</v>
      </c>
      <c r="C11" s="13" t="s">
        <v>13</v>
      </c>
      <c r="D11" s="19">
        <f>13801.75*2</f>
        <v>27603.5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24729.42</v>
      </c>
      <c r="E14" s="13"/>
    </row>
    <row r="15" spans="1:5" x14ac:dyDescent="0.25">
      <c r="A15" s="13">
        <v>2</v>
      </c>
      <c r="B15" s="13" t="s">
        <v>16</v>
      </c>
      <c r="C15" s="13"/>
      <c r="D15" s="13">
        <v>9060.9500000000007</v>
      </c>
      <c r="E15" s="13"/>
    </row>
    <row r="16" spans="1:5" ht="15.75" x14ac:dyDescent="0.25">
      <c r="A16" s="13"/>
      <c r="B16" s="16" t="s">
        <v>17</v>
      </c>
      <c r="C16" s="13"/>
      <c r="D16" s="19">
        <f>D14+D15</f>
        <v>33790.369999999995</v>
      </c>
      <c r="E16" s="13"/>
    </row>
    <row r="17" spans="1:5" ht="15.75" x14ac:dyDescent="0.25">
      <c r="A17" s="13"/>
      <c r="B17" s="16"/>
      <c r="C17" s="13"/>
      <c r="D17" s="19"/>
      <c r="E17" s="13"/>
    </row>
    <row r="18" spans="1:5" ht="15.75" x14ac:dyDescent="0.25">
      <c r="A18" s="31"/>
      <c r="B18" s="21" t="s">
        <v>18</v>
      </c>
      <c r="C18" s="31"/>
      <c r="D18" s="22"/>
      <c r="E18" s="464" t="s">
        <v>19</v>
      </c>
    </row>
    <row r="19" spans="1:5" x14ac:dyDescent="0.25">
      <c r="A19" s="465" t="s">
        <v>20</v>
      </c>
      <c r="B19" s="25" t="s">
        <v>21</v>
      </c>
      <c r="C19" s="31"/>
      <c r="D19" s="22">
        <f>D20+D24</f>
        <v>6274.96</v>
      </c>
      <c r="E19" s="26">
        <f>E20</f>
        <v>1247.1197199999999</v>
      </c>
    </row>
    <row r="20" spans="1:5" x14ac:dyDescent="0.25">
      <c r="A20" s="31">
        <v>1</v>
      </c>
      <c r="B20" s="22" t="s">
        <v>22</v>
      </c>
      <c r="C20" s="31" t="s">
        <v>13</v>
      </c>
      <c r="D20" s="22">
        <f>D21</f>
        <v>6173.86</v>
      </c>
      <c r="E20" s="26">
        <f>E21</f>
        <v>1247.1197199999999</v>
      </c>
    </row>
    <row r="21" spans="1:5" x14ac:dyDescent="0.25">
      <c r="A21" s="31"/>
      <c r="B21" s="31" t="s">
        <v>23</v>
      </c>
      <c r="C21" s="13"/>
      <c r="D21" s="13">
        <v>6173.86</v>
      </c>
      <c r="E21" s="17">
        <f>D21*20.2%</f>
        <v>1247.1197199999999</v>
      </c>
    </row>
    <row r="22" spans="1:5" x14ac:dyDescent="0.25">
      <c r="A22" s="31"/>
      <c r="B22" s="31" t="s">
        <v>24</v>
      </c>
      <c r="C22" s="13"/>
      <c r="D22" s="13">
        <v>0</v>
      </c>
      <c r="E22" s="17">
        <f>D22*26.2%</f>
        <v>0</v>
      </c>
    </row>
    <row r="23" spans="1:5" x14ac:dyDescent="0.25">
      <c r="A23" s="31"/>
      <c r="B23" s="31" t="s">
        <v>25</v>
      </c>
      <c r="C23" s="13"/>
      <c r="D23" s="13">
        <v>0</v>
      </c>
      <c r="E23" s="17">
        <f>D23*26.2%</f>
        <v>0</v>
      </c>
    </row>
    <row r="24" spans="1:5" x14ac:dyDescent="0.25">
      <c r="A24" s="31">
        <v>2</v>
      </c>
      <c r="B24" s="31" t="s">
        <v>26</v>
      </c>
      <c r="C24" s="13"/>
      <c r="D24" s="13">
        <v>101.1</v>
      </c>
      <c r="E24" s="17"/>
    </row>
    <row r="25" spans="1:5" x14ac:dyDescent="0.25">
      <c r="A25" s="465" t="s">
        <v>27</v>
      </c>
      <c r="B25" s="30" t="s">
        <v>28</v>
      </c>
      <c r="C25" s="13"/>
      <c r="D25" s="475">
        <f>D26+D27</f>
        <v>6925.85</v>
      </c>
      <c r="E25" s="395">
        <f>E26</f>
        <v>1391.5860799999998</v>
      </c>
    </row>
    <row r="26" spans="1:5" x14ac:dyDescent="0.25">
      <c r="A26" s="31">
        <v>1</v>
      </c>
      <c r="B26" s="31" t="s">
        <v>29</v>
      </c>
      <c r="C26" s="13"/>
      <c r="D26" s="13">
        <v>6889.04</v>
      </c>
      <c r="E26" s="17">
        <f>D26*20.2%</f>
        <v>1391.5860799999998</v>
      </c>
    </row>
    <row r="27" spans="1:5" x14ac:dyDescent="0.25">
      <c r="A27" s="31">
        <v>2</v>
      </c>
      <c r="B27" s="31" t="s">
        <v>26</v>
      </c>
      <c r="C27" s="13"/>
      <c r="D27" s="456">
        <v>36.81</v>
      </c>
      <c r="E27" s="13"/>
    </row>
    <row r="28" spans="1:5" x14ac:dyDescent="0.25">
      <c r="A28" s="465" t="s">
        <v>30</v>
      </c>
      <c r="B28" s="19" t="s">
        <v>31</v>
      </c>
      <c r="C28" s="13"/>
      <c r="D28" s="18">
        <f>D29+D30+D31+D32+D33+D34+D35</f>
        <v>3885.6884999999997</v>
      </c>
      <c r="E28" s="13"/>
    </row>
    <row r="29" spans="1:5" x14ac:dyDescent="0.25">
      <c r="A29" s="31"/>
      <c r="B29" s="13" t="s">
        <v>32</v>
      </c>
      <c r="C29" s="13"/>
      <c r="D29" s="17">
        <f>D16*5%</f>
        <v>1689.5184999999999</v>
      </c>
      <c r="E29" s="13"/>
    </row>
    <row r="30" spans="1:5" x14ac:dyDescent="0.25">
      <c r="A30" s="31"/>
      <c r="B30" s="13" t="s">
        <v>33</v>
      </c>
      <c r="C30" s="13"/>
      <c r="D30" s="13">
        <v>94.79</v>
      </c>
      <c r="E30" s="13"/>
    </row>
    <row r="31" spans="1:5" x14ac:dyDescent="0.25">
      <c r="A31" s="31"/>
      <c r="B31" s="13" t="s">
        <v>34</v>
      </c>
      <c r="C31" s="13"/>
      <c r="D31" s="13">
        <f>571.03+567.67</f>
        <v>1138.6999999999998</v>
      </c>
      <c r="E31" s="13"/>
    </row>
    <row r="32" spans="1:5" x14ac:dyDescent="0.25">
      <c r="A32" s="31"/>
      <c r="B32" s="13" t="s">
        <v>52</v>
      </c>
      <c r="C32" s="13"/>
      <c r="D32" s="13">
        <v>0</v>
      </c>
      <c r="E32" s="13"/>
    </row>
    <row r="33" spans="1:5" x14ac:dyDescent="0.25">
      <c r="A33" s="31"/>
      <c r="B33" s="31" t="s">
        <v>36</v>
      </c>
      <c r="C33" s="13"/>
      <c r="D33" s="13">
        <v>347.79</v>
      </c>
      <c r="E33" s="13"/>
    </row>
    <row r="34" spans="1:5" x14ac:dyDescent="0.25">
      <c r="A34" s="31"/>
      <c r="B34" s="31" t="s">
        <v>67</v>
      </c>
      <c r="C34" s="13"/>
      <c r="D34" s="13">
        <v>0</v>
      </c>
      <c r="E34" s="13"/>
    </row>
    <row r="35" spans="1:5" x14ac:dyDescent="0.25">
      <c r="A35" s="31"/>
      <c r="B35" s="13" t="s">
        <v>38</v>
      </c>
      <c r="C35" s="13"/>
      <c r="D35" s="13">
        <f>314.9+299.99</f>
        <v>614.89</v>
      </c>
      <c r="E35" s="13"/>
    </row>
    <row r="36" spans="1:5" x14ac:dyDescent="0.25">
      <c r="A36" s="31">
        <v>4</v>
      </c>
      <c r="B36" s="22" t="s">
        <v>39</v>
      </c>
      <c r="C36" s="31"/>
      <c r="D36" s="26">
        <f>D37+D38</f>
        <v>4748.4799999999996</v>
      </c>
      <c r="E36" s="26">
        <f>E37</f>
        <v>782.04299999999989</v>
      </c>
    </row>
    <row r="37" spans="1:5" x14ac:dyDescent="0.25">
      <c r="A37" s="31"/>
      <c r="B37" s="31" t="s">
        <v>40</v>
      </c>
      <c r="C37" s="31"/>
      <c r="D37" s="32">
        <v>3871.5</v>
      </c>
      <c r="E37" s="32">
        <f>D37*20.2%</f>
        <v>782.04299999999989</v>
      </c>
    </row>
    <row r="38" spans="1:5" x14ac:dyDescent="0.25">
      <c r="A38" s="31"/>
      <c r="B38" s="31" t="s">
        <v>41</v>
      </c>
      <c r="C38" s="31"/>
      <c r="D38" s="32">
        <v>876.98</v>
      </c>
      <c r="E38" s="31"/>
    </row>
    <row r="39" spans="1:5" x14ac:dyDescent="0.25">
      <c r="A39" s="31">
        <v>5</v>
      </c>
      <c r="B39" s="22" t="s">
        <v>42</v>
      </c>
      <c r="C39" s="31"/>
      <c r="D39" s="26">
        <f>D19+E19+D25+E25+D28+D36+E36</f>
        <v>25255.727299999999</v>
      </c>
      <c r="E39" s="31"/>
    </row>
    <row r="40" spans="1:5" x14ac:dyDescent="0.25">
      <c r="A40" s="31">
        <v>6</v>
      </c>
      <c r="B40" s="31" t="s">
        <v>43</v>
      </c>
      <c r="C40" s="31"/>
      <c r="D40" s="26">
        <f>D16*6%</f>
        <v>2027.4221999999997</v>
      </c>
      <c r="E40" s="31"/>
    </row>
    <row r="41" spans="1:5" x14ac:dyDescent="0.25">
      <c r="A41" s="31">
        <v>7</v>
      </c>
      <c r="B41" s="22" t="s">
        <v>44</v>
      </c>
      <c r="C41" s="31"/>
      <c r="D41" s="26">
        <f>D39+D40</f>
        <v>27283.1495</v>
      </c>
      <c r="E41" s="31"/>
    </row>
    <row r="42" spans="1:5" x14ac:dyDescent="0.25">
      <c r="A42" s="31"/>
      <c r="B42" s="31"/>
      <c r="C42" s="31"/>
      <c r="D42" s="31"/>
      <c r="E42" s="31"/>
    </row>
    <row r="43" spans="1:5" x14ac:dyDescent="0.25">
      <c r="A43" s="31">
        <v>8</v>
      </c>
      <c r="B43" s="22" t="s">
        <v>53</v>
      </c>
      <c r="C43" s="31"/>
      <c r="D43" s="26">
        <f>D14-D41</f>
        <v>-2553.7295000000013</v>
      </c>
      <c r="E43" s="31"/>
    </row>
    <row r="44" spans="1:5" x14ac:dyDescent="0.25">
      <c r="A44" s="31">
        <v>9</v>
      </c>
      <c r="B44" s="22" t="s">
        <v>45</v>
      </c>
      <c r="C44" s="31"/>
      <c r="D44" s="26">
        <f>D7+D43</f>
        <v>-17218.809500000003</v>
      </c>
      <c r="E44" s="31"/>
    </row>
    <row r="45" spans="1:5" x14ac:dyDescent="0.25">
      <c r="A45" s="399"/>
      <c r="B45" s="34" t="s">
        <v>181</v>
      </c>
      <c r="C45" s="399"/>
      <c r="D45" s="35">
        <v>12977.07</v>
      </c>
      <c r="E45" s="399"/>
    </row>
    <row r="46" spans="1:5" x14ac:dyDescent="0.25">
      <c r="A46" s="399"/>
      <c r="B46" s="34" t="s">
        <v>182</v>
      </c>
      <c r="C46" s="399"/>
      <c r="D46" s="35">
        <f>D8+D15-D45</f>
        <v>11850.82</v>
      </c>
      <c r="E46" s="399"/>
    </row>
    <row r="47" spans="1:5" x14ac:dyDescent="0.25">
      <c r="A47" s="399"/>
      <c r="B47" s="34"/>
      <c r="C47" s="399"/>
      <c r="D47" s="35"/>
      <c r="E47" s="399"/>
    </row>
    <row r="48" spans="1:5" x14ac:dyDescent="0.25">
      <c r="A48" s="237"/>
      <c r="B48" s="237" t="s">
        <v>46</v>
      </c>
      <c r="C48" s="237"/>
      <c r="D48" s="237" t="s">
        <v>47</v>
      </c>
      <c r="E48" s="237"/>
    </row>
    <row r="49" spans="1:5" x14ac:dyDescent="0.25">
      <c r="A49" s="237"/>
      <c r="B49" s="237" t="s">
        <v>48</v>
      </c>
      <c r="C49" s="237"/>
      <c r="D49" s="237" t="s">
        <v>49</v>
      </c>
      <c r="E49" s="237"/>
    </row>
  </sheetData>
  <mergeCells count="3">
    <mergeCell ref="A4:C4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2" workbookViewId="0">
      <selection activeCell="F11" sqref="F11:F12"/>
    </sheetView>
  </sheetViews>
  <sheetFormatPr defaultRowHeight="15" x14ac:dyDescent="0.25"/>
  <cols>
    <col min="2" max="2" width="41.28515625" customWidth="1"/>
    <col min="4" max="4" width="10.5703125" customWidth="1"/>
    <col min="5" max="5" width="10.425781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194</v>
      </c>
    </row>
    <row r="4" spans="1:5" x14ac:dyDescent="0.25">
      <c r="A4" s="594"/>
      <c r="B4" s="594"/>
      <c r="C4" s="594"/>
      <c r="D4" s="453"/>
      <c r="E4" s="44"/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463"/>
      <c r="B6" s="6" t="s">
        <v>6</v>
      </c>
      <c r="C6" s="7" t="s">
        <v>7</v>
      </c>
      <c r="D6" s="597" t="s">
        <v>195</v>
      </c>
      <c r="E6" s="598"/>
    </row>
    <row r="7" spans="1:5" x14ac:dyDescent="0.25">
      <c r="A7" s="9"/>
      <c r="B7" s="9"/>
      <c r="C7" s="9"/>
      <c r="D7" s="10"/>
      <c r="E7" s="11"/>
    </row>
    <row r="8" spans="1:5" x14ac:dyDescent="0.25">
      <c r="A8" s="9"/>
      <c r="B8" s="477" t="s">
        <v>134</v>
      </c>
      <c r="C8" s="9"/>
      <c r="D8" s="10">
        <v>119614.42</v>
      </c>
      <c r="E8" s="11"/>
    </row>
    <row r="9" spans="1:5" x14ac:dyDescent="0.25">
      <c r="A9" s="9"/>
      <c r="B9" s="477" t="s">
        <v>135</v>
      </c>
      <c r="C9" s="9"/>
      <c r="D9" s="10">
        <v>46343.78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5570.3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4485.1000000000004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f>86290.89*2</f>
        <v>172581.78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173892.31</v>
      </c>
      <c r="E15" s="13"/>
    </row>
    <row r="16" spans="1:5" x14ac:dyDescent="0.25">
      <c r="A16" s="13">
        <v>2</v>
      </c>
      <c r="B16" s="13" t="s">
        <v>16</v>
      </c>
      <c r="C16" s="13"/>
      <c r="D16" s="13">
        <v>47088.99</v>
      </c>
      <c r="E16" s="13"/>
    </row>
    <row r="17" spans="1:5" ht="15.75" x14ac:dyDescent="0.25">
      <c r="A17" s="13"/>
      <c r="B17" s="16" t="s">
        <v>17</v>
      </c>
      <c r="C17" s="13"/>
      <c r="D17" s="19">
        <f>D15+D16</f>
        <v>220981.3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31"/>
      <c r="B19" s="21" t="s">
        <v>18</v>
      </c>
      <c r="C19" s="31"/>
      <c r="D19" s="22"/>
      <c r="E19" s="464" t="s">
        <v>19</v>
      </c>
    </row>
    <row r="20" spans="1:5" x14ac:dyDescent="0.25">
      <c r="A20" s="465" t="s">
        <v>20</v>
      </c>
      <c r="B20" s="25" t="s">
        <v>21</v>
      </c>
      <c r="C20" s="31"/>
      <c r="D20" s="22">
        <f>D21+D25</f>
        <v>22171.07</v>
      </c>
      <c r="E20" s="26">
        <f>E21</f>
        <v>4352.734379999999</v>
      </c>
    </row>
    <row r="21" spans="1:5" x14ac:dyDescent="0.25">
      <c r="A21" s="31">
        <v>1</v>
      </c>
      <c r="B21" s="22" t="s">
        <v>22</v>
      </c>
      <c r="C21" s="31" t="s">
        <v>13</v>
      </c>
      <c r="D21" s="22">
        <f>D22</f>
        <v>21548.19</v>
      </c>
      <c r="E21" s="26">
        <f>E22</f>
        <v>4352.734379999999</v>
      </c>
    </row>
    <row r="22" spans="1:5" x14ac:dyDescent="0.25">
      <c r="A22" s="31"/>
      <c r="B22" s="31" t="s">
        <v>23</v>
      </c>
      <c r="C22" s="31"/>
      <c r="D22" s="31">
        <v>21548.19</v>
      </c>
      <c r="E22" s="32">
        <f>D22*20.2%</f>
        <v>4352.734379999999</v>
      </c>
    </row>
    <row r="23" spans="1:5" x14ac:dyDescent="0.25">
      <c r="A23" s="31"/>
      <c r="B23" s="31" t="s">
        <v>24</v>
      </c>
      <c r="C23" s="31"/>
      <c r="D23" s="473"/>
      <c r="E23" s="32"/>
    </row>
    <row r="24" spans="1:5" x14ac:dyDescent="0.25">
      <c r="A24" s="31"/>
      <c r="B24" s="31" t="s">
        <v>25</v>
      </c>
      <c r="C24" s="31"/>
      <c r="D24" s="31"/>
      <c r="E24" s="32"/>
    </row>
    <row r="25" spans="1:5" x14ac:dyDescent="0.25">
      <c r="A25" s="31">
        <v>2</v>
      </c>
      <c r="B25" s="31" t="s">
        <v>26</v>
      </c>
      <c r="C25" s="31"/>
      <c r="D25" s="31">
        <v>622.88</v>
      </c>
      <c r="E25" s="32"/>
    </row>
    <row r="26" spans="1:5" x14ac:dyDescent="0.25">
      <c r="A26" s="465" t="s">
        <v>27</v>
      </c>
      <c r="B26" s="30" t="s">
        <v>28</v>
      </c>
      <c r="C26" s="31"/>
      <c r="D26" s="22">
        <f>D27+D28+D29</f>
        <v>47874.329999999994</v>
      </c>
      <c r="E26" s="26">
        <f>E27</f>
        <v>8573.9465599999985</v>
      </c>
    </row>
    <row r="27" spans="1:5" x14ac:dyDescent="0.25">
      <c r="A27" s="31">
        <v>1</v>
      </c>
      <c r="B27" s="31" t="s">
        <v>29</v>
      </c>
      <c r="C27" s="31"/>
      <c r="D27" s="31">
        <v>42445.279999999999</v>
      </c>
      <c r="E27" s="32">
        <f>D27*20.2%</f>
        <v>8573.9465599999985</v>
      </c>
    </row>
    <row r="28" spans="1:5" x14ac:dyDescent="0.25">
      <c r="A28" s="31">
        <v>2</v>
      </c>
      <c r="B28" s="31" t="s">
        <v>26</v>
      </c>
      <c r="C28" s="31"/>
      <c r="D28" s="31">
        <v>4992.8500000000004</v>
      </c>
      <c r="E28" s="31"/>
    </row>
    <row r="29" spans="1:5" x14ac:dyDescent="0.25">
      <c r="A29" s="31">
        <v>3</v>
      </c>
      <c r="B29" s="31" t="s">
        <v>196</v>
      </c>
      <c r="C29" s="31"/>
      <c r="D29" s="31">
        <v>436.2</v>
      </c>
      <c r="E29" s="31"/>
    </row>
    <row r="30" spans="1:5" x14ac:dyDescent="0.25">
      <c r="A30" s="465" t="s">
        <v>30</v>
      </c>
      <c r="B30" s="22" t="s">
        <v>31</v>
      </c>
      <c r="C30" s="31"/>
      <c r="D30" s="26">
        <f>D31+D32+D33+D34+D35+D36</f>
        <v>24617.614999999998</v>
      </c>
      <c r="E30" s="31"/>
    </row>
    <row r="31" spans="1:5" x14ac:dyDescent="0.25">
      <c r="A31" s="31"/>
      <c r="B31" s="31" t="s">
        <v>32</v>
      </c>
      <c r="C31" s="31"/>
      <c r="D31" s="32">
        <f>D17*5%</f>
        <v>11049.065000000001</v>
      </c>
      <c r="E31" s="31"/>
    </row>
    <row r="32" spans="1:5" x14ac:dyDescent="0.25">
      <c r="A32" s="31"/>
      <c r="B32" s="31" t="s">
        <v>62</v>
      </c>
      <c r="C32" s="31"/>
      <c r="D32" s="31">
        <v>621.4</v>
      </c>
      <c r="E32" s="31"/>
    </row>
    <row r="33" spans="1:5" x14ac:dyDescent="0.25">
      <c r="A33" s="31"/>
      <c r="B33" s="31" t="s">
        <v>34</v>
      </c>
      <c r="C33" s="31"/>
      <c r="D33" s="32">
        <f>3518.25+3497.58</f>
        <v>7015.83</v>
      </c>
      <c r="E33" s="31"/>
    </row>
    <row r="34" spans="1:5" x14ac:dyDescent="0.25">
      <c r="A34" s="31"/>
      <c r="B34" s="31" t="s">
        <v>36</v>
      </c>
      <c r="C34" s="31"/>
      <c r="D34" s="31">
        <v>2142.8200000000002</v>
      </c>
      <c r="E34" s="31"/>
    </row>
    <row r="35" spans="1:5" x14ac:dyDescent="0.25">
      <c r="A35" s="31"/>
      <c r="B35" s="31" t="s">
        <v>67</v>
      </c>
      <c r="C35" s="31"/>
      <c r="D35" s="31">
        <v>0</v>
      </c>
      <c r="E35" s="31"/>
    </row>
    <row r="36" spans="1:5" x14ac:dyDescent="0.25">
      <c r="A36" s="31"/>
      <c r="B36" s="31" t="s">
        <v>38</v>
      </c>
      <c r="C36" s="31"/>
      <c r="D36" s="31">
        <f>1940.16+1848.34</f>
        <v>3788.5</v>
      </c>
      <c r="E36" s="31"/>
    </row>
    <row r="37" spans="1:5" x14ac:dyDescent="0.25">
      <c r="A37" s="31">
        <v>4</v>
      </c>
      <c r="B37" s="22" t="s">
        <v>39</v>
      </c>
      <c r="C37" s="31"/>
      <c r="D37" s="26">
        <f>D38+D39</f>
        <v>29256.67</v>
      </c>
      <c r="E37" s="26">
        <f>E38</f>
        <v>4818.3766999999998</v>
      </c>
    </row>
    <row r="38" spans="1:5" x14ac:dyDescent="0.25">
      <c r="A38" s="31"/>
      <c r="B38" s="31" t="s">
        <v>40</v>
      </c>
      <c r="C38" s="31"/>
      <c r="D38" s="32">
        <v>23853.35</v>
      </c>
      <c r="E38" s="32">
        <f>D38*20.2%</f>
        <v>4818.3766999999998</v>
      </c>
    </row>
    <row r="39" spans="1:5" x14ac:dyDescent="0.25">
      <c r="A39" s="31"/>
      <c r="B39" s="31" t="s">
        <v>41</v>
      </c>
      <c r="C39" s="31"/>
      <c r="D39" s="32">
        <v>5403.32</v>
      </c>
      <c r="E39" s="31"/>
    </row>
    <row r="40" spans="1:5" x14ac:dyDescent="0.25">
      <c r="A40" s="22"/>
      <c r="B40" s="22" t="s">
        <v>16</v>
      </c>
      <c r="C40" s="22"/>
      <c r="D40" s="26">
        <v>275475.33</v>
      </c>
      <c r="E40" s="22"/>
    </row>
    <row r="41" spans="1:5" x14ac:dyDescent="0.25">
      <c r="A41" s="31">
        <v>5</v>
      </c>
      <c r="B41" s="22" t="s">
        <v>42</v>
      </c>
      <c r="C41" s="31"/>
      <c r="D41" s="26">
        <f>D20+E20+D26+E26+D30+D37+E37+D40</f>
        <v>417140.07264000003</v>
      </c>
      <c r="E41" s="31"/>
    </row>
    <row r="42" spans="1:5" x14ac:dyDescent="0.25">
      <c r="A42" s="31">
        <v>6</v>
      </c>
      <c r="B42" s="31" t="s">
        <v>43</v>
      </c>
      <c r="C42" s="31"/>
      <c r="D42" s="26">
        <f>D17*6%</f>
        <v>13258.877999999999</v>
      </c>
      <c r="E42" s="31"/>
    </row>
    <row r="43" spans="1:5" x14ac:dyDescent="0.25">
      <c r="A43" s="31">
        <v>7</v>
      </c>
      <c r="B43" s="22" t="s">
        <v>44</v>
      </c>
      <c r="C43" s="31"/>
      <c r="D43" s="26">
        <f>D41+D42</f>
        <v>430398.95064000005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53</v>
      </c>
      <c r="C45" s="31"/>
      <c r="D45" s="26">
        <f>D17-D43</f>
        <v>-209417.65064000007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D8+D9+D45</f>
        <v>-43459.450640000054</v>
      </c>
      <c r="E46" s="31"/>
    </row>
    <row r="47" spans="1:5" x14ac:dyDescent="0.25">
      <c r="A47" s="399"/>
      <c r="B47" s="479"/>
      <c r="C47" s="399"/>
      <c r="D47" s="35"/>
      <c r="E47" s="399"/>
    </row>
    <row r="48" spans="1:5" x14ac:dyDescent="0.25">
      <c r="A48" s="237"/>
      <c r="B48" s="237" t="s">
        <v>46</v>
      </c>
      <c r="C48" s="237"/>
      <c r="D48" s="237" t="s">
        <v>47</v>
      </c>
      <c r="E48" s="237"/>
    </row>
    <row r="49" spans="1:5" x14ac:dyDescent="0.25">
      <c r="A49" s="237"/>
      <c r="B49" s="237" t="s">
        <v>48</v>
      </c>
      <c r="C49" s="237"/>
      <c r="D49" s="237" t="s">
        <v>49</v>
      </c>
      <c r="E49" s="237"/>
    </row>
  </sheetData>
  <mergeCells count="3">
    <mergeCell ref="D6:E6"/>
    <mergeCell ref="A4:C4"/>
    <mergeCell ref="D5:E5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A4" sqref="A4:E4"/>
    </sheetView>
  </sheetViews>
  <sheetFormatPr defaultRowHeight="15" x14ac:dyDescent="0.25"/>
  <cols>
    <col min="2" max="2" width="40.28515625" customWidth="1"/>
    <col min="4" max="4" width="10.85546875" customWidth="1"/>
    <col min="5" max="5" width="10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197</v>
      </c>
    </row>
    <row r="4" spans="1:5" x14ac:dyDescent="0.25">
      <c r="A4" s="594"/>
      <c r="B4" s="594"/>
      <c r="C4" s="594"/>
      <c r="D4" s="453"/>
      <c r="E4" s="44"/>
    </row>
    <row r="5" spans="1:5" x14ac:dyDescent="0.25">
      <c r="A5" s="5"/>
      <c r="B5" s="5"/>
      <c r="C5" s="5"/>
      <c r="D5" s="3"/>
      <c r="E5" s="45"/>
    </row>
    <row r="6" spans="1:5" ht="15.75" x14ac:dyDescent="0.25">
      <c r="A6" s="5"/>
      <c r="B6" s="6" t="s">
        <v>3</v>
      </c>
      <c r="C6" s="7" t="s">
        <v>4</v>
      </c>
      <c r="D6" s="595" t="s">
        <v>5</v>
      </c>
      <c r="E6" s="596"/>
    </row>
    <row r="7" spans="1:5" ht="15.75" x14ac:dyDescent="0.25">
      <c r="A7" s="463"/>
      <c r="B7" s="6" t="s">
        <v>6</v>
      </c>
      <c r="C7" s="7" t="s">
        <v>7</v>
      </c>
      <c r="D7" s="597" t="s">
        <v>132</v>
      </c>
      <c r="E7" s="598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8</v>
      </c>
      <c r="C9" s="9"/>
      <c r="D9" s="10">
        <v>-30992.77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851.24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443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14487.9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13441.19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17</v>
      </c>
      <c r="C17" s="13"/>
      <c r="D17" s="19">
        <f>D15</f>
        <v>13441.19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31"/>
      <c r="B19" s="21" t="s">
        <v>18</v>
      </c>
      <c r="C19" s="31"/>
      <c r="D19" s="22"/>
      <c r="E19" s="464" t="s">
        <v>19</v>
      </c>
    </row>
    <row r="20" spans="1:5" x14ac:dyDescent="0.25">
      <c r="A20" s="465" t="s">
        <v>20</v>
      </c>
      <c r="B20" s="25" t="s">
        <v>21</v>
      </c>
      <c r="C20" s="31"/>
      <c r="D20" s="22">
        <f>D21+D25</f>
        <v>5850.45</v>
      </c>
      <c r="E20" s="26">
        <f>E21</f>
        <v>1169.2790199999999</v>
      </c>
    </row>
    <row r="21" spans="1:5" x14ac:dyDescent="0.25">
      <c r="A21" s="31">
        <v>1</v>
      </c>
      <c r="B21" s="22" t="s">
        <v>22</v>
      </c>
      <c r="C21" s="31" t="s">
        <v>13</v>
      </c>
      <c r="D21" s="22">
        <f>D22</f>
        <v>5788.51</v>
      </c>
      <c r="E21" s="26">
        <f>E22</f>
        <v>1169.2790199999999</v>
      </c>
    </row>
    <row r="22" spans="1:5" x14ac:dyDescent="0.25">
      <c r="A22" s="31"/>
      <c r="B22" s="31" t="s">
        <v>23</v>
      </c>
      <c r="C22" s="31"/>
      <c r="D22" s="31">
        <v>5788.51</v>
      </c>
      <c r="E22" s="32">
        <f>D22*20.2%</f>
        <v>1169.2790199999999</v>
      </c>
    </row>
    <row r="23" spans="1:5" x14ac:dyDescent="0.25">
      <c r="A23" s="31"/>
      <c r="B23" s="31" t="s">
        <v>24</v>
      </c>
      <c r="C23" s="31"/>
      <c r="D23" s="473"/>
      <c r="E23" s="32"/>
    </row>
    <row r="24" spans="1:5" x14ac:dyDescent="0.25">
      <c r="A24" s="31"/>
      <c r="B24" s="31" t="s">
        <v>25</v>
      </c>
      <c r="C24" s="31"/>
      <c r="D24" s="31"/>
      <c r="E24" s="32"/>
    </row>
    <row r="25" spans="1:5" x14ac:dyDescent="0.25">
      <c r="A25" s="31">
        <v>2</v>
      </c>
      <c r="B25" s="31" t="s">
        <v>26</v>
      </c>
      <c r="C25" s="31"/>
      <c r="D25" s="31">
        <v>61.94</v>
      </c>
      <c r="E25" s="32"/>
    </row>
    <row r="26" spans="1:5" x14ac:dyDescent="0.25">
      <c r="A26" s="465" t="s">
        <v>27</v>
      </c>
      <c r="B26" s="30" t="s">
        <v>28</v>
      </c>
      <c r="C26" s="31"/>
      <c r="D26" s="22">
        <f>D27+D28</f>
        <v>4472.4400000000005</v>
      </c>
      <c r="E26" s="26">
        <f>E27</f>
        <v>852.59554000000003</v>
      </c>
    </row>
    <row r="27" spans="1:5" x14ac:dyDescent="0.25">
      <c r="A27" s="31">
        <v>1</v>
      </c>
      <c r="B27" s="31" t="s">
        <v>29</v>
      </c>
      <c r="C27" s="31"/>
      <c r="D27" s="31">
        <v>4220.7700000000004</v>
      </c>
      <c r="E27" s="32">
        <f>D27*20.2%</f>
        <v>852.59554000000003</v>
      </c>
    </row>
    <row r="28" spans="1:5" x14ac:dyDescent="0.25">
      <c r="A28" s="31">
        <v>2</v>
      </c>
      <c r="B28" s="31" t="s">
        <v>26</v>
      </c>
      <c r="C28" s="31"/>
      <c r="D28" s="31">
        <v>251.67</v>
      </c>
      <c r="E28" s="31"/>
    </row>
    <row r="29" spans="1:5" x14ac:dyDescent="0.25">
      <c r="A29" s="465" t="s">
        <v>30</v>
      </c>
      <c r="B29" s="22" t="s">
        <v>31</v>
      </c>
      <c r="C29" s="31"/>
      <c r="D29" s="26">
        <f>D30+D31+D32+D33+D34+D35</f>
        <v>1959.5295000000001</v>
      </c>
      <c r="E29" s="31"/>
    </row>
    <row r="30" spans="1:5" x14ac:dyDescent="0.25">
      <c r="A30" s="31"/>
      <c r="B30" s="31" t="s">
        <v>32</v>
      </c>
      <c r="C30" s="31"/>
      <c r="D30" s="32">
        <f>D17*5%</f>
        <v>672.05950000000007</v>
      </c>
      <c r="E30" s="31"/>
    </row>
    <row r="31" spans="1:5" x14ac:dyDescent="0.25">
      <c r="A31" s="31"/>
      <c r="B31" s="31" t="s">
        <v>62</v>
      </c>
      <c r="C31" s="31"/>
      <c r="D31" s="31">
        <v>0</v>
      </c>
      <c r="E31" s="31"/>
    </row>
    <row r="32" spans="1:5" x14ac:dyDescent="0.25">
      <c r="A32" s="31"/>
      <c r="B32" s="31" t="s">
        <v>34</v>
      </c>
      <c r="C32" s="31"/>
      <c r="D32" s="32">
        <f>349.86+347.8</f>
        <v>697.66000000000008</v>
      </c>
      <c r="E32" s="31"/>
    </row>
    <row r="33" spans="1:5" x14ac:dyDescent="0.25">
      <c r="A33" s="31"/>
      <c r="B33" s="31" t="s">
        <v>35</v>
      </c>
      <c r="C33" s="31"/>
      <c r="D33" s="31">
        <v>0</v>
      </c>
      <c r="E33" s="31"/>
    </row>
    <row r="34" spans="1:5" x14ac:dyDescent="0.25">
      <c r="A34" s="31"/>
      <c r="B34" s="31" t="s">
        <v>36</v>
      </c>
      <c r="C34" s="31"/>
      <c r="D34" s="31">
        <v>213.08</v>
      </c>
      <c r="E34" s="31"/>
    </row>
    <row r="35" spans="1:5" x14ac:dyDescent="0.25">
      <c r="A35" s="31"/>
      <c r="B35" s="31" t="s">
        <v>38</v>
      </c>
      <c r="C35" s="31"/>
      <c r="D35" s="31">
        <f>192.93+183.8</f>
        <v>376.73</v>
      </c>
      <c r="E35" s="31"/>
    </row>
    <row r="36" spans="1:5" x14ac:dyDescent="0.25">
      <c r="A36" s="31">
        <v>4</v>
      </c>
      <c r="B36" s="22" t="s">
        <v>39</v>
      </c>
      <c r="C36" s="31"/>
      <c r="D36" s="26">
        <f>D37+D38</f>
        <v>2909.2999999999997</v>
      </c>
      <c r="E36" s="26">
        <f>E37</f>
        <v>479.14197999999993</v>
      </c>
    </row>
    <row r="37" spans="1:5" x14ac:dyDescent="0.25">
      <c r="A37" s="31"/>
      <c r="B37" s="31" t="s">
        <v>40</v>
      </c>
      <c r="C37" s="31"/>
      <c r="D37" s="32">
        <v>2371.9899999999998</v>
      </c>
      <c r="E37" s="32">
        <f>D37*20.2%</f>
        <v>479.14197999999993</v>
      </c>
    </row>
    <row r="38" spans="1:5" x14ac:dyDescent="0.25">
      <c r="A38" s="31"/>
      <c r="B38" s="31" t="s">
        <v>41</v>
      </c>
      <c r="C38" s="31"/>
      <c r="D38" s="32">
        <v>537.30999999999995</v>
      </c>
      <c r="E38" s="31"/>
    </row>
    <row r="39" spans="1:5" x14ac:dyDescent="0.25">
      <c r="A39" s="31">
        <v>5</v>
      </c>
      <c r="B39" s="22" t="s">
        <v>42</v>
      </c>
      <c r="C39" s="31"/>
      <c r="D39" s="26">
        <f>D20+E20+D26+E26+D29+D36+E36</f>
        <v>17692.736040000003</v>
      </c>
      <c r="E39" s="31"/>
    </row>
    <row r="40" spans="1:5" x14ac:dyDescent="0.25">
      <c r="A40" s="31">
        <v>6</v>
      </c>
      <c r="B40" s="31" t="s">
        <v>43</v>
      </c>
      <c r="C40" s="31"/>
      <c r="D40" s="26">
        <f>D17*6%</f>
        <v>806.47140000000002</v>
      </c>
      <c r="E40" s="31"/>
    </row>
    <row r="41" spans="1:5" x14ac:dyDescent="0.25">
      <c r="A41" s="31">
        <v>7</v>
      </c>
      <c r="B41" s="22" t="s">
        <v>44</v>
      </c>
      <c r="C41" s="31"/>
      <c r="D41" s="26">
        <f>D39+D40</f>
        <v>18499.207440000002</v>
      </c>
      <c r="E41" s="31"/>
    </row>
    <row r="42" spans="1:5" x14ac:dyDescent="0.25">
      <c r="A42" s="31"/>
      <c r="B42" s="31"/>
      <c r="C42" s="31"/>
      <c r="D42" s="31"/>
      <c r="E42" s="31"/>
    </row>
    <row r="43" spans="1:5" x14ac:dyDescent="0.25">
      <c r="A43" s="31">
        <v>8</v>
      </c>
      <c r="B43" s="22" t="s">
        <v>53</v>
      </c>
      <c r="C43" s="31"/>
      <c r="D43" s="26">
        <f>D17-D41</f>
        <v>-5058.0174400000014</v>
      </c>
      <c r="E43" s="31"/>
    </row>
    <row r="44" spans="1:5" x14ac:dyDescent="0.25">
      <c r="A44" s="31">
        <v>9</v>
      </c>
      <c r="B44" s="22" t="s">
        <v>45</v>
      </c>
      <c r="C44" s="31"/>
      <c r="D44" s="26">
        <f>D9+D43</f>
        <v>-36050.78744</v>
      </c>
      <c r="E44" s="31"/>
    </row>
    <row r="45" spans="1:5" x14ac:dyDescent="0.25">
      <c r="A45" s="399"/>
      <c r="B45" s="34"/>
      <c r="C45" s="399"/>
      <c r="D45" s="35"/>
      <c r="E45" s="399"/>
    </row>
    <row r="46" spans="1:5" x14ac:dyDescent="0.25">
      <c r="A46" s="237"/>
      <c r="B46" s="237" t="s">
        <v>46</v>
      </c>
      <c r="C46" s="237"/>
      <c r="D46" s="237" t="s">
        <v>47</v>
      </c>
      <c r="E46" s="237"/>
    </row>
    <row r="47" spans="1:5" x14ac:dyDescent="0.25">
      <c r="A47" s="237"/>
      <c r="B47" s="237" t="s">
        <v>48</v>
      </c>
      <c r="C47" s="237"/>
      <c r="D47" s="237" t="s">
        <v>49</v>
      </c>
      <c r="E47" s="237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2" workbookViewId="0">
      <selection activeCell="H7" sqref="H7"/>
    </sheetView>
  </sheetViews>
  <sheetFormatPr defaultRowHeight="15" x14ac:dyDescent="0.25"/>
  <cols>
    <col min="2" max="2" width="40.7109375" customWidth="1"/>
    <col min="4" max="4" width="11" customWidth="1"/>
    <col min="5" max="5" width="10.285156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198</v>
      </c>
    </row>
    <row r="4" spans="1:5" x14ac:dyDescent="0.25">
      <c r="B4" t="s">
        <v>2</v>
      </c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463"/>
      <c r="B6" s="6" t="s">
        <v>6</v>
      </c>
      <c r="C6" s="7" t="s">
        <v>7</v>
      </c>
      <c r="D6" s="597" t="s">
        <v>132</v>
      </c>
      <c r="E6" s="598"/>
    </row>
    <row r="7" spans="1:5" x14ac:dyDescent="0.25">
      <c r="A7" s="13"/>
      <c r="B7" s="480" t="s">
        <v>134</v>
      </c>
      <c r="C7" s="13"/>
      <c r="D7" s="462">
        <v>-93040.56</v>
      </c>
      <c r="E7" s="398"/>
    </row>
    <row r="8" spans="1:5" x14ac:dyDescent="0.25">
      <c r="A8" s="9"/>
      <c r="B8" s="477" t="s">
        <v>135</v>
      </c>
      <c r="C8" s="9"/>
      <c r="D8" s="10">
        <v>74143</v>
      </c>
      <c r="E8" s="11"/>
    </row>
    <row r="9" spans="1:5" x14ac:dyDescent="0.25">
      <c r="A9" s="13"/>
      <c r="B9" s="14" t="s">
        <v>9</v>
      </c>
      <c r="C9" s="13" t="s">
        <v>10</v>
      </c>
      <c r="D9" s="13">
        <v>3980.8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2528.5</v>
      </c>
      <c r="E10" s="13"/>
    </row>
    <row r="11" spans="1:5" x14ac:dyDescent="0.25">
      <c r="A11" s="13"/>
      <c r="B11" s="15" t="s">
        <v>12</v>
      </c>
      <c r="C11" s="13" t="s">
        <v>13</v>
      </c>
      <c r="D11" s="19">
        <v>153282.60999999999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90365.36</v>
      </c>
      <c r="E14" s="13"/>
    </row>
    <row r="15" spans="1:5" x14ac:dyDescent="0.25">
      <c r="A15" s="13">
        <v>2</v>
      </c>
      <c r="B15" s="13" t="s">
        <v>16</v>
      </c>
      <c r="C15" s="13"/>
      <c r="D15" s="13">
        <v>26268.14</v>
      </c>
      <c r="E15" s="13"/>
    </row>
    <row r="16" spans="1:5" ht="15.75" x14ac:dyDescent="0.25">
      <c r="A16" s="13"/>
      <c r="B16" s="16" t="s">
        <v>17</v>
      </c>
      <c r="C16" s="13"/>
      <c r="D16" s="19">
        <f>D14+D15</f>
        <v>116633.5</v>
      </c>
      <c r="E16" s="13"/>
    </row>
    <row r="17" spans="1:5" ht="15.75" x14ac:dyDescent="0.25">
      <c r="A17" s="13"/>
      <c r="B17" s="16"/>
      <c r="C17" s="13"/>
      <c r="D17" s="19"/>
      <c r="E17" s="13"/>
    </row>
    <row r="18" spans="1:5" ht="15.75" x14ac:dyDescent="0.25">
      <c r="A18" s="31"/>
      <c r="B18" s="21" t="s">
        <v>18</v>
      </c>
      <c r="C18" s="31"/>
      <c r="D18" s="22"/>
      <c r="E18" s="464" t="s">
        <v>19</v>
      </c>
    </row>
    <row r="19" spans="1:5" x14ac:dyDescent="0.25">
      <c r="A19" s="465" t="s">
        <v>20</v>
      </c>
      <c r="B19" s="25" t="s">
        <v>21</v>
      </c>
      <c r="C19" s="31"/>
      <c r="D19" s="26">
        <f>D20+D24+D23</f>
        <v>27387.850000000002</v>
      </c>
      <c r="E19" s="26">
        <f>E20</f>
        <v>5409.3600200000001</v>
      </c>
    </row>
    <row r="20" spans="1:5" x14ac:dyDescent="0.25">
      <c r="A20" s="31">
        <v>1</v>
      </c>
      <c r="B20" s="22" t="s">
        <v>22</v>
      </c>
      <c r="C20" s="31" t="s">
        <v>13</v>
      </c>
      <c r="D20" s="26">
        <f>D21+D22</f>
        <v>26779.010000000002</v>
      </c>
      <c r="E20" s="26">
        <f>E21+E22</f>
        <v>5409.3600200000001</v>
      </c>
    </row>
    <row r="21" spans="1:5" x14ac:dyDescent="0.25">
      <c r="A21" s="31"/>
      <c r="B21" s="31" t="s">
        <v>23</v>
      </c>
      <c r="C21" s="31"/>
      <c r="D21" s="31">
        <v>14815.97</v>
      </c>
      <c r="E21" s="32">
        <f>D21*20.2%</f>
        <v>2992.8259399999997</v>
      </c>
    </row>
    <row r="22" spans="1:5" x14ac:dyDescent="0.25">
      <c r="A22" s="31"/>
      <c r="B22" s="31" t="s">
        <v>24</v>
      </c>
      <c r="C22" s="31"/>
      <c r="D22" s="473">
        <v>11963.04</v>
      </c>
      <c r="E22" s="32">
        <f>D22*20.2%</f>
        <v>2416.5340799999999</v>
      </c>
    </row>
    <row r="23" spans="1:5" x14ac:dyDescent="0.25">
      <c r="A23" s="31"/>
      <c r="B23" s="31" t="s">
        <v>79</v>
      </c>
      <c r="C23" s="31"/>
      <c r="D23" s="31">
        <v>257.69</v>
      </c>
      <c r="E23" s="32"/>
    </row>
    <row r="24" spans="1:5" x14ac:dyDescent="0.25">
      <c r="A24" s="31">
        <v>2</v>
      </c>
      <c r="B24" s="31" t="s">
        <v>26</v>
      </c>
      <c r="C24" s="31"/>
      <c r="D24" s="31">
        <v>351.15</v>
      </c>
      <c r="E24" s="32"/>
    </row>
    <row r="25" spans="1:5" x14ac:dyDescent="0.25">
      <c r="A25" s="465" t="s">
        <v>27</v>
      </c>
      <c r="B25" s="30" t="s">
        <v>28</v>
      </c>
      <c r="C25" s="31"/>
      <c r="D25" s="22">
        <f>D26+D27+D28</f>
        <v>36932.82</v>
      </c>
      <c r="E25" s="26">
        <f>E26</f>
        <v>4833.6095199999991</v>
      </c>
    </row>
    <row r="26" spans="1:5" x14ac:dyDescent="0.25">
      <c r="A26" s="31">
        <v>1</v>
      </c>
      <c r="B26" s="31" t="s">
        <v>29</v>
      </c>
      <c r="C26" s="31"/>
      <c r="D26" s="31">
        <v>23928.76</v>
      </c>
      <c r="E26" s="32">
        <f>D26*20.2%</f>
        <v>4833.6095199999991</v>
      </c>
    </row>
    <row r="27" spans="1:5" x14ac:dyDescent="0.25">
      <c r="A27" s="31">
        <v>2</v>
      </c>
      <c r="B27" s="31" t="s">
        <v>26</v>
      </c>
      <c r="C27" s="31"/>
      <c r="D27" s="31">
        <v>2751.67</v>
      </c>
      <c r="E27" s="31"/>
    </row>
    <row r="28" spans="1:5" x14ac:dyDescent="0.25">
      <c r="A28" s="31">
        <v>3</v>
      </c>
      <c r="B28" s="31" t="s">
        <v>116</v>
      </c>
      <c r="C28" s="31"/>
      <c r="D28" s="31">
        <v>10252.39</v>
      </c>
      <c r="E28" s="31"/>
    </row>
    <row r="29" spans="1:5" x14ac:dyDescent="0.25">
      <c r="A29" s="465" t="s">
        <v>30</v>
      </c>
      <c r="B29" s="22" t="s">
        <v>31</v>
      </c>
      <c r="C29" s="31"/>
      <c r="D29" s="26">
        <f>D30+D31+D33+D34+D35+D36+D32</f>
        <v>33236.895000000004</v>
      </c>
      <c r="E29" s="31"/>
    </row>
    <row r="30" spans="1:5" x14ac:dyDescent="0.25">
      <c r="A30" s="31"/>
      <c r="B30" s="31" t="s">
        <v>32</v>
      </c>
      <c r="C30" s="31"/>
      <c r="D30" s="32">
        <f>D16*5%</f>
        <v>5831.6750000000002</v>
      </c>
      <c r="E30" s="31"/>
    </row>
    <row r="31" spans="1:5" x14ac:dyDescent="0.25">
      <c r="A31" s="31"/>
      <c r="B31" s="31" t="s">
        <v>62</v>
      </c>
      <c r="C31" s="31"/>
      <c r="D31" s="31">
        <v>350.54</v>
      </c>
      <c r="E31" s="31"/>
    </row>
    <row r="32" spans="1:5" x14ac:dyDescent="0.25">
      <c r="A32" s="31"/>
      <c r="B32" s="31" t="s">
        <v>33</v>
      </c>
      <c r="C32" s="31"/>
      <c r="D32" s="31">
        <v>1660.83</v>
      </c>
      <c r="E32" s="31"/>
    </row>
    <row r="33" spans="1:5" x14ac:dyDescent="0.25">
      <c r="A33" s="31"/>
      <c r="B33" s="31" t="s">
        <v>34</v>
      </c>
      <c r="C33" s="31"/>
      <c r="D33" s="32">
        <f>1983.43+1971.78</f>
        <v>3955.21</v>
      </c>
      <c r="E33" s="31"/>
    </row>
    <row r="34" spans="1:5" x14ac:dyDescent="0.25">
      <c r="A34" s="31"/>
      <c r="B34" s="31" t="s">
        <v>36</v>
      </c>
      <c r="C34" s="31"/>
      <c r="D34" s="31">
        <v>1208.03</v>
      </c>
      <c r="E34" s="31"/>
    </row>
    <row r="35" spans="1:5" x14ac:dyDescent="0.25">
      <c r="A35" s="31"/>
      <c r="B35" s="31" t="s">
        <v>67</v>
      </c>
      <c r="C35" s="31"/>
      <c r="D35" s="31">
        <f>5546.25+12548.57</f>
        <v>18094.82</v>
      </c>
      <c r="E35" s="31"/>
    </row>
    <row r="36" spans="1:5" x14ac:dyDescent="0.25">
      <c r="A36" s="31"/>
      <c r="B36" s="31" t="s">
        <v>38</v>
      </c>
      <c r="C36" s="31"/>
      <c r="D36" s="31">
        <f>1093.78+1042.01</f>
        <v>2135.79</v>
      </c>
      <c r="E36" s="31"/>
    </row>
    <row r="37" spans="1:5" x14ac:dyDescent="0.25">
      <c r="A37" s="31">
        <v>4</v>
      </c>
      <c r="B37" s="22" t="s">
        <v>39</v>
      </c>
      <c r="C37" s="31"/>
      <c r="D37" s="26">
        <f>D38+D39</f>
        <v>16493.61</v>
      </c>
      <c r="E37" s="26">
        <f>E38</f>
        <v>2716.3869199999995</v>
      </c>
    </row>
    <row r="38" spans="1:5" x14ac:dyDescent="0.25">
      <c r="A38" s="31"/>
      <c r="B38" s="31" t="s">
        <v>40</v>
      </c>
      <c r="C38" s="31"/>
      <c r="D38" s="32">
        <v>13447.46</v>
      </c>
      <c r="E38" s="32">
        <f>D38*20.2%</f>
        <v>2716.3869199999995</v>
      </c>
    </row>
    <row r="39" spans="1:5" x14ac:dyDescent="0.25">
      <c r="A39" s="31"/>
      <c r="B39" s="31" t="s">
        <v>41</v>
      </c>
      <c r="C39" s="31"/>
      <c r="D39" s="32">
        <v>3046.15</v>
      </c>
      <c r="E39" s="31"/>
    </row>
    <row r="40" spans="1:5" x14ac:dyDescent="0.25">
      <c r="A40" s="31">
        <v>5</v>
      </c>
      <c r="B40" s="22" t="s">
        <v>42</v>
      </c>
      <c r="C40" s="31"/>
      <c r="D40" s="26">
        <f>D19+E19+D25+E25+D29+D37+E37</f>
        <v>127010.53146000001</v>
      </c>
      <c r="E40" s="31"/>
    </row>
    <row r="41" spans="1:5" x14ac:dyDescent="0.25">
      <c r="A41" s="31">
        <v>6</v>
      </c>
      <c r="B41" s="31" t="s">
        <v>43</v>
      </c>
      <c r="C41" s="31"/>
      <c r="D41" s="26">
        <f>D16*6%</f>
        <v>6998.0099999999993</v>
      </c>
      <c r="E41" s="31"/>
    </row>
    <row r="42" spans="1:5" x14ac:dyDescent="0.25">
      <c r="A42" s="31">
        <v>7</v>
      </c>
      <c r="B42" s="22" t="s">
        <v>44</v>
      </c>
      <c r="C42" s="31"/>
      <c r="D42" s="26">
        <f>D40+D41</f>
        <v>134008.54146000001</v>
      </c>
      <c r="E42" s="31"/>
    </row>
    <row r="43" spans="1:5" x14ac:dyDescent="0.25">
      <c r="A43" s="31"/>
      <c r="B43" s="31"/>
      <c r="C43" s="31"/>
      <c r="D43" s="31"/>
      <c r="E43" s="31"/>
    </row>
    <row r="44" spans="1:5" x14ac:dyDescent="0.25">
      <c r="A44" s="31">
        <v>8</v>
      </c>
      <c r="B44" s="22" t="s">
        <v>53</v>
      </c>
      <c r="C44" s="31"/>
      <c r="D44" s="26">
        <f>D14-D42</f>
        <v>-43643.181460000007</v>
      </c>
      <c r="E44" s="31"/>
    </row>
    <row r="45" spans="1:5" x14ac:dyDescent="0.25">
      <c r="A45" s="31">
        <v>9</v>
      </c>
      <c r="B45" s="22" t="s">
        <v>45</v>
      </c>
      <c r="C45" s="31"/>
      <c r="D45" s="26">
        <f>D7+D44</f>
        <v>-136683.74145999999</v>
      </c>
      <c r="E45" s="31"/>
    </row>
    <row r="46" spans="1:5" x14ac:dyDescent="0.25">
      <c r="A46" s="399"/>
      <c r="B46" s="34" t="s">
        <v>181</v>
      </c>
      <c r="C46" s="399"/>
      <c r="D46" s="35">
        <f>44034.77+20000</f>
        <v>64034.77</v>
      </c>
      <c r="E46" s="399"/>
    </row>
    <row r="47" spans="1:5" x14ac:dyDescent="0.25">
      <c r="A47" s="399"/>
      <c r="B47" s="34" t="s">
        <v>136</v>
      </c>
      <c r="C47" s="399"/>
      <c r="D47" s="35">
        <f>D8+D15-D46</f>
        <v>36376.370000000003</v>
      </c>
      <c r="E47" s="399"/>
    </row>
    <row r="48" spans="1:5" x14ac:dyDescent="0.25">
      <c r="A48" s="399"/>
      <c r="B48" s="34"/>
      <c r="C48" s="399"/>
      <c r="D48" s="35"/>
      <c r="E48" s="399"/>
    </row>
    <row r="49" spans="1:5" x14ac:dyDescent="0.25">
      <c r="A49" s="237"/>
      <c r="B49" s="237" t="s">
        <v>46</v>
      </c>
      <c r="C49" s="237"/>
      <c r="D49" s="237" t="s">
        <v>47</v>
      </c>
      <c r="E49" s="237"/>
    </row>
    <row r="50" spans="1:5" x14ac:dyDescent="0.25">
      <c r="A50" s="237"/>
      <c r="B50" s="237" t="s">
        <v>48</v>
      </c>
      <c r="C50" s="237"/>
      <c r="D50" s="237" t="s">
        <v>49</v>
      </c>
      <c r="E50" s="237"/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1" workbookViewId="0">
      <selection activeCell="I46" sqref="I46"/>
    </sheetView>
  </sheetViews>
  <sheetFormatPr defaultRowHeight="15" x14ac:dyDescent="0.25"/>
  <cols>
    <col min="2" max="2" width="42.42578125" customWidth="1"/>
    <col min="4" max="4" width="11" customWidth="1"/>
    <col min="5" max="5" width="11.1406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199</v>
      </c>
    </row>
    <row r="4" spans="1:5" x14ac:dyDescent="0.25">
      <c r="B4" t="s">
        <v>2</v>
      </c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463"/>
      <c r="B6" s="6" t="s">
        <v>6</v>
      </c>
      <c r="C6" s="7" t="s">
        <v>7</v>
      </c>
      <c r="D6" s="597" t="s">
        <v>120</v>
      </c>
      <c r="E6" s="598"/>
    </row>
    <row r="7" spans="1:5" x14ac:dyDescent="0.25">
      <c r="A7" s="9"/>
      <c r="B7" s="9"/>
      <c r="C7" s="9"/>
      <c r="D7" s="10"/>
      <c r="E7" s="11"/>
    </row>
    <row r="8" spans="1:5" x14ac:dyDescent="0.25">
      <c r="A8" s="9"/>
      <c r="B8" s="12" t="s">
        <v>8</v>
      </c>
      <c r="C8" s="9"/>
      <c r="D8" s="10">
        <v>-109475.15</v>
      </c>
      <c r="E8" s="11"/>
    </row>
    <row r="9" spans="1:5" x14ac:dyDescent="0.25">
      <c r="A9" s="13"/>
      <c r="B9" s="14" t="s">
        <v>9</v>
      </c>
      <c r="C9" s="13" t="s">
        <v>10</v>
      </c>
      <c r="D9" s="13">
        <v>3741.15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2509.41</v>
      </c>
      <c r="E10" s="13"/>
    </row>
    <row r="11" spans="1:5" x14ac:dyDescent="0.25">
      <c r="A11" s="13"/>
      <c r="B11" s="15" t="s">
        <v>12</v>
      </c>
      <c r="C11" s="13" t="s">
        <v>13</v>
      </c>
      <c r="D11" s="19">
        <v>117394.62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7">
        <v>105158.23</v>
      </c>
      <c r="E14" s="13"/>
    </row>
    <row r="15" spans="1:5" x14ac:dyDescent="0.25">
      <c r="A15" s="13"/>
      <c r="B15" s="13"/>
      <c r="C15" s="13"/>
      <c r="D15" s="17"/>
      <c r="E15" s="13"/>
    </row>
    <row r="16" spans="1:5" ht="15.75" x14ac:dyDescent="0.25">
      <c r="A16" s="13"/>
      <c r="B16" s="16" t="s">
        <v>17</v>
      </c>
      <c r="C16" s="13"/>
      <c r="D16" s="18">
        <f>D14</f>
        <v>105158.23</v>
      </c>
      <c r="E16" s="13"/>
    </row>
    <row r="17" spans="1:5" ht="15.75" x14ac:dyDescent="0.25">
      <c r="A17" s="13"/>
      <c r="B17" s="16"/>
      <c r="C17" s="13"/>
      <c r="D17" s="19"/>
      <c r="E17" s="13"/>
    </row>
    <row r="18" spans="1:5" ht="15.75" x14ac:dyDescent="0.25">
      <c r="A18" s="31"/>
      <c r="B18" s="21" t="s">
        <v>18</v>
      </c>
      <c r="C18" s="31"/>
      <c r="D18" s="22"/>
      <c r="E18" s="464" t="s">
        <v>19</v>
      </c>
    </row>
    <row r="19" spans="1:5" x14ac:dyDescent="0.25">
      <c r="A19" s="465" t="s">
        <v>20</v>
      </c>
      <c r="B19" s="25" t="s">
        <v>21</v>
      </c>
      <c r="C19" s="31"/>
      <c r="D19" s="26">
        <f>D20+D25+D24</f>
        <v>37031.020000000004</v>
      </c>
      <c r="E19" s="26">
        <f>E20</f>
        <v>7357.8156600000002</v>
      </c>
    </row>
    <row r="20" spans="1:5" x14ac:dyDescent="0.25">
      <c r="A20" s="31">
        <v>1</v>
      </c>
      <c r="B20" s="22" t="s">
        <v>22</v>
      </c>
      <c r="C20" s="31" t="s">
        <v>13</v>
      </c>
      <c r="D20" s="26">
        <f>D21+D22+D23</f>
        <v>36424.83</v>
      </c>
      <c r="E20" s="26">
        <f>E21+E22+E23</f>
        <v>7357.8156600000002</v>
      </c>
    </row>
    <row r="21" spans="1:5" x14ac:dyDescent="0.25">
      <c r="A21" s="31"/>
      <c r="B21" s="31" t="s">
        <v>23</v>
      </c>
      <c r="C21" s="31"/>
      <c r="D21" s="31">
        <v>11911.27</v>
      </c>
      <c r="E21" s="32">
        <f>D21*20.2%</f>
        <v>2406.07654</v>
      </c>
    </row>
    <row r="22" spans="1:5" x14ac:dyDescent="0.25">
      <c r="A22" s="31"/>
      <c r="B22" s="31" t="s">
        <v>24</v>
      </c>
      <c r="C22" s="31"/>
      <c r="D22" s="473">
        <v>11157.16</v>
      </c>
      <c r="E22" s="32">
        <f>D22*20.2%</f>
        <v>2253.7463199999997</v>
      </c>
    </row>
    <row r="23" spans="1:5" x14ac:dyDescent="0.25">
      <c r="A23" s="31"/>
      <c r="B23" s="31" t="s">
        <v>25</v>
      </c>
      <c r="C23" s="31"/>
      <c r="D23" s="31">
        <v>13356.4</v>
      </c>
      <c r="E23" s="32">
        <f>D23*20.2%</f>
        <v>2697.9927999999995</v>
      </c>
    </row>
    <row r="24" spans="1:5" x14ac:dyDescent="0.25">
      <c r="A24" s="31"/>
      <c r="B24" s="31" t="s">
        <v>79</v>
      </c>
      <c r="C24" s="31"/>
      <c r="D24" s="31">
        <v>257.69</v>
      </c>
      <c r="E24" s="32"/>
    </row>
    <row r="25" spans="1:5" x14ac:dyDescent="0.25">
      <c r="A25" s="31">
        <v>2</v>
      </c>
      <c r="B25" s="31" t="s">
        <v>26</v>
      </c>
      <c r="C25" s="31"/>
      <c r="D25" s="31">
        <v>348.5</v>
      </c>
      <c r="E25" s="32"/>
    </row>
    <row r="26" spans="1:5" x14ac:dyDescent="0.25">
      <c r="A26" s="465" t="s">
        <v>27</v>
      </c>
      <c r="B26" s="30" t="s">
        <v>28</v>
      </c>
      <c r="C26" s="31"/>
      <c r="D26" s="22">
        <f>D27+D28+D29</f>
        <v>36439.58</v>
      </c>
      <c r="E26" s="26">
        <f>E27</f>
        <v>4797.1161999999995</v>
      </c>
    </row>
    <row r="27" spans="1:5" x14ac:dyDescent="0.25">
      <c r="A27" s="31">
        <v>1</v>
      </c>
      <c r="B27" s="31" t="s">
        <v>29</v>
      </c>
      <c r="C27" s="31"/>
      <c r="D27" s="31">
        <v>23748.1</v>
      </c>
      <c r="E27" s="32">
        <f>D27*20.2%</f>
        <v>4797.1161999999995</v>
      </c>
    </row>
    <row r="28" spans="1:5" x14ac:dyDescent="0.25">
      <c r="A28" s="31">
        <v>2</v>
      </c>
      <c r="B28" s="31" t="s">
        <v>26</v>
      </c>
      <c r="C28" s="31"/>
      <c r="D28" s="31">
        <v>2439.09</v>
      </c>
      <c r="E28" s="31"/>
    </row>
    <row r="29" spans="1:5" x14ac:dyDescent="0.25">
      <c r="A29" s="31">
        <v>3</v>
      </c>
      <c r="B29" s="31" t="s">
        <v>116</v>
      </c>
      <c r="C29" s="31"/>
      <c r="D29" s="31">
        <v>10252.39</v>
      </c>
      <c r="E29" s="31"/>
    </row>
    <row r="30" spans="1:5" x14ac:dyDescent="0.25">
      <c r="A30" s="465" t="s">
        <v>30</v>
      </c>
      <c r="B30" s="22" t="s">
        <v>31</v>
      </c>
      <c r="C30" s="31"/>
      <c r="D30" s="26">
        <f>D31+D32+D34+D35+D36+D37+D33</f>
        <v>14513.211500000001</v>
      </c>
      <c r="E30" s="31"/>
    </row>
    <row r="31" spans="1:5" x14ac:dyDescent="0.25">
      <c r="A31" s="31"/>
      <c r="B31" s="31" t="s">
        <v>32</v>
      </c>
      <c r="C31" s="31"/>
      <c r="D31" s="32">
        <f>D16*5%</f>
        <v>5257.9115000000002</v>
      </c>
      <c r="E31" s="31"/>
    </row>
    <row r="32" spans="1:5" x14ac:dyDescent="0.25">
      <c r="A32" s="31"/>
      <c r="B32" s="31" t="s">
        <v>62</v>
      </c>
      <c r="C32" s="31"/>
      <c r="D32" s="31">
        <v>350.54</v>
      </c>
      <c r="E32" s="31"/>
    </row>
    <row r="33" spans="1:5" x14ac:dyDescent="0.25">
      <c r="A33" s="31"/>
      <c r="B33" s="31" t="s">
        <v>33</v>
      </c>
      <c r="C33" s="31"/>
      <c r="D33" s="31">
        <v>1660.83</v>
      </c>
      <c r="E33" s="31"/>
    </row>
    <row r="34" spans="1:5" x14ac:dyDescent="0.25">
      <c r="A34" s="31"/>
      <c r="B34" s="31" t="s">
        <v>34</v>
      </c>
      <c r="C34" s="31"/>
      <c r="D34" s="32">
        <f>1968.46+1956.89</f>
        <v>3925.3500000000004</v>
      </c>
      <c r="E34" s="31"/>
    </row>
    <row r="35" spans="1:5" x14ac:dyDescent="0.25">
      <c r="A35" s="31"/>
      <c r="B35" s="31" t="s">
        <v>35</v>
      </c>
      <c r="C35" s="31"/>
      <c r="D35" s="31">
        <v>0</v>
      </c>
      <c r="E35" s="31"/>
    </row>
    <row r="36" spans="1:5" x14ac:dyDescent="0.25">
      <c r="A36" s="31"/>
      <c r="B36" s="31" t="s">
        <v>36</v>
      </c>
      <c r="C36" s="31"/>
      <c r="D36" s="31">
        <v>1198.9100000000001</v>
      </c>
      <c r="E36" s="31"/>
    </row>
    <row r="37" spans="1:5" x14ac:dyDescent="0.25">
      <c r="A37" s="31"/>
      <c r="B37" s="31" t="s">
        <v>38</v>
      </c>
      <c r="C37" s="31"/>
      <c r="D37" s="31">
        <f>1085.52+1034.15</f>
        <v>2119.67</v>
      </c>
      <c r="E37" s="31"/>
    </row>
    <row r="38" spans="1:5" x14ac:dyDescent="0.25">
      <c r="A38" s="31">
        <v>4</v>
      </c>
      <c r="B38" s="22" t="s">
        <v>39</v>
      </c>
      <c r="C38" s="31"/>
      <c r="D38" s="26">
        <f>D39+D40</f>
        <v>16369.09</v>
      </c>
      <c r="E38" s="26">
        <f>E39</f>
        <v>2695.8778600000001</v>
      </c>
    </row>
    <row r="39" spans="1:5" x14ac:dyDescent="0.25">
      <c r="A39" s="31"/>
      <c r="B39" s="31" t="s">
        <v>40</v>
      </c>
      <c r="C39" s="31"/>
      <c r="D39" s="32">
        <v>13345.93</v>
      </c>
      <c r="E39" s="32">
        <f>D39*20.2%</f>
        <v>2695.8778600000001</v>
      </c>
    </row>
    <row r="40" spans="1:5" x14ac:dyDescent="0.25">
      <c r="A40" s="31"/>
      <c r="B40" s="31" t="s">
        <v>41</v>
      </c>
      <c r="C40" s="31"/>
      <c r="D40" s="32">
        <v>3023.16</v>
      </c>
      <c r="E40" s="31"/>
    </row>
    <row r="41" spans="1:5" x14ac:dyDescent="0.25">
      <c r="A41" s="31">
        <v>5</v>
      </c>
      <c r="B41" s="22" t="s">
        <v>42</v>
      </c>
      <c r="C41" s="31"/>
      <c r="D41" s="26">
        <f>D19+E19+D26+E26+D30+D38+E38</f>
        <v>119203.71122</v>
      </c>
      <c r="E41" s="31"/>
    </row>
    <row r="42" spans="1:5" x14ac:dyDescent="0.25">
      <c r="A42" s="31">
        <v>6</v>
      </c>
      <c r="B42" s="31" t="s">
        <v>43</v>
      </c>
      <c r="C42" s="31"/>
      <c r="D42" s="26">
        <f>D16*6%</f>
        <v>6309.4937999999993</v>
      </c>
      <c r="E42" s="31"/>
    </row>
    <row r="43" spans="1:5" x14ac:dyDescent="0.25">
      <c r="A43" s="31">
        <v>7</v>
      </c>
      <c r="B43" s="22" t="s">
        <v>44</v>
      </c>
      <c r="C43" s="31"/>
      <c r="D43" s="26">
        <f>D41+D42</f>
        <v>125513.20501999999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53</v>
      </c>
      <c r="C45" s="31"/>
      <c r="D45" s="26">
        <f>D16-D43</f>
        <v>-20354.975019999998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D8+D45</f>
        <v>-129830.12501999999</v>
      </c>
      <c r="E46" s="31"/>
    </row>
    <row r="47" spans="1:5" x14ac:dyDescent="0.25">
      <c r="A47" s="399"/>
      <c r="B47" s="34"/>
      <c r="C47" s="399"/>
      <c r="D47" s="35"/>
      <c r="E47" s="399"/>
    </row>
    <row r="48" spans="1:5" x14ac:dyDescent="0.25">
      <c r="A48" s="237"/>
      <c r="B48" s="237" t="s">
        <v>46</v>
      </c>
      <c r="C48" s="237"/>
      <c r="D48" s="237" t="s">
        <v>47</v>
      </c>
      <c r="E48" s="237"/>
    </row>
    <row r="49" spans="1:5" x14ac:dyDescent="0.25">
      <c r="A49" s="237"/>
      <c r="B49" s="237" t="s">
        <v>48</v>
      </c>
      <c r="C49" s="237"/>
      <c r="D49" s="237" t="s">
        <v>49</v>
      </c>
      <c r="E49" s="237"/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J11" sqref="J11"/>
    </sheetView>
  </sheetViews>
  <sheetFormatPr defaultRowHeight="15" x14ac:dyDescent="0.25"/>
  <cols>
    <col min="2" max="2" width="39.85546875" customWidth="1"/>
    <col min="4" max="4" width="11.28515625" customWidth="1"/>
    <col min="5" max="5" width="11.710937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200</v>
      </c>
    </row>
    <row r="4" spans="1:5" x14ac:dyDescent="0.25">
      <c r="B4" t="s">
        <v>87</v>
      </c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463"/>
      <c r="B6" s="6" t="s">
        <v>6</v>
      </c>
      <c r="C6" s="7" t="s">
        <v>7</v>
      </c>
      <c r="D6" s="597" t="s">
        <v>132</v>
      </c>
      <c r="E6" s="598"/>
    </row>
    <row r="7" spans="1:5" x14ac:dyDescent="0.25">
      <c r="A7" s="13"/>
      <c r="B7" s="480" t="s">
        <v>134</v>
      </c>
      <c r="C7" s="13"/>
      <c r="D7" s="462">
        <v>-170755.88</v>
      </c>
      <c r="E7" s="398"/>
    </row>
    <row r="8" spans="1:5" x14ac:dyDescent="0.25">
      <c r="A8" s="9"/>
      <c r="B8" s="477" t="s">
        <v>135</v>
      </c>
      <c r="C8" s="9"/>
      <c r="D8" s="10">
        <v>87004.31</v>
      </c>
      <c r="E8" s="11"/>
    </row>
    <row r="9" spans="1:5" x14ac:dyDescent="0.25">
      <c r="A9" s="13"/>
      <c r="B9" s="14" t="s">
        <v>9</v>
      </c>
      <c r="C9" s="13" t="s">
        <v>10</v>
      </c>
      <c r="D9" s="13">
        <v>5902.23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4583.71</v>
      </c>
      <c r="E10" s="13"/>
    </row>
    <row r="11" spans="1:5" x14ac:dyDescent="0.25">
      <c r="A11" s="13"/>
      <c r="B11" s="15" t="s">
        <v>12</v>
      </c>
      <c r="C11" s="13" t="s">
        <v>13</v>
      </c>
      <c r="D11" s="19">
        <f>320412.59-3835</f>
        <v>316577.59000000003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223972.31</v>
      </c>
      <c r="E14" s="13"/>
    </row>
    <row r="15" spans="1:5" x14ac:dyDescent="0.25">
      <c r="A15" s="13">
        <v>2</v>
      </c>
      <c r="B15" s="13" t="s">
        <v>16</v>
      </c>
      <c r="C15" s="13"/>
      <c r="D15" s="13">
        <v>63234.34</v>
      </c>
      <c r="E15" s="13"/>
    </row>
    <row r="16" spans="1:5" x14ac:dyDescent="0.25">
      <c r="A16" s="13">
        <v>3</v>
      </c>
      <c r="B16" s="13" t="s">
        <v>101</v>
      </c>
      <c r="C16" s="13"/>
      <c r="D16" s="13">
        <f>3000</f>
        <v>3000</v>
      </c>
      <c r="E16" s="13"/>
    </row>
    <row r="17" spans="1:5" ht="15.75" x14ac:dyDescent="0.25">
      <c r="A17" s="13"/>
      <c r="B17" s="16" t="s">
        <v>17</v>
      </c>
      <c r="C17" s="13"/>
      <c r="D17" s="19">
        <f>D14+D15+D16</f>
        <v>290206.65000000002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31"/>
      <c r="B19" s="21" t="s">
        <v>18</v>
      </c>
      <c r="C19" s="31"/>
      <c r="D19" s="22"/>
      <c r="E19" s="464" t="s">
        <v>19</v>
      </c>
    </row>
    <row r="20" spans="1:5" x14ac:dyDescent="0.25">
      <c r="A20" s="465" t="s">
        <v>20</v>
      </c>
      <c r="B20" s="25" t="s">
        <v>21</v>
      </c>
      <c r="C20" s="31"/>
      <c r="D20" s="22">
        <f>D21+D25+D24</f>
        <v>42129.48</v>
      </c>
      <c r="E20" s="26">
        <f>E21</f>
        <v>7339.2377199999992</v>
      </c>
    </row>
    <row r="21" spans="1:5" x14ac:dyDescent="0.25">
      <c r="A21" s="31">
        <v>1</v>
      </c>
      <c r="B21" s="22" t="s">
        <v>22</v>
      </c>
      <c r="C21" s="31" t="s">
        <v>13</v>
      </c>
      <c r="D21" s="22">
        <f>D22</f>
        <v>36332.86</v>
      </c>
      <c r="E21" s="26">
        <f>E22</f>
        <v>7339.2377199999992</v>
      </c>
    </row>
    <row r="22" spans="1:5" x14ac:dyDescent="0.25">
      <c r="A22" s="31"/>
      <c r="B22" s="31" t="s">
        <v>23</v>
      </c>
      <c r="C22" s="31"/>
      <c r="D22" s="31">
        <v>36332.86</v>
      </c>
      <c r="E22" s="32">
        <f>D22*20.2%</f>
        <v>7339.2377199999992</v>
      </c>
    </row>
    <row r="23" spans="1:5" x14ac:dyDescent="0.25">
      <c r="A23" s="31"/>
      <c r="B23" s="31" t="s">
        <v>24</v>
      </c>
      <c r="C23" s="31"/>
      <c r="D23" s="473"/>
      <c r="E23" s="32"/>
    </row>
    <row r="24" spans="1:5" x14ac:dyDescent="0.25">
      <c r="A24" s="31"/>
      <c r="B24" s="31" t="s">
        <v>79</v>
      </c>
      <c r="C24" s="31"/>
      <c r="D24" s="31">
        <v>1751.58</v>
      </c>
      <c r="E24" s="32"/>
    </row>
    <row r="25" spans="1:5" x14ac:dyDescent="0.25">
      <c r="A25" s="31">
        <v>2</v>
      </c>
      <c r="B25" s="31" t="s">
        <v>26</v>
      </c>
      <c r="C25" s="31"/>
      <c r="D25" s="31">
        <v>4045.04</v>
      </c>
      <c r="E25" s="32"/>
    </row>
    <row r="26" spans="1:5" x14ac:dyDescent="0.25">
      <c r="A26" s="465" t="s">
        <v>27</v>
      </c>
      <c r="B26" s="30" t="s">
        <v>28</v>
      </c>
      <c r="C26" s="31"/>
      <c r="D26" s="22">
        <f>D27+D28</f>
        <v>44250.2</v>
      </c>
      <c r="E26" s="26">
        <f>E27</f>
        <v>8762.4549799999986</v>
      </c>
    </row>
    <row r="27" spans="1:5" x14ac:dyDescent="0.25">
      <c r="A27" s="31">
        <v>1</v>
      </c>
      <c r="B27" s="31" t="s">
        <v>29</v>
      </c>
      <c r="C27" s="31"/>
      <c r="D27" s="31">
        <v>43378.49</v>
      </c>
      <c r="E27" s="32">
        <f>D27*20.2%</f>
        <v>8762.4549799999986</v>
      </c>
    </row>
    <row r="28" spans="1:5" x14ac:dyDescent="0.25">
      <c r="A28" s="31">
        <v>2</v>
      </c>
      <c r="B28" s="31" t="s">
        <v>26</v>
      </c>
      <c r="C28" s="31"/>
      <c r="D28" s="31">
        <v>871.71</v>
      </c>
      <c r="E28" s="31"/>
    </row>
    <row r="29" spans="1:5" x14ac:dyDescent="0.25">
      <c r="A29" s="465" t="s">
        <v>30</v>
      </c>
      <c r="B29" s="22" t="s">
        <v>31</v>
      </c>
      <c r="C29" s="31"/>
      <c r="D29" s="26">
        <f>D30+D31+D32+D33+D35+D36+D34</f>
        <v>91815.202499999999</v>
      </c>
      <c r="E29" s="31"/>
    </row>
    <row r="30" spans="1:5" x14ac:dyDescent="0.25">
      <c r="A30" s="31"/>
      <c r="B30" s="31" t="s">
        <v>32</v>
      </c>
      <c r="C30" s="31"/>
      <c r="D30" s="32">
        <f>D17*5%</f>
        <v>14510.332500000002</v>
      </c>
      <c r="E30" s="31"/>
    </row>
    <row r="31" spans="1:5" x14ac:dyDescent="0.25">
      <c r="A31" s="31"/>
      <c r="B31" s="31" t="s">
        <v>62</v>
      </c>
      <c r="C31" s="31"/>
      <c r="D31" s="31">
        <v>873.39</v>
      </c>
      <c r="E31" s="31"/>
    </row>
    <row r="32" spans="1:5" x14ac:dyDescent="0.25">
      <c r="A32" s="31"/>
      <c r="B32" s="31" t="s">
        <v>34</v>
      </c>
      <c r="C32" s="31"/>
      <c r="D32" s="32">
        <f>3595.6+3574.47</f>
        <v>7170.07</v>
      </c>
      <c r="E32" s="31"/>
    </row>
    <row r="33" spans="1:5" x14ac:dyDescent="0.25">
      <c r="A33" s="31"/>
      <c r="B33" s="31" t="s">
        <v>33</v>
      </c>
      <c r="C33" s="31"/>
      <c r="D33" s="31">
        <v>3788.83</v>
      </c>
      <c r="E33" s="31"/>
    </row>
    <row r="34" spans="1:5" x14ac:dyDescent="0.25">
      <c r="A34" s="31"/>
      <c r="B34" s="31" t="s">
        <v>118</v>
      </c>
      <c r="C34" s="31"/>
      <c r="D34" s="31">
        <f>32385.6+27025.24</f>
        <v>59410.84</v>
      </c>
      <c r="E34" s="31"/>
    </row>
    <row r="35" spans="1:5" x14ac:dyDescent="0.25">
      <c r="A35" s="31"/>
      <c r="B35" s="31" t="s">
        <v>36</v>
      </c>
      <c r="C35" s="31"/>
      <c r="D35" s="31">
        <v>2189.94</v>
      </c>
      <c r="E35" s="31"/>
    </row>
    <row r="36" spans="1:5" x14ac:dyDescent="0.25">
      <c r="A36" s="31"/>
      <c r="B36" s="31" t="s">
        <v>38</v>
      </c>
      <c r="C36" s="31"/>
      <c r="D36" s="31">
        <f>1982.82+1888.98</f>
        <v>3871.8</v>
      </c>
      <c r="E36" s="31"/>
    </row>
    <row r="37" spans="1:5" x14ac:dyDescent="0.25">
      <c r="A37" s="31">
        <v>4</v>
      </c>
      <c r="B37" s="22" t="s">
        <v>39</v>
      </c>
      <c r="C37" s="31"/>
      <c r="D37" s="26">
        <f>D38+D39</f>
        <v>29899.9</v>
      </c>
      <c r="E37" s="26">
        <f>E38</f>
        <v>4924.3155999999999</v>
      </c>
    </row>
    <row r="38" spans="1:5" x14ac:dyDescent="0.25">
      <c r="A38" s="31"/>
      <c r="B38" s="31" t="s">
        <v>40</v>
      </c>
      <c r="C38" s="31"/>
      <c r="D38" s="32">
        <v>24377.8</v>
      </c>
      <c r="E38" s="32">
        <f>D38*20.2%</f>
        <v>4924.3155999999999</v>
      </c>
    </row>
    <row r="39" spans="1:5" x14ac:dyDescent="0.25">
      <c r="A39" s="31"/>
      <c r="B39" s="31" t="s">
        <v>41</v>
      </c>
      <c r="C39" s="31"/>
      <c r="D39" s="32">
        <v>5522.1</v>
      </c>
      <c r="E39" s="31"/>
    </row>
    <row r="40" spans="1:5" x14ac:dyDescent="0.25">
      <c r="A40" s="31">
        <v>5</v>
      </c>
      <c r="B40" s="22" t="s">
        <v>42</v>
      </c>
      <c r="C40" s="31"/>
      <c r="D40" s="26">
        <f>D20+E20+D26+E26+D29+D37+E37</f>
        <v>229120.79079999999</v>
      </c>
      <c r="E40" s="31"/>
    </row>
    <row r="41" spans="1:5" x14ac:dyDescent="0.25">
      <c r="A41" s="31">
        <v>6</v>
      </c>
      <c r="B41" s="31" t="s">
        <v>43</v>
      </c>
      <c r="C41" s="31"/>
      <c r="D41" s="26">
        <f>D17*6%</f>
        <v>17412.399000000001</v>
      </c>
      <c r="E41" s="31"/>
    </row>
    <row r="42" spans="1:5" x14ac:dyDescent="0.25">
      <c r="A42" s="31">
        <v>7</v>
      </c>
      <c r="B42" s="22" t="s">
        <v>44</v>
      </c>
      <c r="C42" s="31"/>
      <c r="D42" s="26">
        <f>D40+D41</f>
        <v>246533.18979999999</v>
      </c>
      <c r="E42" s="31"/>
    </row>
    <row r="43" spans="1:5" x14ac:dyDescent="0.25">
      <c r="A43" s="31"/>
      <c r="B43" s="31"/>
      <c r="C43" s="31"/>
      <c r="D43" s="31"/>
      <c r="E43" s="31"/>
    </row>
    <row r="44" spans="1:5" x14ac:dyDescent="0.25">
      <c r="A44" s="31">
        <v>8</v>
      </c>
      <c r="B44" s="22" t="s">
        <v>53</v>
      </c>
      <c r="C44" s="31"/>
      <c r="D44" s="26">
        <f>D14+D16-D42</f>
        <v>-19560.879799999995</v>
      </c>
      <c r="E44" s="31"/>
    </row>
    <row r="45" spans="1:5" x14ac:dyDescent="0.25">
      <c r="A45" s="31">
        <v>9</v>
      </c>
      <c r="B45" s="22" t="s">
        <v>45</v>
      </c>
      <c r="C45" s="31"/>
      <c r="D45" s="26">
        <f>D7+D44</f>
        <v>-190316.7598</v>
      </c>
      <c r="E45" s="31"/>
    </row>
    <row r="46" spans="1:5" x14ac:dyDescent="0.25">
      <c r="A46" s="399"/>
      <c r="B46" s="34" t="s">
        <v>16</v>
      </c>
      <c r="C46" s="399"/>
      <c r="D46" s="35">
        <f>D8+D15</f>
        <v>150238.65</v>
      </c>
      <c r="E46" s="399"/>
    </row>
    <row r="47" spans="1:5" x14ac:dyDescent="0.25">
      <c r="A47" s="399"/>
      <c r="B47" s="34"/>
      <c r="C47" s="399"/>
      <c r="D47" s="35"/>
      <c r="E47" s="399"/>
    </row>
    <row r="48" spans="1:5" x14ac:dyDescent="0.25">
      <c r="A48" s="237"/>
      <c r="B48" s="237" t="s">
        <v>46</v>
      </c>
      <c r="C48" s="237"/>
      <c r="D48" s="237" t="s">
        <v>47</v>
      </c>
      <c r="E48" s="237"/>
    </row>
    <row r="49" spans="1:5" x14ac:dyDescent="0.25">
      <c r="A49" s="237"/>
      <c r="B49" s="237" t="s">
        <v>48</v>
      </c>
      <c r="C49" s="237"/>
      <c r="D49" s="237" t="s">
        <v>49</v>
      </c>
      <c r="E49" s="237"/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A2" sqref="A2:E2"/>
    </sheetView>
  </sheetViews>
  <sheetFormatPr defaultRowHeight="15" x14ac:dyDescent="0.25"/>
  <cols>
    <col min="2" max="2" width="42.28515625" customWidth="1"/>
    <col min="4" max="4" width="12" customWidth="1"/>
    <col min="5" max="5" width="10.285156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201</v>
      </c>
    </row>
    <row r="4" spans="1:5" x14ac:dyDescent="0.25">
      <c r="B4" t="s">
        <v>2</v>
      </c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463"/>
      <c r="B6" s="6" t="s">
        <v>6</v>
      </c>
      <c r="C6" s="7" t="s">
        <v>7</v>
      </c>
      <c r="D6" s="597" t="s">
        <v>202</v>
      </c>
      <c r="E6" s="598"/>
    </row>
    <row r="7" spans="1:5" x14ac:dyDescent="0.25">
      <c r="A7" s="9"/>
      <c r="B7" s="9"/>
      <c r="C7" s="9"/>
      <c r="D7" s="10"/>
      <c r="E7" s="11"/>
    </row>
    <row r="8" spans="1:5" x14ac:dyDescent="0.25">
      <c r="A8" s="9"/>
      <c r="B8" s="477" t="s">
        <v>134</v>
      </c>
      <c r="C8" s="9"/>
      <c r="D8" s="10">
        <v>25016.39</v>
      </c>
      <c r="E8" s="11"/>
    </row>
    <row r="9" spans="1:5" x14ac:dyDescent="0.25">
      <c r="A9" s="9"/>
      <c r="B9" s="477" t="s">
        <v>135</v>
      </c>
      <c r="C9" s="9"/>
      <c r="D9" s="10">
        <v>70490.33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3713.1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3054.59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154652.79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109770.97</v>
      </c>
      <c r="E15" s="13"/>
    </row>
    <row r="16" spans="1:5" x14ac:dyDescent="0.25">
      <c r="A16" s="13">
        <v>2</v>
      </c>
      <c r="B16" s="13" t="s">
        <v>16</v>
      </c>
      <c r="C16" s="13" t="s">
        <v>13</v>
      </c>
      <c r="D16" s="13">
        <v>33366.22</v>
      </c>
      <c r="E16" s="13"/>
    </row>
    <row r="17" spans="1:5" x14ac:dyDescent="0.25">
      <c r="A17" s="13">
        <v>3</v>
      </c>
      <c r="B17" s="13" t="s">
        <v>101</v>
      </c>
      <c r="C17" s="13"/>
      <c r="D17" s="13">
        <v>3000</v>
      </c>
      <c r="E17" s="13"/>
    </row>
    <row r="18" spans="1:5" ht="15.75" x14ac:dyDescent="0.25">
      <c r="A18" s="13"/>
      <c r="B18" s="16" t="s">
        <v>17</v>
      </c>
      <c r="C18" s="13"/>
      <c r="D18" s="19">
        <f>D15+D16+D17</f>
        <v>146137.19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31"/>
      <c r="B20" s="21" t="s">
        <v>18</v>
      </c>
      <c r="C20" s="31"/>
      <c r="D20" s="22"/>
      <c r="E20" s="464" t="s">
        <v>19</v>
      </c>
    </row>
    <row r="21" spans="1:5" x14ac:dyDescent="0.25">
      <c r="A21" s="465" t="s">
        <v>20</v>
      </c>
      <c r="B21" s="25" t="s">
        <v>21</v>
      </c>
      <c r="C21" s="31"/>
      <c r="D21" s="22">
        <f>D22+D26</f>
        <v>21056.960000000003</v>
      </c>
      <c r="E21" s="26">
        <f>E22</f>
        <v>4167.8134799999998</v>
      </c>
    </row>
    <row r="22" spans="1:5" x14ac:dyDescent="0.25">
      <c r="A22" s="31">
        <v>1</v>
      </c>
      <c r="B22" s="22" t="s">
        <v>22</v>
      </c>
      <c r="C22" s="31" t="s">
        <v>13</v>
      </c>
      <c r="D22" s="22">
        <f>D23</f>
        <v>20632.740000000002</v>
      </c>
      <c r="E22" s="26">
        <f>E23</f>
        <v>4167.8134799999998</v>
      </c>
    </row>
    <row r="23" spans="1:5" x14ac:dyDescent="0.25">
      <c r="A23" s="31"/>
      <c r="B23" s="31" t="s">
        <v>23</v>
      </c>
      <c r="C23" s="31"/>
      <c r="D23" s="31">
        <v>20632.740000000002</v>
      </c>
      <c r="E23" s="32">
        <f>D23*20.2%</f>
        <v>4167.8134799999998</v>
      </c>
    </row>
    <row r="24" spans="1:5" x14ac:dyDescent="0.25">
      <c r="A24" s="31"/>
      <c r="B24" s="31" t="s">
        <v>24</v>
      </c>
      <c r="C24" s="31"/>
      <c r="D24" s="473"/>
      <c r="E24" s="32"/>
    </row>
    <row r="25" spans="1:5" x14ac:dyDescent="0.25">
      <c r="A25" s="31"/>
      <c r="B25" s="31" t="s">
        <v>25</v>
      </c>
      <c r="C25" s="31"/>
      <c r="D25" s="31"/>
      <c r="E25" s="32"/>
    </row>
    <row r="26" spans="1:5" x14ac:dyDescent="0.25">
      <c r="A26" s="31">
        <v>2</v>
      </c>
      <c r="B26" s="31" t="s">
        <v>26</v>
      </c>
      <c r="C26" s="31"/>
      <c r="D26" s="31">
        <v>424.22</v>
      </c>
      <c r="E26" s="32"/>
    </row>
    <row r="27" spans="1:5" x14ac:dyDescent="0.25">
      <c r="A27" s="465" t="s">
        <v>27</v>
      </c>
      <c r="B27" s="30" t="s">
        <v>28</v>
      </c>
      <c r="C27" s="31"/>
      <c r="D27" s="22">
        <f>D28+D29+D30</f>
        <v>41364.119999999995</v>
      </c>
      <c r="E27" s="26">
        <f>E28</f>
        <v>5839.3109599999998</v>
      </c>
    </row>
    <row r="28" spans="1:5" x14ac:dyDescent="0.25">
      <c r="A28" s="31">
        <v>1</v>
      </c>
      <c r="B28" s="31" t="s">
        <v>29</v>
      </c>
      <c r="C28" s="31"/>
      <c r="D28" s="31">
        <v>28907.48</v>
      </c>
      <c r="E28" s="32">
        <f>D28*20.2%</f>
        <v>5839.3109599999998</v>
      </c>
    </row>
    <row r="29" spans="1:5" x14ac:dyDescent="0.25">
      <c r="A29" s="31">
        <v>2</v>
      </c>
      <c r="B29" s="31" t="s">
        <v>26</v>
      </c>
      <c r="C29" s="31"/>
      <c r="D29" s="31">
        <v>2956.69</v>
      </c>
      <c r="E29" s="31"/>
    </row>
    <row r="30" spans="1:5" x14ac:dyDescent="0.25">
      <c r="A30" s="31">
        <v>3</v>
      </c>
      <c r="B30" s="31" t="s">
        <v>116</v>
      </c>
      <c r="C30" s="31"/>
      <c r="D30" s="31">
        <v>9499.9500000000007</v>
      </c>
      <c r="E30" s="31"/>
    </row>
    <row r="31" spans="1:5" x14ac:dyDescent="0.25">
      <c r="A31" s="465" t="s">
        <v>30</v>
      </c>
      <c r="B31" s="22" t="s">
        <v>31</v>
      </c>
      <c r="C31" s="31"/>
      <c r="D31" s="26">
        <f>D32+D33+D34+D35+D36+D37</f>
        <v>20925.999499999998</v>
      </c>
      <c r="E31" s="31"/>
    </row>
    <row r="32" spans="1:5" x14ac:dyDescent="0.25">
      <c r="A32" s="31"/>
      <c r="B32" s="31" t="s">
        <v>32</v>
      </c>
      <c r="C32" s="31"/>
      <c r="D32" s="32">
        <f>D18*5%</f>
        <v>7306.8595000000005</v>
      </c>
      <c r="E32" s="31"/>
    </row>
    <row r="33" spans="1:5" x14ac:dyDescent="0.25">
      <c r="A33" s="31"/>
      <c r="B33" s="31" t="s">
        <v>62</v>
      </c>
      <c r="C33" s="31"/>
      <c r="D33" s="31">
        <v>1069.6500000000001</v>
      </c>
      <c r="E33" s="31"/>
    </row>
    <row r="34" spans="1:5" x14ac:dyDescent="0.25">
      <c r="A34" s="31"/>
      <c r="B34" s="31" t="s">
        <v>34</v>
      </c>
      <c r="C34" s="31"/>
      <c r="D34" s="32">
        <f>2396.11+2382.03</f>
        <v>4778.1400000000003</v>
      </c>
      <c r="E34" s="31"/>
    </row>
    <row r="35" spans="1:5" x14ac:dyDescent="0.25">
      <c r="A35" s="31"/>
      <c r="B35" s="31" t="s">
        <v>33</v>
      </c>
      <c r="C35" s="31"/>
      <c r="D35" s="31">
        <v>3731.8</v>
      </c>
      <c r="E35" s="31"/>
    </row>
    <row r="36" spans="1:5" x14ac:dyDescent="0.25">
      <c r="A36" s="31"/>
      <c r="B36" s="31" t="s">
        <v>36</v>
      </c>
      <c r="C36" s="31"/>
      <c r="D36" s="31">
        <v>1459.38</v>
      </c>
      <c r="E36" s="31"/>
    </row>
    <row r="37" spans="1:5" x14ac:dyDescent="0.25">
      <c r="A37" s="31"/>
      <c r="B37" s="31" t="s">
        <v>38</v>
      </c>
      <c r="C37" s="31"/>
      <c r="D37" s="31">
        <f>1321.35+1258.82</f>
        <v>2580.17</v>
      </c>
      <c r="E37" s="31"/>
    </row>
    <row r="38" spans="1:5" x14ac:dyDescent="0.25">
      <c r="A38" s="31">
        <v>4</v>
      </c>
      <c r="B38" s="22" t="s">
        <v>39</v>
      </c>
      <c r="C38" s="31"/>
      <c r="D38" s="26">
        <f>D39+D40</f>
        <v>19676.579999999998</v>
      </c>
      <c r="E38" s="26">
        <f>E39</f>
        <v>3281.5687799999996</v>
      </c>
    </row>
    <row r="39" spans="1:5" x14ac:dyDescent="0.25">
      <c r="A39" s="31"/>
      <c r="B39" s="31" t="s">
        <v>40</v>
      </c>
      <c r="C39" s="31"/>
      <c r="D39" s="32">
        <v>16245.39</v>
      </c>
      <c r="E39" s="32">
        <f>D39*20.2%</f>
        <v>3281.5687799999996</v>
      </c>
    </row>
    <row r="40" spans="1:5" x14ac:dyDescent="0.25">
      <c r="A40" s="31"/>
      <c r="B40" s="31" t="s">
        <v>41</v>
      </c>
      <c r="C40" s="31"/>
      <c r="D40" s="32">
        <v>3431.19</v>
      </c>
      <c r="E40" s="31"/>
    </row>
    <row r="41" spans="1:5" x14ac:dyDescent="0.25">
      <c r="A41" s="31">
        <v>5</v>
      </c>
      <c r="B41" s="22" t="s">
        <v>42</v>
      </c>
      <c r="C41" s="31"/>
      <c r="D41" s="26">
        <f>D21+E21+D27+E27+D31+D38+E38</f>
        <v>116312.35272000001</v>
      </c>
      <c r="E41" s="31"/>
    </row>
    <row r="42" spans="1:5" x14ac:dyDescent="0.25">
      <c r="A42" s="31">
        <v>6</v>
      </c>
      <c r="B42" s="31" t="s">
        <v>43</v>
      </c>
      <c r="C42" s="31"/>
      <c r="D42" s="26">
        <f>D18*6%</f>
        <v>8768.2314000000006</v>
      </c>
      <c r="E42" s="31"/>
    </row>
    <row r="43" spans="1:5" x14ac:dyDescent="0.25">
      <c r="A43" s="31">
        <v>7</v>
      </c>
      <c r="B43" s="22" t="s">
        <v>44</v>
      </c>
      <c r="C43" s="31"/>
      <c r="D43" s="26">
        <f>D41+D42</f>
        <v>125080.58412000001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53</v>
      </c>
      <c r="C45" s="31"/>
      <c r="D45" s="26">
        <f>D15+D17-D43</f>
        <v>-12309.614120000013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D8+D45</f>
        <v>12706.775879999987</v>
      </c>
      <c r="E46" s="31"/>
    </row>
    <row r="47" spans="1:5" x14ac:dyDescent="0.25">
      <c r="A47" s="399"/>
      <c r="B47" s="34" t="s">
        <v>16</v>
      </c>
      <c r="C47" s="399"/>
      <c r="D47" s="35">
        <f>D16+D9</f>
        <v>103856.55</v>
      </c>
      <c r="E47" s="399"/>
    </row>
    <row r="48" spans="1:5" x14ac:dyDescent="0.25">
      <c r="A48" s="399"/>
      <c r="B48" s="34"/>
      <c r="C48" s="399"/>
      <c r="D48" s="35"/>
      <c r="E48" s="399"/>
    </row>
    <row r="49" spans="1:5" x14ac:dyDescent="0.25">
      <c r="A49" s="237"/>
      <c r="B49" s="237" t="s">
        <v>46</v>
      </c>
      <c r="C49" s="237"/>
      <c r="D49" s="237" t="s">
        <v>47</v>
      </c>
      <c r="E49" s="237"/>
    </row>
    <row r="50" spans="1:5" x14ac:dyDescent="0.25">
      <c r="A50" s="237"/>
      <c r="B50" s="237" t="s">
        <v>48</v>
      </c>
      <c r="C50" s="237"/>
      <c r="D50" s="237" t="s">
        <v>49</v>
      </c>
      <c r="E50" s="237"/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2" workbookViewId="0">
      <selection activeCell="I49" sqref="I49"/>
    </sheetView>
  </sheetViews>
  <sheetFormatPr defaultRowHeight="15" x14ac:dyDescent="0.25"/>
  <cols>
    <col min="2" max="2" width="42.5703125" customWidth="1"/>
    <col min="4" max="4" width="11.140625" customWidth="1"/>
    <col min="5" max="5" width="11.285156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203</v>
      </c>
    </row>
    <row r="4" spans="1:5" x14ac:dyDescent="0.25">
      <c r="A4" s="594"/>
      <c r="B4" s="594"/>
      <c r="C4" s="594"/>
      <c r="D4" s="453"/>
      <c r="E4" s="44"/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463"/>
      <c r="B6" s="6" t="s">
        <v>6</v>
      </c>
      <c r="C6" s="7" t="s">
        <v>7</v>
      </c>
      <c r="D6" s="597" t="s">
        <v>132</v>
      </c>
      <c r="E6" s="598"/>
    </row>
    <row r="7" spans="1:5" x14ac:dyDescent="0.25">
      <c r="A7" s="13"/>
      <c r="B7" s="14" t="s">
        <v>8</v>
      </c>
      <c r="C7" s="13"/>
      <c r="D7" s="462">
        <v>139306.43</v>
      </c>
      <c r="E7" s="398"/>
    </row>
    <row r="8" spans="1:5" x14ac:dyDescent="0.25">
      <c r="A8" s="13"/>
      <c r="B8" s="14" t="s">
        <v>9</v>
      </c>
      <c r="C8" s="13" t="s">
        <v>10</v>
      </c>
      <c r="D8" s="13">
        <v>7687.9</v>
      </c>
      <c r="E8" s="13"/>
    </row>
    <row r="9" spans="1:5" x14ac:dyDescent="0.25">
      <c r="A9" s="13"/>
      <c r="B9" s="14" t="s">
        <v>11</v>
      </c>
      <c r="C9" s="13" t="s">
        <v>10</v>
      </c>
      <c r="D9" s="13">
        <v>4987.7</v>
      </c>
      <c r="E9" s="13"/>
    </row>
    <row r="10" spans="1:5" x14ac:dyDescent="0.25">
      <c r="A10" s="13"/>
      <c r="B10" s="15" t="s">
        <v>12</v>
      </c>
      <c r="C10" s="13" t="s">
        <v>13</v>
      </c>
      <c r="D10" s="19">
        <v>209845.79</v>
      </c>
      <c r="E10" s="13"/>
    </row>
    <row r="11" spans="1:5" x14ac:dyDescent="0.25">
      <c r="A11" s="13"/>
      <c r="B11" s="13"/>
      <c r="C11" s="13"/>
      <c r="D11" s="13"/>
      <c r="E11" s="13"/>
    </row>
    <row r="12" spans="1:5" ht="15.75" x14ac:dyDescent="0.25">
      <c r="A12" s="13"/>
      <c r="B12" s="16" t="s">
        <v>14</v>
      </c>
      <c r="C12" s="13"/>
      <c r="D12" s="13"/>
      <c r="E12" s="13"/>
    </row>
    <row r="13" spans="1:5" x14ac:dyDescent="0.25">
      <c r="A13" s="13">
        <v>1</v>
      </c>
      <c r="B13" s="13" t="s">
        <v>15</v>
      </c>
      <c r="C13" s="13" t="s">
        <v>13</v>
      </c>
      <c r="D13" s="13">
        <v>202600.1</v>
      </c>
      <c r="E13" s="13"/>
    </row>
    <row r="14" spans="1:5" x14ac:dyDescent="0.25">
      <c r="A14" s="13">
        <v>2</v>
      </c>
      <c r="B14" s="13" t="s">
        <v>73</v>
      </c>
      <c r="C14" s="13" t="s">
        <v>13</v>
      </c>
      <c r="D14" s="13">
        <f>138000</f>
        <v>138000</v>
      </c>
      <c r="E14" s="13"/>
    </row>
    <row r="15" spans="1:5" x14ac:dyDescent="0.25">
      <c r="A15" s="13">
        <v>3</v>
      </c>
      <c r="B15" s="13" t="s">
        <v>101</v>
      </c>
      <c r="C15" s="13"/>
      <c r="D15" s="13">
        <f>600+3000</f>
        <v>3600</v>
      </c>
      <c r="E15" s="13"/>
    </row>
    <row r="16" spans="1:5" ht="15.75" x14ac:dyDescent="0.25">
      <c r="A16" s="13"/>
      <c r="B16" s="16" t="s">
        <v>17</v>
      </c>
      <c r="C16" s="13"/>
      <c r="D16" s="19">
        <f>D13+D14+D15</f>
        <v>344200.1</v>
      </c>
      <c r="E16" s="13"/>
    </row>
    <row r="17" spans="1:5" ht="15.75" x14ac:dyDescent="0.25">
      <c r="A17" s="13"/>
      <c r="B17" s="16"/>
      <c r="C17" s="13"/>
      <c r="D17" s="19"/>
      <c r="E17" s="13"/>
    </row>
    <row r="18" spans="1:5" ht="15.75" x14ac:dyDescent="0.25">
      <c r="A18" s="31"/>
      <c r="B18" s="21" t="s">
        <v>18</v>
      </c>
      <c r="C18" s="31"/>
      <c r="D18" s="22"/>
      <c r="E18" s="464" t="s">
        <v>19</v>
      </c>
    </row>
    <row r="19" spans="1:5" x14ac:dyDescent="0.25">
      <c r="A19" s="465" t="s">
        <v>20</v>
      </c>
      <c r="B19" s="25" t="s">
        <v>21</v>
      </c>
      <c r="C19" s="31"/>
      <c r="D19" s="26">
        <f>D20+D25+D24</f>
        <v>67747.06</v>
      </c>
      <c r="E19" s="26">
        <f>E20</f>
        <v>13417.427819999999</v>
      </c>
    </row>
    <row r="20" spans="1:5" x14ac:dyDescent="0.25">
      <c r="A20" s="31">
        <v>1</v>
      </c>
      <c r="B20" s="22" t="s">
        <v>22</v>
      </c>
      <c r="C20" s="31" t="s">
        <v>13</v>
      </c>
      <c r="D20" s="26">
        <f>D21+D22+D23</f>
        <v>66422.91</v>
      </c>
      <c r="E20" s="26">
        <f>E21+E22+E23</f>
        <v>13417.427819999999</v>
      </c>
    </row>
    <row r="21" spans="1:5" x14ac:dyDescent="0.25">
      <c r="A21" s="31"/>
      <c r="B21" s="31" t="s">
        <v>23</v>
      </c>
      <c r="C21" s="31"/>
      <c r="D21" s="31">
        <v>14063.52</v>
      </c>
      <c r="E21" s="32">
        <f>D21*20.2%</f>
        <v>2840.83104</v>
      </c>
    </row>
    <row r="22" spans="1:5" x14ac:dyDescent="0.25">
      <c r="A22" s="31"/>
      <c r="B22" s="31" t="s">
        <v>24</v>
      </c>
      <c r="C22" s="31"/>
      <c r="D22" s="473">
        <v>21325.45</v>
      </c>
      <c r="E22" s="32">
        <f>D22*20.2%</f>
        <v>4307.7408999999998</v>
      </c>
    </row>
    <row r="23" spans="1:5" x14ac:dyDescent="0.25">
      <c r="A23" s="31"/>
      <c r="B23" s="31" t="s">
        <v>25</v>
      </c>
      <c r="C23" s="31"/>
      <c r="D23" s="31">
        <v>31033.94</v>
      </c>
      <c r="E23" s="32">
        <f>D23*20.2%</f>
        <v>6268.8558799999992</v>
      </c>
    </row>
    <row r="24" spans="1:5" x14ac:dyDescent="0.25">
      <c r="A24" s="31"/>
      <c r="B24" s="31" t="s">
        <v>79</v>
      </c>
      <c r="C24" s="31"/>
      <c r="D24" s="31">
        <v>631.47</v>
      </c>
      <c r="E24" s="32"/>
    </row>
    <row r="25" spans="1:5" x14ac:dyDescent="0.25">
      <c r="A25" s="31">
        <v>2</v>
      </c>
      <c r="B25" s="31" t="s">
        <v>26</v>
      </c>
      <c r="C25" s="31"/>
      <c r="D25" s="31">
        <v>692.68</v>
      </c>
      <c r="E25" s="32"/>
    </row>
    <row r="26" spans="1:5" x14ac:dyDescent="0.25">
      <c r="A26" s="465" t="s">
        <v>27</v>
      </c>
      <c r="B26" s="30" t="s">
        <v>28</v>
      </c>
      <c r="C26" s="31"/>
      <c r="D26" s="22">
        <f>D27+D29+D28+D30</f>
        <v>66968.069999999992</v>
      </c>
      <c r="E26" s="26">
        <f>E27</f>
        <v>9534.7433999999994</v>
      </c>
    </row>
    <row r="27" spans="1:5" x14ac:dyDescent="0.25">
      <c r="A27" s="31">
        <v>1</v>
      </c>
      <c r="B27" s="31" t="s">
        <v>29</v>
      </c>
      <c r="C27" s="31"/>
      <c r="D27" s="31">
        <v>47201.7</v>
      </c>
      <c r="E27" s="32">
        <f>D27*20.2%</f>
        <v>9534.7433999999994</v>
      </c>
    </row>
    <row r="28" spans="1:5" x14ac:dyDescent="0.25">
      <c r="A28" s="31">
        <v>2</v>
      </c>
      <c r="B28" s="31" t="s">
        <v>204</v>
      </c>
      <c r="C28" s="31"/>
      <c r="D28" s="31">
        <v>2617.1999999999998</v>
      </c>
      <c r="E28" s="32"/>
    </row>
    <row r="29" spans="1:5" x14ac:dyDescent="0.25">
      <c r="A29" s="31">
        <v>3</v>
      </c>
      <c r="B29" s="31" t="s">
        <v>26</v>
      </c>
      <c r="C29" s="31"/>
      <c r="D29" s="31">
        <v>8248.3700000000008</v>
      </c>
      <c r="E29" s="31"/>
    </row>
    <row r="30" spans="1:5" x14ac:dyDescent="0.25">
      <c r="A30" s="31">
        <v>4</v>
      </c>
      <c r="B30" s="31" t="s">
        <v>116</v>
      </c>
      <c r="C30" s="31"/>
      <c r="D30" s="31">
        <v>8900.7999999999993</v>
      </c>
      <c r="E30" s="31"/>
    </row>
    <row r="31" spans="1:5" x14ac:dyDescent="0.25">
      <c r="A31" s="465" t="s">
        <v>30</v>
      </c>
      <c r="B31" s="22" t="s">
        <v>31</v>
      </c>
      <c r="C31" s="31"/>
      <c r="D31" s="26">
        <f>D32+D33+D35+D36+D37+D38+D34</f>
        <v>83694.304999999993</v>
      </c>
      <c r="E31" s="31"/>
    </row>
    <row r="32" spans="1:5" x14ac:dyDescent="0.25">
      <c r="A32" s="31"/>
      <c r="B32" s="31" t="s">
        <v>32</v>
      </c>
      <c r="C32" s="31"/>
      <c r="D32" s="32">
        <f>D16*5%</f>
        <v>17210.005000000001</v>
      </c>
      <c r="E32" s="31"/>
    </row>
    <row r="33" spans="1:5" x14ac:dyDescent="0.25">
      <c r="A33" s="31"/>
      <c r="B33" s="31" t="s">
        <v>62</v>
      </c>
      <c r="C33" s="31"/>
      <c r="D33" s="31">
        <v>215.29</v>
      </c>
      <c r="E33" s="31"/>
    </row>
    <row r="34" spans="1:5" x14ac:dyDescent="0.25">
      <c r="A34" s="31"/>
      <c r="B34" s="31" t="s">
        <v>33</v>
      </c>
      <c r="C34" s="31"/>
      <c r="D34" s="31">
        <v>3871</v>
      </c>
      <c r="E34" s="31"/>
    </row>
    <row r="35" spans="1:5" x14ac:dyDescent="0.25">
      <c r="A35" s="31"/>
      <c r="B35" s="31" t="s">
        <v>34</v>
      </c>
      <c r="C35" s="31"/>
      <c r="D35" s="32">
        <f>3912.5+3889.51</f>
        <v>7802.01</v>
      </c>
      <c r="E35" s="31"/>
    </row>
    <row r="36" spans="1:5" x14ac:dyDescent="0.25">
      <c r="A36" s="31"/>
      <c r="B36" s="31" t="s">
        <v>69</v>
      </c>
      <c r="C36" s="31"/>
      <c r="D36" s="31">
        <v>48000</v>
      </c>
      <c r="E36" s="31"/>
    </row>
    <row r="37" spans="1:5" x14ac:dyDescent="0.25">
      <c r="A37" s="31"/>
      <c r="B37" s="31" t="s">
        <v>36</v>
      </c>
      <c r="C37" s="31"/>
      <c r="D37" s="31">
        <v>2382.9499999999998</v>
      </c>
      <c r="E37" s="31"/>
    </row>
    <row r="38" spans="1:5" x14ac:dyDescent="0.25">
      <c r="A38" s="31"/>
      <c r="B38" s="31" t="s">
        <v>38</v>
      </c>
      <c r="C38" s="31"/>
      <c r="D38" s="31">
        <f>2157.58+2055.47</f>
        <v>4213.0499999999993</v>
      </c>
      <c r="E38" s="31"/>
    </row>
    <row r="39" spans="1:5" x14ac:dyDescent="0.25">
      <c r="A39" s="31">
        <v>4</v>
      </c>
      <c r="B39" s="22" t="s">
        <v>39</v>
      </c>
      <c r="C39" s="31"/>
      <c r="D39" s="26">
        <f>D40+D41</f>
        <v>32535.170000000002</v>
      </c>
      <c r="E39" s="26">
        <f>E40</f>
        <v>5358.3247199999996</v>
      </c>
    </row>
    <row r="40" spans="1:5" x14ac:dyDescent="0.25">
      <c r="A40" s="31"/>
      <c r="B40" s="31" t="s">
        <v>40</v>
      </c>
      <c r="C40" s="31"/>
      <c r="D40" s="32">
        <v>26526.36</v>
      </c>
      <c r="E40" s="32">
        <f>D40*20.2%</f>
        <v>5358.3247199999996</v>
      </c>
    </row>
    <row r="41" spans="1:5" x14ac:dyDescent="0.25">
      <c r="A41" s="31"/>
      <c r="B41" s="31" t="s">
        <v>41</v>
      </c>
      <c r="C41" s="31"/>
      <c r="D41" s="32">
        <v>6008.81</v>
      </c>
      <c r="E41" s="31"/>
    </row>
    <row r="42" spans="1:5" x14ac:dyDescent="0.25">
      <c r="A42" s="31">
        <v>5</v>
      </c>
      <c r="B42" s="22" t="s">
        <v>42</v>
      </c>
      <c r="C42" s="31"/>
      <c r="D42" s="26">
        <f>D19+E19+D26+E26+D31+D39+E39</f>
        <v>279255.10093999997</v>
      </c>
      <c r="E42" s="31"/>
    </row>
    <row r="43" spans="1:5" x14ac:dyDescent="0.25">
      <c r="A43" s="31">
        <v>6</v>
      </c>
      <c r="B43" s="31" t="s">
        <v>43</v>
      </c>
      <c r="C43" s="31"/>
      <c r="D43" s="26">
        <f>D16*6%</f>
        <v>20652.005999999998</v>
      </c>
      <c r="E43" s="31"/>
    </row>
    <row r="44" spans="1:5" x14ac:dyDescent="0.25">
      <c r="A44" s="31">
        <v>7</v>
      </c>
      <c r="B44" s="22" t="s">
        <v>44</v>
      </c>
      <c r="C44" s="31"/>
      <c r="D44" s="26">
        <f>D42+D43</f>
        <v>299907.10693999997</v>
      </c>
      <c r="E44" s="31"/>
    </row>
    <row r="45" spans="1:5" x14ac:dyDescent="0.25">
      <c r="A45" s="31"/>
      <c r="B45" s="31"/>
      <c r="C45" s="31"/>
      <c r="D45" s="31"/>
      <c r="E45" s="31"/>
    </row>
    <row r="46" spans="1:5" x14ac:dyDescent="0.25">
      <c r="A46" s="31">
        <v>8</v>
      </c>
      <c r="B46" s="22" t="s">
        <v>53</v>
      </c>
      <c r="C46" s="31"/>
      <c r="D46" s="26">
        <f>D16-D44</f>
        <v>44292.993060000008</v>
      </c>
      <c r="E46" s="31"/>
    </row>
    <row r="47" spans="1:5" x14ac:dyDescent="0.25">
      <c r="A47" s="31">
        <v>9</v>
      </c>
      <c r="B47" s="22" t="s">
        <v>45</v>
      </c>
      <c r="C47" s="31"/>
      <c r="D47" s="26">
        <f>D7+D46</f>
        <v>183599.42306</v>
      </c>
      <c r="E47" s="31"/>
    </row>
    <row r="48" spans="1:5" x14ac:dyDescent="0.25">
      <c r="A48" s="399"/>
      <c r="B48" s="34"/>
      <c r="C48" s="399"/>
      <c r="D48" s="35"/>
      <c r="E48" s="399"/>
    </row>
    <row r="49" spans="1:5" x14ac:dyDescent="0.25">
      <c r="A49" s="237"/>
      <c r="B49" s="237" t="s">
        <v>46</v>
      </c>
      <c r="C49" s="237"/>
      <c r="D49" s="237" t="s">
        <v>47</v>
      </c>
      <c r="E49" s="237"/>
    </row>
    <row r="50" spans="1:5" x14ac:dyDescent="0.25">
      <c r="A50" s="237"/>
      <c r="B50" s="237" t="s">
        <v>48</v>
      </c>
      <c r="C50" s="237"/>
      <c r="D50" s="237" t="s">
        <v>49</v>
      </c>
      <c r="E50" s="237"/>
    </row>
  </sheetData>
  <mergeCells count="3">
    <mergeCell ref="D5:E5"/>
    <mergeCell ref="A4:C4"/>
    <mergeCell ref="D6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7" workbookViewId="0">
      <selection activeCell="D26" sqref="D26"/>
    </sheetView>
  </sheetViews>
  <sheetFormatPr defaultRowHeight="15" x14ac:dyDescent="0.25"/>
  <cols>
    <col min="2" max="2" width="37.140625" customWidth="1"/>
    <col min="4" max="4" width="10.42578125" customWidth="1"/>
    <col min="5" max="5" width="9.7109375" customWidth="1"/>
  </cols>
  <sheetData>
    <row r="1" spans="1:5" ht="15.75" x14ac:dyDescent="0.25">
      <c r="A1" s="88"/>
      <c r="B1" s="89" t="s">
        <v>0</v>
      </c>
      <c r="C1" s="88"/>
      <c r="D1" s="88"/>
      <c r="E1" s="88"/>
    </row>
    <row r="2" spans="1:5" x14ac:dyDescent="0.25">
      <c r="A2" s="88"/>
      <c r="B2" s="88" t="s">
        <v>59</v>
      </c>
      <c r="C2" s="88"/>
      <c r="D2" s="88"/>
      <c r="E2" s="88"/>
    </row>
    <row r="3" spans="1:5" x14ac:dyDescent="0.25">
      <c r="A3" s="88"/>
      <c r="B3" s="90" t="s">
        <v>112</v>
      </c>
      <c r="C3" s="88"/>
      <c r="D3" s="88"/>
      <c r="E3" s="88"/>
    </row>
    <row r="4" spans="1:5" x14ac:dyDescent="0.25">
      <c r="A4" s="514"/>
      <c r="B4" s="514"/>
      <c r="C4" s="514"/>
      <c r="D4" s="403"/>
      <c r="E4" s="91"/>
    </row>
    <row r="5" spans="1:5" x14ac:dyDescent="0.25">
      <c r="A5" s="92"/>
      <c r="B5" s="92"/>
      <c r="C5" s="92"/>
      <c r="D5" s="93"/>
      <c r="E5" s="94"/>
    </row>
    <row r="6" spans="1:5" ht="15.75" x14ac:dyDescent="0.25">
      <c r="A6" s="92"/>
      <c r="B6" s="95" t="s">
        <v>3</v>
      </c>
      <c r="C6" s="96" t="s">
        <v>4</v>
      </c>
      <c r="D6" s="515" t="s">
        <v>5</v>
      </c>
      <c r="E6" s="516"/>
    </row>
    <row r="7" spans="1:5" ht="15.75" x14ac:dyDescent="0.25">
      <c r="A7" s="97"/>
      <c r="B7" s="95" t="s">
        <v>6</v>
      </c>
      <c r="C7" s="96" t="s">
        <v>7</v>
      </c>
      <c r="D7" s="512" t="s">
        <v>113</v>
      </c>
      <c r="E7" s="513"/>
    </row>
    <row r="8" spans="1:5" x14ac:dyDescent="0.25">
      <c r="A8" s="98"/>
      <c r="B8" s="98"/>
      <c r="C8" s="98"/>
      <c r="D8" s="99"/>
      <c r="E8" s="100"/>
    </row>
    <row r="9" spans="1:5" x14ac:dyDescent="0.25">
      <c r="A9" s="98"/>
      <c r="B9" s="101" t="s">
        <v>68</v>
      </c>
      <c r="C9" s="98"/>
      <c r="D9" s="99">
        <v>14398.7</v>
      </c>
      <c r="E9" s="100"/>
    </row>
    <row r="10" spans="1:5" x14ac:dyDescent="0.25">
      <c r="A10" s="102"/>
      <c r="B10" s="103" t="s">
        <v>9</v>
      </c>
      <c r="C10" s="102" t="s">
        <v>10</v>
      </c>
      <c r="D10" s="102">
        <v>4726.8</v>
      </c>
      <c r="E10" s="102"/>
    </row>
    <row r="11" spans="1:5" x14ac:dyDescent="0.25">
      <c r="A11" s="102"/>
      <c r="B11" s="103" t="s">
        <v>11</v>
      </c>
      <c r="C11" s="102" t="s">
        <v>10</v>
      </c>
      <c r="D11" s="102">
        <v>4499.26</v>
      </c>
      <c r="E11" s="102"/>
    </row>
    <row r="12" spans="1:5" x14ac:dyDescent="0.25">
      <c r="A12" s="102"/>
      <c r="B12" s="104" t="s">
        <v>12</v>
      </c>
      <c r="C12" s="102" t="s">
        <v>13</v>
      </c>
      <c r="D12" s="102">
        <v>241963.74</v>
      </c>
      <c r="E12" s="102"/>
    </row>
    <row r="13" spans="1:5" x14ac:dyDescent="0.25">
      <c r="A13" s="102"/>
      <c r="B13" s="102"/>
      <c r="C13" s="102"/>
      <c r="D13" s="102"/>
      <c r="E13" s="102"/>
    </row>
    <row r="14" spans="1:5" ht="15.75" x14ac:dyDescent="0.25">
      <c r="A14" s="102"/>
      <c r="B14" s="105" t="s">
        <v>14</v>
      </c>
      <c r="C14" s="102"/>
      <c r="D14" s="102"/>
      <c r="E14" s="102"/>
    </row>
    <row r="15" spans="1:5" x14ac:dyDescent="0.25">
      <c r="A15" s="102">
        <v>1</v>
      </c>
      <c r="B15" s="102" t="s">
        <v>15</v>
      </c>
      <c r="C15" s="102" t="s">
        <v>13</v>
      </c>
      <c r="D15" s="102">
        <v>212920.49</v>
      </c>
      <c r="E15" s="102"/>
    </row>
    <row r="16" spans="1:5" x14ac:dyDescent="0.25">
      <c r="A16" s="102"/>
      <c r="B16" s="102"/>
      <c r="C16" s="102"/>
      <c r="D16" s="102"/>
      <c r="E16" s="102"/>
    </row>
    <row r="17" spans="1:5" ht="15.75" x14ac:dyDescent="0.25">
      <c r="A17" s="102"/>
      <c r="B17" s="105" t="s">
        <v>17</v>
      </c>
      <c r="C17" s="102"/>
      <c r="D17" s="106">
        <f>D15</f>
        <v>212920.49</v>
      </c>
      <c r="E17" s="102"/>
    </row>
    <row r="18" spans="1:5" ht="15.75" x14ac:dyDescent="0.25">
      <c r="A18" s="102"/>
      <c r="B18" s="105"/>
      <c r="C18" s="102"/>
      <c r="D18" s="106"/>
      <c r="E18" s="102"/>
    </row>
    <row r="19" spans="1:5" ht="15.75" x14ac:dyDescent="0.25">
      <c r="A19" s="20"/>
      <c r="B19" s="21" t="s">
        <v>18</v>
      </c>
      <c r="C19" s="20"/>
      <c r="D19" s="22"/>
      <c r="E19" s="31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D21+D25+D24</f>
        <v>19685.699999999997</v>
      </c>
      <c r="E20" s="26">
        <f>E21</f>
        <v>3762.7408599999999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</f>
        <v>18627.43</v>
      </c>
      <c r="E21" s="26">
        <f>E22</f>
        <v>3762.7408599999999</v>
      </c>
    </row>
    <row r="22" spans="1:5" x14ac:dyDescent="0.25">
      <c r="A22" s="20"/>
      <c r="B22" s="20" t="s">
        <v>23</v>
      </c>
      <c r="C22" s="20"/>
      <c r="D22" s="20">
        <v>18627.43</v>
      </c>
      <c r="E22" s="28">
        <f>D22*20.2%</f>
        <v>3762.7408599999999</v>
      </c>
    </row>
    <row r="23" spans="1:5" x14ac:dyDescent="0.25">
      <c r="A23" s="20"/>
      <c r="B23" s="20" t="s">
        <v>24</v>
      </c>
      <c r="C23" s="20"/>
      <c r="D23" s="29"/>
      <c r="E23" s="28"/>
    </row>
    <row r="24" spans="1:5" x14ac:dyDescent="0.25">
      <c r="A24" s="20"/>
      <c r="B24" s="20" t="s">
        <v>79</v>
      </c>
      <c r="C24" s="20"/>
      <c r="D24" s="20">
        <v>433.42</v>
      </c>
      <c r="E24" s="28"/>
    </row>
    <row r="25" spans="1:5" x14ac:dyDescent="0.25">
      <c r="A25" s="20">
        <v>2</v>
      </c>
      <c r="B25" s="27" t="s">
        <v>26</v>
      </c>
      <c r="C25" s="20"/>
      <c r="D25" s="20">
        <v>624.85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D27+D28+D29</f>
        <v>45276.83</v>
      </c>
      <c r="E26" s="26">
        <f>E27</f>
        <v>8601.0165799999995</v>
      </c>
    </row>
    <row r="27" spans="1:5" x14ac:dyDescent="0.25">
      <c r="A27" s="20">
        <v>1</v>
      </c>
      <c r="B27" s="31" t="s">
        <v>29</v>
      </c>
      <c r="C27" s="20"/>
      <c r="D27" s="31">
        <v>42579.29</v>
      </c>
      <c r="E27" s="32">
        <f>D27*20.2%</f>
        <v>8601.0165799999995</v>
      </c>
    </row>
    <row r="28" spans="1:5" x14ac:dyDescent="0.25">
      <c r="A28" s="20">
        <v>2</v>
      </c>
      <c r="B28" s="31" t="s">
        <v>26</v>
      </c>
      <c r="C28" s="20"/>
      <c r="D28" s="31">
        <v>2697.54</v>
      </c>
      <c r="E28" s="20"/>
    </row>
    <row r="29" spans="1:5" x14ac:dyDescent="0.25">
      <c r="A29" s="20">
        <v>3</v>
      </c>
      <c r="B29" s="31" t="s">
        <v>66</v>
      </c>
      <c r="C29" s="20"/>
      <c r="D29" s="31">
        <v>0</v>
      </c>
      <c r="E29" s="20"/>
    </row>
    <row r="30" spans="1:5" x14ac:dyDescent="0.25">
      <c r="A30" s="24" t="s">
        <v>30</v>
      </c>
      <c r="B30" s="22" t="s">
        <v>31</v>
      </c>
      <c r="C30" s="20"/>
      <c r="D30" s="26">
        <f>D31+D32+D33+D34+D36+D37+D35</f>
        <v>24799.5445</v>
      </c>
      <c r="E30" s="20"/>
    </row>
    <row r="31" spans="1:5" x14ac:dyDescent="0.25">
      <c r="A31" s="20"/>
      <c r="B31" s="20" t="s">
        <v>32</v>
      </c>
      <c r="C31" s="20"/>
      <c r="D31" s="28">
        <f>D17*5%</f>
        <v>10646.0245</v>
      </c>
      <c r="E31" s="20"/>
    </row>
    <row r="32" spans="1:5" x14ac:dyDescent="0.25">
      <c r="A32" s="20"/>
      <c r="B32" s="20" t="s">
        <v>62</v>
      </c>
      <c r="C32" s="20"/>
      <c r="D32" s="20">
        <v>1165.48</v>
      </c>
      <c r="E32" s="20"/>
    </row>
    <row r="33" spans="1:5" x14ac:dyDescent="0.25">
      <c r="A33" s="20"/>
      <c r="B33" s="27" t="s">
        <v>33</v>
      </c>
      <c r="C33" s="20"/>
      <c r="D33" s="20">
        <v>0</v>
      </c>
      <c r="E33" s="20"/>
    </row>
    <row r="34" spans="1:5" x14ac:dyDescent="0.25">
      <c r="A34" s="20"/>
      <c r="B34" s="20" t="s">
        <v>34</v>
      </c>
      <c r="C34" s="20"/>
      <c r="D34" s="28">
        <f>3529.36+3508.62</f>
        <v>7037.98</v>
      </c>
      <c r="E34" s="20"/>
    </row>
    <row r="35" spans="1:5" x14ac:dyDescent="0.25">
      <c r="A35" s="20"/>
      <c r="B35" s="13" t="s">
        <v>52</v>
      </c>
      <c r="C35" s="20"/>
      <c r="D35" s="28">
        <v>0</v>
      </c>
      <c r="E35" s="20"/>
    </row>
    <row r="36" spans="1:5" x14ac:dyDescent="0.25">
      <c r="A36" s="20"/>
      <c r="B36" s="27" t="s">
        <v>36</v>
      </c>
      <c r="C36" s="20"/>
      <c r="D36" s="28">
        <v>2149.59</v>
      </c>
      <c r="E36" s="20"/>
    </row>
    <row r="37" spans="1:5" x14ac:dyDescent="0.25">
      <c r="A37" s="20"/>
      <c r="B37" s="20" t="s">
        <v>38</v>
      </c>
      <c r="C37" s="20"/>
      <c r="D37" s="20">
        <f>1946.29+1854.18</f>
        <v>3800.4700000000003</v>
      </c>
      <c r="E37" s="20"/>
    </row>
    <row r="38" spans="1:5" x14ac:dyDescent="0.25">
      <c r="A38" s="20">
        <v>4</v>
      </c>
      <c r="B38" s="22" t="s">
        <v>39</v>
      </c>
      <c r="C38" s="20"/>
      <c r="D38" s="26">
        <f>D39+D40</f>
        <v>29349.010000000002</v>
      </c>
      <c r="E38" s="26">
        <f>E39</f>
        <v>4833.58932</v>
      </c>
    </row>
    <row r="39" spans="1:5" x14ac:dyDescent="0.25">
      <c r="A39" s="20"/>
      <c r="B39" s="31" t="s">
        <v>40</v>
      </c>
      <c r="C39" s="31"/>
      <c r="D39" s="32">
        <v>23928.66</v>
      </c>
      <c r="E39" s="32">
        <f>D39*20.2%</f>
        <v>4833.58932</v>
      </c>
    </row>
    <row r="40" spans="1:5" x14ac:dyDescent="0.25">
      <c r="A40" s="20"/>
      <c r="B40" s="20" t="s">
        <v>41</v>
      </c>
      <c r="C40" s="20"/>
      <c r="D40" s="32">
        <v>5420.35</v>
      </c>
      <c r="E40" s="20"/>
    </row>
    <row r="41" spans="1:5" x14ac:dyDescent="0.25">
      <c r="A41" s="20">
        <v>5</v>
      </c>
      <c r="B41" s="22" t="s">
        <v>42</v>
      </c>
      <c r="C41" s="20"/>
      <c r="D41" s="26">
        <f>D20+E20+D26+E26+D30+D38+E38</f>
        <v>136308.43125999998</v>
      </c>
      <c r="E41" s="20"/>
    </row>
    <row r="42" spans="1:5" x14ac:dyDescent="0.25">
      <c r="A42" s="20">
        <v>6</v>
      </c>
      <c r="B42" s="20" t="s">
        <v>43</v>
      </c>
      <c r="C42" s="20"/>
      <c r="D42" s="26">
        <f>D17*6%</f>
        <v>12775.229399999998</v>
      </c>
      <c r="E42" s="20"/>
    </row>
    <row r="43" spans="1:5" x14ac:dyDescent="0.25">
      <c r="A43" s="20">
        <v>7</v>
      </c>
      <c r="B43" s="22"/>
      <c r="C43" s="20"/>
      <c r="D43" s="26">
        <f>D41+D42</f>
        <v>149083.66065999999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53</v>
      </c>
      <c r="C45" s="20"/>
      <c r="D45" s="26">
        <f>D17-D43</f>
        <v>63836.829339999997</v>
      </c>
      <c r="E45" s="20"/>
    </row>
    <row r="46" spans="1:5" x14ac:dyDescent="0.25">
      <c r="A46" s="20">
        <v>9</v>
      </c>
      <c r="B46" s="22" t="s">
        <v>45</v>
      </c>
      <c r="C46" s="20"/>
      <c r="D46" s="26">
        <f>D9+D45</f>
        <v>78235.529339999994</v>
      </c>
      <c r="E46" s="20"/>
    </row>
    <row r="47" spans="1:5" x14ac:dyDescent="0.25">
      <c r="A47" s="33"/>
      <c r="B47" s="34"/>
      <c r="C47" s="33"/>
      <c r="D47" s="35"/>
      <c r="E47" s="33"/>
    </row>
    <row r="48" spans="1:5" x14ac:dyDescent="0.25">
      <c r="A48" s="36"/>
      <c r="B48" s="36" t="s">
        <v>46</v>
      </c>
      <c r="C48" s="36"/>
      <c r="D48" s="36" t="s">
        <v>47</v>
      </c>
      <c r="E48" s="36"/>
    </row>
    <row r="49" spans="1:5" x14ac:dyDescent="0.25">
      <c r="A49" s="88"/>
      <c r="B49" s="88" t="s">
        <v>48</v>
      </c>
      <c r="C49" s="88"/>
      <c r="D49" s="88" t="s">
        <v>49</v>
      </c>
      <c r="E49" s="88"/>
    </row>
  </sheetData>
  <mergeCells count="3">
    <mergeCell ref="D7:E7"/>
    <mergeCell ref="A4:C4"/>
    <mergeCell ref="D6:E6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1" workbookViewId="0">
      <selection activeCell="K6" sqref="K6"/>
    </sheetView>
  </sheetViews>
  <sheetFormatPr defaultRowHeight="15" x14ac:dyDescent="0.25"/>
  <cols>
    <col min="2" max="2" width="42.140625" customWidth="1"/>
    <col min="4" max="4" width="11" customWidth="1"/>
    <col min="5" max="5" width="10.8554687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205</v>
      </c>
    </row>
    <row r="4" spans="1:5" x14ac:dyDescent="0.25">
      <c r="A4" s="43"/>
      <c r="B4" s="43"/>
      <c r="C4" s="43"/>
      <c r="D4" s="43"/>
    </row>
    <row r="5" spans="1:5" x14ac:dyDescent="0.25">
      <c r="A5" s="2"/>
      <c r="B5" s="2"/>
      <c r="C5" s="2"/>
      <c r="D5" s="3"/>
      <c r="E5" s="4"/>
    </row>
    <row r="6" spans="1:5" ht="15.75" x14ac:dyDescent="0.25">
      <c r="A6" s="5"/>
      <c r="B6" s="6" t="s">
        <v>3</v>
      </c>
      <c r="C6" s="7" t="s">
        <v>4</v>
      </c>
      <c r="D6" s="595" t="s">
        <v>5</v>
      </c>
      <c r="E6" s="596"/>
    </row>
    <row r="7" spans="1:5" ht="15.75" x14ac:dyDescent="0.25">
      <c r="A7" s="463"/>
      <c r="B7" s="6" t="s">
        <v>6</v>
      </c>
      <c r="C7" s="7" t="s">
        <v>7</v>
      </c>
      <c r="D7" s="597" t="s">
        <v>127</v>
      </c>
      <c r="E7" s="598"/>
    </row>
    <row r="8" spans="1:5" x14ac:dyDescent="0.25">
      <c r="A8" s="13"/>
      <c r="B8" s="14" t="s">
        <v>8</v>
      </c>
      <c r="C8" s="13"/>
      <c r="D8" s="462">
        <v>-244290.29</v>
      </c>
      <c r="E8" s="398"/>
    </row>
    <row r="9" spans="1:5" x14ac:dyDescent="0.25">
      <c r="A9" s="13"/>
      <c r="B9" s="14" t="s">
        <v>9</v>
      </c>
      <c r="C9" s="13" t="s">
        <v>10</v>
      </c>
      <c r="D9" s="13">
        <v>6018.32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4518.3</v>
      </c>
      <c r="E10" s="13"/>
    </row>
    <row r="11" spans="1:5" x14ac:dyDescent="0.25">
      <c r="A11" s="13"/>
      <c r="B11" s="15" t="s">
        <v>12</v>
      </c>
      <c r="C11" s="13" t="s">
        <v>13</v>
      </c>
      <c r="D11" s="19">
        <v>226779.77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f>166034.56+27994.3</f>
        <v>194028.86</v>
      </c>
      <c r="E14" s="13"/>
    </row>
    <row r="15" spans="1:5" x14ac:dyDescent="0.25">
      <c r="A15" s="13">
        <v>2</v>
      </c>
      <c r="B15" s="13" t="s">
        <v>16</v>
      </c>
      <c r="C15" s="13"/>
      <c r="D15" s="13">
        <v>10534.12</v>
      </c>
      <c r="E15" s="13"/>
    </row>
    <row r="16" spans="1:5" x14ac:dyDescent="0.25">
      <c r="A16" s="13">
        <v>3</v>
      </c>
      <c r="B16" s="13" t="s">
        <v>101</v>
      </c>
      <c r="C16" s="13"/>
      <c r="D16" s="13">
        <f>300+3000</f>
        <v>3300</v>
      </c>
      <c r="E16" s="13"/>
    </row>
    <row r="17" spans="1:5" ht="15.75" x14ac:dyDescent="0.25">
      <c r="A17" s="13"/>
      <c r="B17" s="16" t="s">
        <v>17</v>
      </c>
      <c r="C17" s="13"/>
      <c r="D17" s="19">
        <f>D14+D15+D16</f>
        <v>207862.97999999998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31"/>
      <c r="B19" s="21" t="s">
        <v>18</v>
      </c>
      <c r="C19" s="31"/>
      <c r="D19" s="22"/>
      <c r="E19" s="464" t="s">
        <v>19</v>
      </c>
    </row>
    <row r="20" spans="1:5" x14ac:dyDescent="0.25">
      <c r="A20" s="465" t="s">
        <v>20</v>
      </c>
      <c r="B20" s="25" t="s">
        <v>21</v>
      </c>
      <c r="C20" s="31"/>
      <c r="D20" s="26">
        <f>D21+D26+D25</f>
        <v>69138.34</v>
      </c>
      <c r="E20" s="26">
        <f>E21</f>
        <v>13520.512459999998</v>
      </c>
    </row>
    <row r="21" spans="1:5" x14ac:dyDescent="0.25">
      <c r="A21" s="31">
        <v>1</v>
      </c>
      <c r="B21" s="22" t="s">
        <v>22</v>
      </c>
      <c r="C21" s="31" t="s">
        <v>13</v>
      </c>
      <c r="D21" s="26">
        <f>D22+D23+D24</f>
        <v>66933.23</v>
      </c>
      <c r="E21" s="26">
        <f>E22+E23+E24</f>
        <v>13520.512459999998</v>
      </c>
    </row>
    <row r="22" spans="1:5" x14ac:dyDescent="0.25">
      <c r="A22" s="31"/>
      <c r="B22" s="31" t="s">
        <v>23</v>
      </c>
      <c r="C22" s="31"/>
      <c r="D22" s="31">
        <v>26279.919999999998</v>
      </c>
      <c r="E22" s="32">
        <f>D22*20.2%</f>
        <v>5308.5438399999994</v>
      </c>
    </row>
    <row r="23" spans="1:5" x14ac:dyDescent="0.25">
      <c r="A23" s="31"/>
      <c r="B23" s="31" t="s">
        <v>24</v>
      </c>
      <c r="C23" s="31"/>
      <c r="D23" s="473">
        <v>15904.72</v>
      </c>
      <c r="E23" s="32">
        <f>D23*20.2%</f>
        <v>3212.7534399999995</v>
      </c>
    </row>
    <row r="24" spans="1:5" x14ac:dyDescent="0.25">
      <c r="A24" s="31"/>
      <c r="B24" s="31" t="s">
        <v>25</v>
      </c>
      <c r="C24" s="31"/>
      <c r="D24" s="31">
        <v>24748.59</v>
      </c>
      <c r="E24" s="32">
        <f>D24*20.2%</f>
        <v>4999.2151799999992</v>
      </c>
    </row>
    <row r="25" spans="1:5" x14ac:dyDescent="0.25">
      <c r="A25" s="31"/>
      <c r="B25" s="31" t="s">
        <v>79</v>
      </c>
      <c r="C25" s="31"/>
      <c r="D25" s="31">
        <v>1577.62</v>
      </c>
      <c r="E25" s="32"/>
    </row>
    <row r="26" spans="1:5" x14ac:dyDescent="0.25">
      <c r="A26" s="31">
        <v>2</v>
      </c>
      <c r="B26" s="31" t="s">
        <v>26</v>
      </c>
      <c r="C26" s="31"/>
      <c r="D26" s="31">
        <v>627.49</v>
      </c>
      <c r="E26" s="32"/>
    </row>
    <row r="27" spans="1:5" x14ac:dyDescent="0.25">
      <c r="A27" s="465" t="s">
        <v>27</v>
      </c>
      <c r="B27" s="30" t="s">
        <v>28</v>
      </c>
      <c r="C27" s="31"/>
      <c r="D27" s="22">
        <f>D28+D29</f>
        <v>54596.57</v>
      </c>
      <c r="E27" s="26">
        <f>E28</f>
        <v>8637.4129400000002</v>
      </c>
    </row>
    <row r="28" spans="1:5" x14ac:dyDescent="0.25">
      <c r="A28" s="31">
        <v>1</v>
      </c>
      <c r="B28" s="31" t="s">
        <v>29</v>
      </c>
      <c r="C28" s="31"/>
      <c r="D28" s="31">
        <v>42759.47</v>
      </c>
      <c r="E28" s="32">
        <f>D28*20.2%</f>
        <v>8637.4129400000002</v>
      </c>
    </row>
    <row r="29" spans="1:5" x14ac:dyDescent="0.25">
      <c r="A29" s="31">
        <v>2</v>
      </c>
      <c r="B29" s="31" t="s">
        <v>26</v>
      </c>
      <c r="C29" s="31"/>
      <c r="D29" s="31">
        <v>11837.1</v>
      </c>
      <c r="E29" s="31"/>
    </row>
    <row r="30" spans="1:5" x14ac:dyDescent="0.25">
      <c r="A30" s="465" t="s">
        <v>30</v>
      </c>
      <c r="B30" s="22" t="s">
        <v>31</v>
      </c>
      <c r="C30" s="31"/>
      <c r="D30" s="26">
        <f>D31+D32+D33+D34+D35+D37+D36</f>
        <v>28603.858999999997</v>
      </c>
      <c r="E30" s="31"/>
    </row>
    <row r="31" spans="1:5" x14ac:dyDescent="0.25">
      <c r="A31" s="31"/>
      <c r="B31" s="31" t="s">
        <v>32</v>
      </c>
      <c r="C31" s="31"/>
      <c r="D31" s="32">
        <f>D17*5%</f>
        <v>10393.148999999999</v>
      </c>
      <c r="E31" s="31"/>
    </row>
    <row r="32" spans="1:5" x14ac:dyDescent="0.25">
      <c r="A32" s="31"/>
      <c r="B32" s="31" t="s">
        <v>62</v>
      </c>
      <c r="C32" s="31"/>
      <c r="D32" s="31">
        <v>701.09</v>
      </c>
      <c r="E32" s="31"/>
    </row>
    <row r="33" spans="1:5" x14ac:dyDescent="0.25">
      <c r="A33" s="31"/>
      <c r="B33" s="31" t="s">
        <v>34</v>
      </c>
      <c r="C33" s="31"/>
      <c r="D33" s="32">
        <f>3544.29+3523.47</f>
        <v>7067.76</v>
      </c>
      <c r="E33" s="31"/>
    </row>
    <row r="34" spans="1:5" x14ac:dyDescent="0.25">
      <c r="A34" s="31"/>
      <c r="B34" s="31" t="s">
        <v>33</v>
      </c>
      <c r="C34" s="31"/>
      <c r="D34" s="31">
        <v>3766.62</v>
      </c>
      <c r="E34" s="31"/>
    </row>
    <row r="35" spans="1:5" x14ac:dyDescent="0.25">
      <c r="A35" s="31"/>
      <c r="B35" s="31" t="s">
        <v>36</v>
      </c>
      <c r="C35" s="31"/>
      <c r="D35" s="31">
        <v>2158.69</v>
      </c>
      <c r="E35" s="31"/>
    </row>
    <row r="36" spans="1:5" x14ac:dyDescent="0.25">
      <c r="A36" s="31"/>
      <c r="B36" s="31" t="s">
        <v>95</v>
      </c>
      <c r="C36" s="31"/>
      <c r="D36" s="31">
        <v>700</v>
      </c>
      <c r="E36" s="31"/>
    </row>
    <row r="37" spans="1:5" x14ac:dyDescent="0.25">
      <c r="A37" s="31"/>
      <c r="B37" s="31" t="s">
        <v>38</v>
      </c>
      <c r="C37" s="31"/>
      <c r="D37" s="31">
        <f>1954.53+1862.02</f>
        <v>3816.55</v>
      </c>
      <c r="E37" s="31"/>
    </row>
    <row r="38" spans="1:5" x14ac:dyDescent="0.25">
      <c r="A38" s="31">
        <v>4</v>
      </c>
      <c r="B38" s="22" t="s">
        <v>39</v>
      </c>
      <c r="C38" s="31"/>
      <c r="D38" s="26">
        <f>D39+D40</f>
        <v>24726.41</v>
      </c>
      <c r="E38" s="26">
        <f>E39</f>
        <v>3895.1902399999994</v>
      </c>
    </row>
    <row r="39" spans="1:5" x14ac:dyDescent="0.25">
      <c r="A39" s="31"/>
      <c r="B39" s="31" t="s">
        <v>40</v>
      </c>
      <c r="C39" s="31"/>
      <c r="D39" s="32">
        <v>19283.12</v>
      </c>
      <c r="E39" s="32">
        <f>D39*20.2%</f>
        <v>3895.1902399999994</v>
      </c>
    </row>
    <row r="40" spans="1:5" x14ac:dyDescent="0.25">
      <c r="A40" s="31"/>
      <c r="B40" s="31" t="s">
        <v>41</v>
      </c>
      <c r="C40" s="31"/>
      <c r="D40" s="32">
        <v>5443.29</v>
      </c>
      <c r="E40" s="31"/>
    </row>
    <row r="41" spans="1:5" x14ac:dyDescent="0.25">
      <c r="A41" s="31">
        <v>5</v>
      </c>
      <c r="B41" s="22" t="s">
        <v>42</v>
      </c>
      <c r="C41" s="31"/>
      <c r="D41" s="26">
        <f>D20+E20+D27+E27+D30+D38+E38</f>
        <v>203118.29464000001</v>
      </c>
      <c r="E41" s="31"/>
    </row>
    <row r="42" spans="1:5" x14ac:dyDescent="0.25">
      <c r="A42" s="31">
        <v>6</v>
      </c>
      <c r="B42" s="31" t="s">
        <v>43</v>
      </c>
      <c r="C42" s="31"/>
      <c r="D42" s="26">
        <f>D17*6%</f>
        <v>12471.778799999998</v>
      </c>
      <c r="E42" s="31"/>
    </row>
    <row r="43" spans="1:5" x14ac:dyDescent="0.25">
      <c r="A43" s="31">
        <v>7</v>
      </c>
      <c r="B43" s="22" t="s">
        <v>44</v>
      </c>
      <c r="C43" s="31"/>
      <c r="D43" s="26">
        <f>D41+D42</f>
        <v>215590.07344000001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53</v>
      </c>
      <c r="C45" s="31"/>
      <c r="D45" s="26">
        <f>D16+D14-D43</f>
        <v>-18261.213440000021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D8+D45</f>
        <v>-262551.50344</v>
      </c>
      <c r="E46" s="31"/>
    </row>
    <row r="47" spans="1:5" x14ac:dyDescent="0.25">
      <c r="A47" s="399"/>
      <c r="B47" s="34" t="s">
        <v>16</v>
      </c>
      <c r="C47" s="399"/>
      <c r="D47" s="35">
        <f>D15</f>
        <v>10534.12</v>
      </c>
      <c r="E47" s="399"/>
    </row>
    <row r="48" spans="1:5" x14ac:dyDescent="0.25">
      <c r="A48" s="399"/>
      <c r="B48" s="34"/>
      <c r="C48" s="399"/>
      <c r="D48" s="35"/>
      <c r="E48" s="399"/>
    </row>
    <row r="49" spans="1:5" x14ac:dyDescent="0.25">
      <c r="A49" s="237"/>
      <c r="B49" s="237" t="s">
        <v>46</v>
      </c>
      <c r="C49" s="237"/>
      <c r="D49" s="237" t="s">
        <v>47</v>
      </c>
      <c r="E49" s="237"/>
    </row>
    <row r="50" spans="1:5" x14ac:dyDescent="0.25">
      <c r="A50" s="237"/>
      <c r="B50" s="237" t="s">
        <v>48</v>
      </c>
      <c r="C50" s="237"/>
      <c r="D50" s="237" t="s">
        <v>49</v>
      </c>
      <c r="E50" s="237"/>
    </row>
  </sheetData>
  <mergeCells count="2">
    <mergeCell ref="D7:E7"/>
    <mergeCell ref="D6:E6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9" workbookViewId="0">
      <selection activeCell="H9" sqref="G9:H9"/>
    </sheetView>
  </sheetViews>
  <sheetFormatPr defaultRowHeight="15" x14ac:dyDescent="0.25"/>
  <cols>
    <col min="2" max="2" width="41" customWidth="1"/>
    <col min="4" max="4" width="11" customWidth="1"/>
    <col min="5" max="5" width="11.140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206</v>
      </c>
    </row>
    <row r="5" spans="1:5" x14ac:dyDescent="0.25">
      <c r="B5" t="s">
        <v>75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3</v>
      </c>
      <c r="C7" s="7" t="s">
        <v>4</v>
      </c>
      <c r="D7" s="595" t="s">
        <v>5</v>
      </c>
      <c r="E7" s="596"/>
    </row>
    <row r="8" spans="1:5" ht="15.75" x14ac:dyDescent="0.25">
      <c r="A8" s="463"/>
      <c r="B8" s="6" t="s">
        <v>6</v>
      </c>
      <c r="C8" s="7" t="s">
        <v>7</v>
      </c>
      <c r="D8" s="597" t="s">
        <v>195</v>
      </c>
      <c r="E8" s="598"/>
    </row>
    <row r="9" spans="1:5" ht="15.75" x14ac:dyDescent="0.25">
      <c r="A9" s="463"/>
      <c r="B9" s="6"/>
      <c r="C9" s="7"/>
      <c r="D9" s="454"/>
      <c r="E9" s="455"/>
    </row>
    <row r="10" spans="1:5" x14ac:dyDescent="0.25">
      <c r="A10" s="13"/>
      <c r="B10" s="14" t="s">
        <v>134</v>
      </c>
      <c r="C10" s="13" t="s">
        <v>10</v>
      </c>
      <c r="D10" s="13">
        <v>-67866.289999999994</v>
      </c>
      <c r="E10" s="13"/>
    </row>
    <row r="11" spans="1:5" x14ac:dyDescent="0.25">
      <c r="A11" s="13"/>
      <c r="B11" s="477" t="s">
        <v>135</v>
      </c>
      <c r="C11" s="9"/>
      <c r="D11" s="478">
        <v>86605.21</v>
      </c>
      <c r="E11" s="11"/>
    </row>
    <row r="12" spans="1:5" x14ac:dyDescent="0.25">
      <c r="A12" s="13"/>
      <c r="B12" s="14" t="s">
        <v>9</v>
      </c>
      <c r="C12" s="13" t="s">
        <v>10</v>
      </c>
      <c r="D12" s="13">
        <v>7399.64</v>
      </c>
      <c r="E12" s="13"/>
    </row>
    <row r="13" spans="1:5" x14ac:dyDescent="0.25">
      <c r="A13" s="13"/>
      <c r="B13" s="14" t="s">
        <v>11</v>
      </c>
      <c r="C13" s="13" t="s">
        <v>10</v>
      </c>
      <c r="D13" s="17">
        <v>5164</v>
      </c>
      <c r="E13" s="13"/>
    </row>
    <row r="14" spans="1:5" x14ac:dyDescent="0.25">
      <c r="A14" s="13"/>
      <c r="B14" s="15" t="s">
        <v>12</v>
      </c>
      <c r="C14" s="13" t="s">
        <v>13</v>
      </c>
      <c r="D14" s="17">
        <v>322640.90000000002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14</v>
      </c>
      <c r="C16" s="13"/>
      <c r="D16" s="13"/>
      <c r="E16" s="13"/>
    </row>
    <row r="17" spans="1:5" x14ac:dyDescent="0.25">
      <c r="A17" s="13">
        <v>1</v>
      </c>
      <c r="B17" s="13" t="s">
        <v>15</v>
      </c>
      <c r="C17" s="13" t="s">
        <v>13</v>
      </c>
      <c r="D17" s="17">
        <v>222710.66</v>
      </c>
      <c r="E17" s="13"/>
    </row>
    <row r="18" spans="1:5" x14ac:dyDescent="0.25">
      <c r="A18" s="13">
        <v>2</v>
      </c>
      <c r="B18" s="13" t="s">
        <v>16</v>
      </c>
      <c r="C18" s="13"/>
      <c r="D18" s="17">
        <v>93968.22</v>
      </c>
      <c r="E18" s="13"/>
    </row>
    <row r="19" spans="1:5" ht="15.75" x14ac:dyDescent="0.25">
      <c r="A19" s="13"/>
      <c r="B19" s="16" t="s">
        <v>17</v>
      </c>
      <c r="C19" s="13"/>
      <c r="D19" s="18">
        <f>D17+D18</f>
        <v>316678.88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31"/>
      <c r="B21" s="21" t="s">
        <v>18</v>
      </c>
      <c r="C21" s="31"/>
      <c r="D21" s="22"/>
      <c r="E21" s="464" t="s">
        <v>19</v>
      </c>
    </row>
    <row r="22" spans="1:5" x14ac:dyDescent="0.25">
      <c r="A22" s="465" t="s">
        <v>20</v>
      </c>
      <c r="B22" s="25" t="s">
        <v>21</v>
      </c>
      <c r="C22" s="31"/>
      <c r="D22" s="26">
        <f>D23+D27</f>
        <v>68309.469999999987</v>
      </c>
      <c r="E22" s="26">
        <f>E23</f>
        <v>13653.6446</v>
      </c>
    </row>
    <row r="23" spans="1:5" x14ac:dyDescent="0.25">
      <c r="A23" s="31">
        <v>1</v>
      </c>
      <c r="B23" s="22" t="s">
        <v>22</v>
      </c>
      <c r="C23" s="31" t="s">
        <v>13</v>
      </c>
      <c r="D23" s="26">
        <f>D24+D25+D26</f>
        <v>67592.299999999988</v>
      </c>
      <c r="E23" s="26">
        <f>E24+E25+E26</f>
        <v>13653.6446</v>
      </c>
    </row>
    <row r="24" spans="1:5" x14ac:dyDescent="0.25">
      <c r="A24" s="31"/>
      <c r="B24" s="31" t="s">
        <v>23</v>
      </c>
      <c r="C24" s="31"/>
      <c r="D24" s="31">
        <v>16815.98</v>
      </c>
      <c r="E24" s="32">
        <f>D24*20.2%</f>
        <v>3396.8279599999996</v>
      </c>
    </row>
    <row r="25" spans="1:5" x14ac:dyDescent="0.25">
      <c r="A25" s="31"/>
      <c r="B25" s="31" t="s">
        <v>24</v>
      </c>
      <c r="C25" s="31"/>
      <c r="D25" s="473">
        <v>26184.5</v>
      </c>
      <c r="E25" s="32">
        <f>D25*20.2%</f>
        <v>5289.2689999999993</v>
      </c>
    </row>
    <row r="26" spans="1:5" x14ac:dyDescent="0.25">
      <c r="A26" s="31"/>
      <c r="B26" s="31" t="s">
        <v>25</v>
      </c>
      <c r="C26" s="31"/>
      <c r="D26" s="31">
        <v>24591.82</v>
      </c>
      <c r="E26" s="32">
        <f>D26*20.2%</f>
        <v>4967.5476399999998</v>
      </c>
    </row>
    <row r="27" spans="1:5" x14ac:dyDescent="0.25">
      <c r="A27" s="31">
        <v>2</v>
      </c>
      <c r="B27" s="31" t="s">
        <v>26</v>
      </c>
      <c r="C27" s="31"/>
      <c r="D27" s="31">
        <v>717.17</v>
      </c>
      <c r="E27" s="32"/>
    </row>
    <row r="28" spans="1:5" x14ac:dyDescent="0.25">
      <c r="A28" s="465" t="s">
        <v>27</v>
      </c>
      <c r="B28" s="30" t="s">
        <v>28</v>
      </c>
      <c r="C28" s="31"/>
      <c r="D28" s="22">
        <f>D29+D30</f>
        <v>59489.71</v>
      </c>
      <c r="E28" s="26">
        <f>E29</f>
        <v>9871.7662599999985</v>
      </c>
    </row>
    <row r="29" spans="1:5" x14ac:dyDescent="0.25">
      <c r="A29" s="31">
        <v>1</v>
      </c>
      <c r="B29" s="31" t="s">
        <v>29</v>
      </c>
      <c r="C29" s="31"/>
      <c r="D29" s="31">
        <v>48870.13</v>
      </c>
      <c r="E29" s="32">
        <f>D29*20.2%</f>
        <v>9871.7662599999985</v>
      </c>
    </row>
    <row r="30" spans="1:5" x14ac:dyDescent="0.25">
      <c r="A30" s="31">
        <v>2</v>
      </c>
      <c r="B30" s="31" t="s">
        <v>26</v>
      </c>
      <c r="C30" s="31"/>
      <c r="D30" s="31">
        <v>10619.58</v>
      </c>
      <c r="E30" s="31"/>
    </row>
    <row r="31" spans="1:5" x14ac:dyDescent="0.25">
      <c r="A31" s="465" t="s">
        <v>30</v>
      </c>
      <c r="B31" s="22" t="s">
        <v>31</v>
      </c>
      <c r="C31" s="31"/>
      <c r="D31" s="26">
        <f>D32+D33+D34+D36+D37+D35</f>
        <v>31631.743999999999</v>
      </c>
      <c r="E31" s="31"/>
    </row>
    <row r="32" spans="1:5" x14ac:dyDescent="0.25">
      <c r="A32" s="31"/>
      <c r="B32" s="31" t="s">
        <v>32</v>
      </c>
      <c r="C32" s="31"/>
      <c r="D32" s="32">
        <f>D19*5%</f>
        <v>15833.944000000001</v>
      </c>
      <c r="E32" s="31"/>
    </row>
    <row r="33" spans="1:5" x14ac:dyDescent="0.25">
      <c r="A33" s="31"/>
      <c r="B33" s="31" t="s">
        <v>62</v>
      </c>
      <c r="C33" s="31"/>
      <c r="D33" s="31">
        <v>745.1</v>
      </c>
      <c r="E33" s="31"/>
    </row>
    <row r="34" spans="1:5" x14ac:dyDescent="0.25">
      <c r="A34" s="31"/>
      <c r="B34" s="31" t="s">
        <v>34</v>
      </c>
      <c r="C34" s="31"/>
      <c r="D34" s="32">
        <f>4050.8+4027</f>
        <v>8077.8</v>
      </c>
      <c r="E34" s="31"/>
    </row>
    <row r="35" spans="1:5" x14ac:dyDescent="0.25">
      <c r="A35" s="31"/>
      <c r="B35" s="13" t="s">
        <v>52</v>
      </c>
      <c r="C35" s="31"/>
      <c r="D35" s="32">
        <f>2*72.88</f>
        <v>145.76</v>
      </c>
      <c r="E35" s="31"/>
    </row>
    <row r="36" spans="1:5" x14ac:dyDescent="0.25">
      <c r="A36" s="31"/>
      <c r="B36" s="31" t="s">
        <v>36</v>
      </c>
      <c r="C36" s="31"/>
      <c r="D36" s="31">
        <v>2467.1799999999998</v>
      </c>
      <c r="E36" s="31"/>
    </row>
    <row r="37" spans="1:5" x14ac:dyDescent="0.25">
      <c r="A37" s="31"/>
      <c r="B37" s="31" t="s">
        <v>38</v>
      </c>
      <c r="C37" s="31"/>
      <c r="D37" s="31">
        <f>2233.84+2128.12</f>
        <v>4361.96</v>
      </c>
      <c r="E37" s="31"/>
    </row>
    <row r="38" spans="1:5" x14ac:dyDescent="0.25">
      <c r="A38" s="31">
        <v>4</v>
      </c>
      <c r="B38" s="22" t="s">
        <v>39</v>
      </c>
      <c r="C38" s="31"/>
      <c r="D38" s="26">
        <f>D39+D40</f>
        <v>33685.18</v>
      </c>
      <c r="E38" s="26">
        <f>E39</f>
        <v>5547.7239599999994</v>
      </c>
    </row>
    <row r="39" spans="1:5" x14ac:dyDescent="0.25">
      <c r="A39" s="31"/>
      <c r="B39" s="31" t="s">
        <v>40</v>
      </c>
      <c r="C39" s="31"/>
      <c r="D39" s="32">
        <v>27463.98</v>
      </c>
      <c r="E39" s="32">
        <f>D39*20.2%</f>
        <v>5547.7239599999994</v>
      </c>
    </row>
    <row r="40" spans="1:5" x14ac:dyDescent="0.25">
      <c r="A40" s="31"/>
      <c r="B40" s="31" t="s">
        <v>41</v>
      </c>
      <c r="C40" s="31"/>
      <c r="D40" s="32">
        <v>6221.2</v>
      </c>
      <c r="E40" s="31"/>
    </row>
    <row r="41" spans="1:5" x14ac:dyDescent="0.25">
      <c r="A41" s="31">
        <v>5</v>
      </c>
      <c r="B41" s="22" t="s">
        <v>42</v>
      </c>
      <c r="C41" s="31"/>
      <c r="D41" s="26">
        <f>D22+E22+D28+E28+D31+D38+E38</f>
        <v>222189.23882</v>
      </c>
      <c r="E41" s="31"/>
    </row>
    <row r="42" spans="1:5" x14ac:dyDescent="0.25">
      <c r="A42" s="31">
        <v>6</v>
      </c>
      <c r="B42" s="31" t="s">
        <v>43</v>
      </c>
      <c r="C42" s="31"/>
      <c r="D42" s="26">
        <f>D19*6%</f>
        <v>19000.732799999998</v>
      </c>
      <c r="E42" s="31"/>
    </row>
    <row r="43" spans="1:5" x14ac:dyDescent="0.25">
      <c r="A43" s="31">
        <v>7</v>
      </c>
      <c r="B43" s="22" t="s">
        <v>44</v>
      </c>
      <c r="C43" s="31"/>
      <c r="D43" s="26">
        <f>D41+D42</f>
        <v>241189.97162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53</v>
      </c>
      <c r="C45" s="31"/>
      <c r="D45" s="26">
        <f>D17-D43</f>
        <v>-18479.311619999993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D10+D45</f>
        <v>-86345.601619999987</v>
      </c>
      <c r="E46" s="31"/>
    </row>
    <row r="47" spans="1:5" x14ac:dyDescent="0.25">
      <c r="A47" s="399"/>
      <c r="B47" s="34" t="s">
        <v>16</v>
      </c>
      <c r="C47" s="399"/>
      <c r="D47" s="35">
        <f>D11+D18</f>
        <v>180573.43</v>
      </c>
      <c r="E47" s="399"/>
    </row>
    <row r="48" spans="1:5" x14ac:dyDescent="0.25">
      <c r="A48" s="399"/>
      <c r="B48" s="34"/>
      <c r="C48" s="399"/>
      <c r="D48" s="35"/>
      <c r="E48" s="399"/>
    </row>
    <row r="49" spans="1:5" x14ac:dyDescent="0.25">
      <c r="A49" s="399"/>
      <c r="B49" s="399" t="s">
        <v>82</v>
      </c>
      <c r="C49" s="399"/>
      <c r="D49" s="401" t="s">
        <v>47</v>
      </c>
      <c r="E49" s="399"/>
    </row>
    <row r="50" spans="1:5" x14ac:dyDescent="0.25">
      <c r="A50" s="237"/>
      <c r="B50" s="237" t="s">
        <v>48</v>
      </c>
      <c r="C50" s="237"/>
      <c r="D50" s="237" t="s">
        <v>49</v>
      </c>
      <c r="E50" s="2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8" workbookViewId="0">
      <selection activeCell="H11" sqref="H11"/>
    </sheetView>
  </sheetViews>
  <sheetFormatPr defaultRowHeight="15" x14ac:dyDescent="0.25"/>
  <cols>
    <col min="2" max="2" width="35.42578125" customWidth="1"/>
    <col min="4" max="4" width="15.140625" customWidth="1"/>
    <col min="5" max="5" width="15.425781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207</v>
      </c>
    </row>
    <row r="4" spans="1:5" x14ac:dyDescent="0.25">
      <c r="B4" t="s">
        <v>2</v>
      </c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463"/>
      <c r="B6" s="6" t="s">
        <v>6</v>
      </c>
      <c r="C6" s="7" t="s">
        <v>7</v>
      </c>
      <c r="D6" s="597" t="s">
        <v>184</v>
      </c>
      <c r="E6" s="598"/>
    </row>
    <row r="7" spans="1:5" x14ac:dyDescent="0.25">
      <c r="A7" s="13"/>
      <c r="B7" s="480" t="s">
        <v>134</v>
      </c>
      <c r="C7" s="13"/>
      <c r="D7" s="462">
        <v>-32142.73</v>
      </c>
      <c r="E7" s="398"/>
    </row>
    <row r="8" spans="1:5" x14ac:dyDescent="0.25">
      <c r="A8" s="9"/>
      <c r="B8" s="477" t="s">
        <v>135</v>
      </c>
      <c r="C8" s="9"/>
      <c r="D8" s="10">
        <v>76014.92</v>
      </c>
      <c r="E8" s="11"/>
    </row>
    <row r="9" spans="1:5" x14ac:dyDescent="0.25">
      <c r="A9" s="13"/>
      <c r="B9" s="14" t="s">
        <v>9</v>
      </c>
      <c r="C9" s="13" t="s">
        <v>10</v>
      </c>
      <c r="D9" s="13">
        <v>6804.5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5184.7</v>
      </c>
      <c r="E10" s="13"/>
    </row>
    <row r="11" spans="1:5" x14ac:dyDescent="0.25">
      <c r="A11" s="13"/>
      <c r="B11" s="15" t="s">
        <v>12</v>
      </c>
      <c r="C11" s="13" t="s">
        <v>13</v>
      </c>
      <c r="D11" s="13">
        <f>197731.65+126+72920.58</f>
        <v>270778.23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183282.79</v>
      </c>
      <c r="E14" s="13"/>
    </row>
    <row r="15" spans="1:5" x14ac:dyDescent="0.25">
      <c r="A15" s="13"/>
      <c r="B15" s="13" t="s">
        <v>16</v>
      </c>
      <c r="C15" s="13"/>
      <c r="D15" s="13">
        <v>52981.86</v>
      </c>
      <c r="E15" s="13"/>
    </row>
    <row r="16" spans="1:5" ht="15.75" x14ac:dyDescent="0.25">
      <c r="A16" s="13"/>
      <c r="B16" s="16" t="s">
        <v>17</v>
      </c>
      <c r="C16" s="13"/>
      <c r="D16" s="18">
        <f>D14+D15</f>
        <v>236264.65000000002</v>
      </c>
      <c r="E16" s="13"/>
    </row>
    <row r="17" spans="1:5" ht="15.75" x14ac:dyDescent="0.25">
      <c r="A17" s="13"/>
      <c r="B17" s="16"/>
      <c r="C17" s="13"/>
      <c r="D17" s="19"/>
      <c r="E17" s="13"/>
    </row>
    <row r="18" spans="1:5" ht="15.75" x14ac:dyDescent="0.25">
      <c r="A18" s="31"/>
      <c r="B18" s="21" t="s">
        <v>18</v>
      </c>
      <c r="C18" s="31"/>
      <c r="D18" s="22"/>
      <c r="E18" s="464" t="s">
        <v>19</v>
      </c>
    </row>
    <row r="19" spans="1:5" x14ac:dyDescent="0.25">
      <c r="A19" s="465" t="s">
        <v>20</v>
      </c>
      <c r="B19" s="25" t="s">
        <v>21</v>
      </c>
      <c r="C19" s="31"/>
      <c r="D19" s="22">
        <f>D20+D24</f>
        <v>25011.93</v>
      </c>
      <c r="E19" s="26">
        <f>E20</f>
        <v>4906.9617799999996</v>
      </c>
    </row>
    <row r="20" spans="1:5" x14ac:dyDescent="0.25">
      <c r="A20" s="31">
        <v>1</v>
      </c>
      <c r="B20" s="22" t="s">
        <v>22</v>
      </c>
      <c r="C20" s="31" t="s">
        <v>13</v>
      </c>
      <c r="D20" s="22">
        <f>D21</f>
        <v>24291.89</v>
      </c>
      <c r="E20" s="26">
        <f>E21</f>
        <v>4906.9617799999996</v>
      </c>
    </row>
    <row r="21" spans="1:5" x14ac:dyDescent="0.25">
      <c r="A21" s="31"/>
      <c r="B21" s="31" t="s">
        <v>23</v>
      </c>
      <c r="C21" s="31"/>
      <c r="D21" s="31">
        <v>24291.89</v>
      </c>
      <c r="E21" s="32">
        <f>D21*20.2%</f>
        <v>4906.9617799999996</v>
      </c>
    </row>
    <row r="22" spans="1:5" x14ac:dyDescent="0.25">
      <c r="A22" s="31"/>
      <c r="B22" s="31" t="s">
        <v>24</v>
      </c>
      <c r="C22" s="31"/>
      <c r="D22" s="473"/>
      <c r="E22" s="32"/>
    </row>
    <row r="23" spans="1:5" x14ac:dyDescent="0.25">
      <c r="A23" s="31"/>
      <c r="B23" s="31" t="s">
        <v>25</v>
      </c>
      <c r="C23" s="31"/>
      <c r="D23" s="31"/>
      <c r="E23" s="32"/>
    </row>
    <row r="24" spans="1:5" x14ac:dyDescent="0.25">
      <c r="A24" s="31">
        <v>2</v>
      </c>
      <c r="B24" s="31" t="s">
        <v>26</v>
      </c>
      <c r="C24" s="31"/>
      <c r="D24" s="31">
        <v>720.04</v>
      </c>
      <c r="E24" s="32"/>
    </row>
    <row r="25" spans="1:5" x14ac:dyDescent="0.25">
      <c r="A25" s="465" t="s">
        <v>27</v>
      </c>
      <c r="B25" s="30" t="s">
        <v>28</v>
      </c>
      <c r="C25" s="31"/>
      <c r="D25" s="22">
        <f>D26+D27</f>
        <v>49328.22</v>
      </c>
      <c r="E25" s="26">
        <f>E26</f>
        <v>9911.3380599999982</v>
      </c>
    </row>
    <row r="26" spans="1:5" x14ac:dyDescent="0.25">
      <c r="A26" s="31">
        <v>1</v>
      </c>
      <c r="B26" s="31" t="s">
        <v>29</v>
      </c>
      <c r="C26" s="31"/>
      <c r="D26" s="31">
        <v>49066.03</v>
      </c>
      <c r="E26" s="32">
        <f>D26*20.2%</f>
        <v>9911.3380599999982</v>
      </c>
    </row>
    <row r="27" spans="1:5" x14ac:dyDescent="0.25">
      <c r="A27" s="31">
        <v>2</v>
      </c>
      <c r="B27" s="31" t="s">
        <v>26</v>
      </c>
      <c r="C27" s="31"/>
      <c r="D27" s="31">
        <v>262.19</v>
      </c>
      <c r="E27" s="31"/>
    </row>
    <row r="28" spans="1:5" x14ac:dyDescent="0.25">
      <c r="A28" s="465" t="s">
        <v>30</v>
      </c>
      <c r="B28" s="22" t="s">
        <v>31</v>
      </c>
      <c r="C28" s="31"/>
      <c r="D28" s="26">
        <f>D29+D30+D31+D32+D33+D34</f>
        <v>56485.352499999994</v>
      </c>
      <c r="E28" s="31"/>
    </row>
    <row r="29" spans="1:5" x14ac:dyDescent="0.25">
      <c r="A29" s="31"/>
      <c r="B29" s="31" t="s">
        <v>32</v>
      </c>
      <c r="C29" s="31"/>
      <c r="D29" s="32">
        <f>D16*5%</f>
        <v>11813.232500000002</v>
      </c>
      <c r="E29" s="31"/>
    </row>
    <row r="30" spans="1:5" x14ac:dyDescent="0.25">
      <c r="A30" s="31"/>
      <c r="B30" s="31" t="s">
        <v>62</v>
      </c>
      <c r="C30" s="31"/>
      <c r="D30" s="31">
        <v>0</v>
      </c>
      <c r="E30" s="31"/>
    </row>
    <row r="31" spans="1:5" x14ac:dyDescent="0.25">
      <c r="A31" s="31"/>
      <c r="B31" s="31" t="s">
        <v>34</v>
      </c>
      <c r="C31" s="31"/>
      <c r="D31" s="32">
        <f>4067.04+4043.14</f>
        <v>8110.18</v>
      </c>
      <c r="E31" s="31"/>
    </row>
    <row r="32" spans="1:5" x14ac:dyDescent="0.25">
      <c r="A32" s="31"/>
      <c r="B32" s="31" t="s">
        <v>36</v>
      </c>
      <c r="C32" s="31"/>
      <c r="D32" s="31">
        <v>2477.0700000000002</v>
      </c>
      <c r="E32" s="31"/>
    </row>
    <row r="33" spans="1:5" x14ac:dyDescent="0.25">
      <c r="A33" s="31"/>
      <c r="B33" s="31" t="s">
        <v>118</v>
      </c>
      <c r="C33" s="31"/>
      <c r="D33" s="481">
        <f>16192.8+13512.62</f>
        <v>29705.42</v>
      </c>
      <c r="E33" s="31"/>
    </row>
    <row r="34" spans="1:5" x14ac:dyDescent="0.25">
      <c r="A34" s="31"/>
      <c r="B34" s="31" t="s">
        <v>38</v>
      </c>
      <c r="C34" s="31"/>
      <c r="D34" s="31">
        <f>2242.8+2136.65</f>
        <v>4379.4500000000007</v>
      </c>
      <c r="E34" s="31"/>
    </row>
    <row r="35" spans="1:5" x14ac:dyDescent="0.25">
      <c r="A35" s="31">
        <v>4</v>
      </c>
      <c r="B35" s="22" t="s">
        <v>39</v>
      </c>
      <c r="C35" s="31"/>
      <c r="D35" s="26">
        <f>D36+D37</f>
        <v>33820.19</v>
      </c>
      <c r="E35" s="26">
        <f>E36</f>
        <v>5569.9621399999996</v>
      </c>
    </row>
    <row r="36" spans="1:5" x14ac:dyDescent="0.25">
      <c r="A36" s="31"/>
      <c r="B36" s="31" t="s">
        <v>40</v>
      </c>
      <c r="C36" s="31"/>
      <c r="D36" s="32">
        <v>27574.07</v>
      </c>
      <c r="E36" s="32">
        <f>D36*20.2%</f>
        <v>5569.9621399999996</v>
      </c>
    </row>
    <row r="37" spans="1:5" x14ac:dyDescent="0.25">
      <c r="A37" s="31"/>
      <c r="B37" s="31" t="s">
        <v>41</v>
      </c>
      <c r="C37" s="31"/>
      <c r="D37" s="32">
        <v>6246.12</v>
      </c>
      <c r="E37" s="31"/>
    </row>
    <row r="38" spans="1:5" x14ac:dyDescent="0.25">
      <c r="A38" s="31">
        <v>5</v>
      </c>
      <c r="B38" s="22" t="s">
        <v>42</v>
      </c>
      <c r="C38" s="31"/>
      <c r="D38" s="26">
        <f>D19+E19+D25+E25+D28+D35+E35</f>
        <v>185033.95447999999</v>
      </c>
      <c r="E38" s="31"/>
    </row>
    <row r="39" spans="1:5" x14ac:dyDescent="0.25">
      <c r="A39" s="31">
        <v>6</v>
      </c>
      <c r="B39" s="31" t="s">
        <v>43</v>
      </c>
      <c r="C39" s="31"/>
      <c r="D39" s="26">
        <f>(D16*6%)</f>
        <v>14175.879000000001</v>
      </c>
      <c r="E39" s="31"/>
    </row>
    <row r="40" spans="1:5" x14ac:dyDescent="0.25">
      <c r="A40" s="31">
        <v>7</v>
      </c>
      <c r="B40" s="22" t="s">
        <v>44</v>
      </c>
      <c r="C40" s="31"/>
      <c r="D40" s="26">
        <f>D38+D39</f>
        <v>199209.83347999997</v>
      </c>
      <c r="E40" s="31"/>
    </row>
    <row r="41" spans="1:5" x14ac:dyDescent="0.25">
      <c r="A41" s="31"/>
      <c r="B41" s="31"/>
      <c r="C41" s="31"/>
      <c r="D41" s="31"/>
      <c r="E41" s="31"/>
    </row>
    <row r="42" spans="1:5" x14ac:dyDescent="0.25">
      <c r="A42" s="31">
        <v>9</v>
      </c>
      <c r="B42" s="22" t="s">
        <v>53</v>
      </c>
      <c r="C42" s="31"/>
      <c r="D42" s="26">
        <f>D14-D40</f>
        <v>-15927.043479999964</v>
      </c>
      <c r="E42" s="31"/>
    </row>
    <row r="43" spans="1:5" x14ac:dyDescent="0.25">
      <c r="A43" s="31">
        <v>10</v>
      </c>
      <c r="B43" s="22" t="s">
        <v>45</v>
      </c>
      <c r="C43" s="31"/>
      <c r="D43" s="26">
        <f>D7+D42</f>
        <v>-48069.77347999996</v>
      </c>
      <c r="E43" s="31"/>
    </row>
    <row r="44" spans="1:5" x14ac:dyDescent="0.25">
      <c r="A44" s="399"/>
      <c r="B44" s="34"/>
      <c r="C44" s="399"/>
      <c r="D44" s="35"/>
      <c r="E44" s="399"/>
    </row>
    <row r="45" spans="1:5" x14ac:dyDescent="0.25">
      <c r="A45" s="399"/>
      <c r="B45" s="459" t="s">
        <v>181</v>
      </c>
      <c r="C45" s="399"/>
      <c r="D45" s="35">
        <v>7264.54</v>
      </c>
      <c r="E45" s="399"/>
    </row>
    <row r="46" spans="1:5" x14ac:dyDescent="0.25">
      <c r="A46" s="399"/>
      <c r="B46" s="459" t="s">
        <v>208</v>
      </c>
      <c r="C46" s="399"/>
      <c r="D46" s="35">
        <f>D8+D15-D45</f>
        <v>121732.24</v>
      </c>
      <c r="E46" s="399"/>
    </row>
    <row r="47" spans="1:5" x14ac:dyDescent="0.25">
      <c r="A47" s="399"/>
      <c r="B47" s="459"/>
      <c r="C47" s="399"/>
      <c r="D47" s="35"/>
      <c r="E47" s="399"/>
    </row>
    <row r="48" spans="1:5" x14ac:dyDescent="0.25">
      <c r="A48" s="399"/>
      <c r="B48" s="459"/>
      <c r="C48" s="399"/>
      <c r="D48" s="35"/>
      <c r="E48" s="399"/>
    </row>
    <row r="49" spans="2:4" x14ac:dyDescent="0.25">
      <c r="B49" t="s">
        <v>46</v>
      </c>
      <c r="D49" t="s">
        <v>47</v>
      </c>
    </row>
    <row r="50" spans="2:4" x14ac:dyDescent="0.25">
      <c r="B50" t="s">
        <v>48</v>
      </c>
      <c r="D50" t="s">
        <v>49</v>
      </c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2" workbookViewId="0">
      <selection activeCell="H46" sqref="H46"/>
    </sheetView>
  </sheetViews>
  <sheetFormatPr defaultRowHeight="15" x14ac:dyDescent="0.25"/>
  <cols>
    <col min="2" max="2" width="40.140625" customWidth="1"/>
    <col min="4" max="4" width="11.7109375" customWidth="1"/>
    <col min="5" max="5" width="12.57031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209</v>
      </c>
    </row>
    <row r="4" spans="1:5" x14ac:dyDescent="0.25">
      <c r="A4" s="594"/>
      <c r="B4" s="594"/>
      <c r="C4" s="594"/>
      <c r="D4" s="453"/>
      <c r="E4" s="44"/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463"/>
      <c r="B6" s="6" t="s">
        <v>6</v>
      </c>
      <c r="C6" s="7" t="s">
        <v>7</v>
      </c>
      <c r="D6" s="597" t="s">
        <v>100</v>
      </c>
      <c r="E6" s="598"/>
    </row>
    <row r="7" spans="1:5" x14ac:dyDescent="0.25">
      <c r="A7" s="9"/>
      <c r="B7" s="9"/>
      <c r="C7" s="9"/>
      <c r="D7" s="10"/>
      <c r="E7" s="11"/>
    </row>
    <row r="8" spans="1:5" x14ac:dyDescent="0.25">
      <c r="A8" s="9"/>
      <c r="B8" s="12" t="s">
        <v>8</v>
      </c>
      <c r="C8" s="9"/>
      <c r="D8" s="10">
        <v>145227.01999999999</v>
      </c>
      <c r="E8" s="11"/>
    </row>
    <row r="9" spans="1:5" x14ac:dyDescent="0.25">
      <c r="A9" s="13"/>
      <c r="B9" s="14" t="s">
        <v>9</v>
      </c>
      <c r="C9" s="13" t="s">
        <v>10</v>
      </c>
      <c r="D9" s="13">
        <v>5925.2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4452.3</v>
      </c>
      <c r="E10" s="13"/>
    </row>
    <row r="11" spans="1:5" x14ac:dyDescent="0.25">
      <c r="A11" s="13"/>
      <c r="B11" s="15" t="s">
        <v>12</v>
      </c>
      <c r="C11" s="13" t="s">
        <v>13</v>
      </c>
      <c r="D11" s="13">
        <v>212268.16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168925.64</v>
      </c>
      <c r="E14" s="13"/>
    </row>
    <row r="15" spans="1:5" x14ac:dyDescent="0.25">
      <c r="A15" s="13">
        <v>2</v>
      </c>
      <c r="B15" s="13" t="s">
        <v>101</v>
      </c>
      <c r="C15" s="13"/>
      <c r="D15" s="13">
        <v>3000</v>
      </c>
      <c r="E15" s="13"/>
    </row>
    <row r="16" spans="1:5" ht="15.75" x14ac:dyDescent="0.25">
      <c r="A16" s="13"/>
      <c r="B16" s="16" t="s">
        <v>17</v>
      </c>
      <c r="C16" s="13"/>
      <c r="D16" s="19">
        <f>D14+D15</f>
        <v>171925.64</v>
      </c>
      <c r="E16" s="13"/>
    </row>
    <row r="17" spans="1:5" ht="15.75" x14ac:dyDescent="0.25">
      <c r="A17" s="13"/>
      <c r="B17" s="16"/>
      <c r="C17" s="13"/>
      <c r="D17" s="19"/>
      <c r="E17" s="13"/>
    </row>
    <row r="18" spans="1:5" ht="15.75" x14ac:dyDescent="0.25">
      <c r="A18" s="31"/>
      <c r="B18" s="21" t="s">
        <v>18</v>
      </c>
      <c r="C18" s="31"/>
      <c r="D18" s="22"/>
      <c r="E18" s="464" t="s">
        <v>19</v>
      </c>
    </row>
    <row r="19" spans="1:5" x14ac:dyDescent="0.25">
      <c r="A19" s="465" t="s">
        <v>20</v>
      </c>
      <c r="B19" s="25" t="s">
        <v>21</v>
      </c>
      <c r="C19" s="31"/>
      <c r="D19" s="22">
        <f>D20+D24</f>
        <v>15673.47</v>
      </c>
      <c r="E19" s="26">
        <f>E20</f>
        <v>3041.1382799999997</v>
      </c>
    </row>
    <row r="20" spans="1:5" x14ac:dyDescent="0.25">
      <c r="A20" s="31">
        <v>1</v>
      </c>
      <c r="B20" s="22" t="s">
        <v>22</v>
      </c>
      <c r="C20" s="31" t="s">
        <v>13</v>
      </c>
      <c r="D20" s="22">
        <f>D21</f>
        <v>15055.14</v>
      </c>
      <c r="E20" s="26">
        <f>E21</f>
        <v>3041.1382799999997</v>
      </c>
    </row>
    <row r="21" spans="1:5" x14ac:dyDescent="0.25">
      <c r="A21" s="31"/>
      <c r="B21" s="31" t="s">
        <v>23</v>
      </c>
      <c r="C21" s="31"/>
      <c r="D21" s="31">
        <v>15055.14</v>
      </c>
      <c r="E21" s="32">
        <f>D21*20.2%</f>
        <v>3041.1382799999997</v>
      </c>
    </row>
    <row r="22" spans="1:5" x14ac:dyDescent="0.25">
      <c r="A22" s="31"/>
      <c r="B22" s="31" t="s">
        <v>24</v>
      </c>
      <c r="C22" s="31"/>
      <c r="D22" s="473"/>
      <c r="E22" s="32"/>
    </row>
    <row r="23" spans="1:5" x14ac:dyDescent="0.25">
      <c r="A23" s="31"/>
      <c r="B23" s="31" t="s">
        <v>25</v>
      </c>
      <c r="C23" s="31"/>
      <c r="D23" s="31"/>
      <c r="E23" s="32"/>
    </row>
    <row r="24" spans="1:5" x14ac:dyDescent="0.25">
      <c r="A24" s="31">
        <v>2</v>
      </c>
      <c r="B24" s="31" t="s">
        <v>26</v>
      </c>
      <c r="C24" s="31"/>
      <c r="D24" s="31">
        <v>618.33000000000004</v>
      </c>
      <c r="E24" s="32"/>
    </row>
    <row r="25" spans="1:5" x14ac:dyDescent="0.25">
      <c r="A25" s="465" t="s">
        <v>27</v>
      </c>
      <c r="B25" s="30" t="s">
        <v>28</v>
      </c>
      <c r="C25" s="31"/>
      <c r="D25" s="22">
        <f>D26+D27+D28</f>
        <v>45879.9</v>
      </c>
      <c r="E25" s="26">
        <f>E26</f>
        <v>8511.2437399999999</v>
      </c>
    </row>
    <row r="26" spans="1:5" x14ac:dyDescent="0.25">
      <c r="A26" s="31">
        <v>1</v>
      </c>
      <c r="B26" s="31" t="s">
        <v>29</v>
      </c>
      <c r="C26" s="31"/>
      <c r="D26" s="31">
        <v>42134.87</v>
      </c>
      <c r="E26" s="32">
        <f>D26*20.2%</f>
        <v>8511.2437399999999</v>
      </c>
    </row>
    <row r="27" spans="1:5" x14ac:dyDescent="0.25">
      <c r="A27" s="31">
        <v>2</v>
      </c>
      <c r="B27" s="31" t="s">
        <v>26</v>
      </c>
      <c r="C27" s="31"/>
      <c r="D27" s="31">
        <v>3745.03</v>
      </c>
      <c r="E27" s="31"/>
    </row>
    <row r="28" spans="1:5" x14ac:dyDescent="0.25">
      <c r="A28" s="31">
        <v>3</v>
      </c>
      <c r="B28" s="31" t="s">
        <v>85</v>
      </c>
      <c r="C28" s="31"/>
      <c r="D28" s="31">
        <v>0</v>
      </c>
      <c r="E28" s="31"/>
    </row>
    <row r="29" spans="1:5" x14ac:dyDescent="0.25">
      <c r="A29" s="465" t="s">
        <v>30</v>
      </c>
      <c r="B29" s="22" t="s">
        <v>31</v>
      </c>
      <c r="C29" s="31"/>
      <c r="D29" s="26">
        <f>D30+D31+D32+D33+D34+D35+D36</f>
        <v>25433.302</v>
      </c>
      <c r="E29" s="31"/>
    </row>
    <row r="30" spans="1:5" x14ac:dyDescent="0.25">
      <c r="A30" s="31"/>
      <c r="B30" s="31" t="s">
        <v>32</v>
      </c>
      <c r="C30" s="31"/>
      <c r="D30" s="32">
        <f>D16*5%</f>
        <v>8596.2820000000011</v>
      </c>
      <c r="E30" s="31"/>
    </row>
    <row r="31" spans="1:5" x14ac:dyDescent="0.25">
      <c r="A31" s="31"/>
      <c r="B31" s="31" t="s">
        <v>62</v>
      </c>
      <c r="C31" s="31"/>
      <c r="D31" s="31">
        <v>681.72</v>
      </c>
      <c r="E31" s="31"/>
    </row>
    <row r="32" spans="1:5" x14ac:dyDescent="0.25">
      <c r="A32" s="31"/>
      <c r="B32" s="31" t="s">
        <v>34</v>
      </c>
      <c r="C32" s="31"/>
      <c r="D32" s="32">
        <f>3492.52+3472</f>
        <v>6964.52</v>
      </c>
      <c r="E32" s="31"/>
    </row>
    <row r="33" spans="1:5" x14ac:dyDescent="0.25">
      <c r="A33" s="31"/>
      <c r="B33" s="31" t="s">
        <v>35</v>
      </c>
      <c r="C33" s="31"/>
      <c r="D33" s="31">
        <v>0</v>
      </c>
      <c r="E33" s="31"/>
    </row>
    <row r="34" spans="1:5" x14ac:dyDescent="0.25">
      <c r="A34" s="31"/>
      <c r="B34" s="31" t="s">
        <v>36</v>
      </c>
      <c r="C34" s="31"/>
      <c r="D34" s="31">
        <v>2127.15</v>
      </c>
      <c r="E34" s="31"/>
    </row>
    <row r="35" spans="1:5" x14ac:dyDescent="0.25">
      <c r="A35" s="31"/>
      <c r="B35" s="31" t="s">
        <v>67</v>
      </c>
      <c r="C35" s="31"/>
      <c r="D35" s="31">
        <v>3302.83</v>
      </c>
      <c r="E35" s="31"/>
    </row>
    <row r="36" spans="1:5" x14ac:dyDescent="0.25">
      <c r="A36" s="31"/>
      <c r="B36" s="31" t="s">
        <v>38</v>
      </c>
      <c r="C36" s="31"/>
      <c r="D36" s="31">
        <f>1925.98+1834.82</f>
        <v>3760.8</v>
      </c>
      <c r="E36" s="31"/>
    </row>
    <row r="37" spans="1:5" x14ac:dyDescent="0.25">
      <c r="A37" s="31">
        <v>4</v>
      </c>
      <c r="B37" s="22" t="s">
        <v>39</v>
      </c>
      <c r="C37" s="31"/>
      <c r="D37" s="26">
        <f>D38+D39</f>
        <v>29042.7</v>
      </c>
      <c r="E37" s="26">
        <f>E38</f>
        <v>4783.1398199999994</v>
      </c>
    </row>
    <row r="38" spans="1:5" x14ac:dyDescent="0.25">
      <c r="A38" s="31"/>
      <c r="B38" s="31" t="s">
        <v>40</v>
      </c>
      <c r="C38" s="31"/>
      <c r="D38" s="32">
        <v>23678.91</v>
      </c>
      <c r="E38" s="32">
        <f>D38*20.2%</f>
        <v>4783.1398199999994</v>
      </c>
    </row>
    <row r="39" spans="1:5" x14ac:dyDescent="0.25">
      <c r="A39" s="31"/>
      <c r="B39" s="31" t="s">
        <v>41</v>
      </c>
      <c r="C39" s="31"/>
      <c r="D39" s="32">
        <v>5363.79</v>
      </c>
      <c r="E39" s="31"/>
    </row>
    <row r="40" spans="1:5" x14ac:dyDescent="0.25">
      <c r="A40" s="31">
        <v>5</v>
      </c>
      <c r="B40" s="22" t="s">
        <v>42</v>
      </c>
      <c r="C40" s="31"/>
      <c r="D40" s="26">
        <f>D19+E19+D25+E25+D29+D37+E37</f>
        <v>132364.89384</v>
      </c>
      <c r="E40" s="31"/>
    </row>
    <row r="41" spans="1:5" x14ac:dyDescent="0.25">
      <c r="A41" s="31">
        <v>6</v>
      </c>
      <c r="B41" s="31" t="s">
        <v>43</v>
      </c>
      <c r="C41" s="31"/>
      <c r="D41" s="26">
        <f>D16*6%</f>
        <v>10315.538400000001</v>
      </c>
      <c r="E41" s="31"/>
    </row>
    <row r="42" spans="1:5" x14ac:dyDescent="0.25">
      <c r="A42" s="31">
        <v>7</v>
      </c>
      <c r="B42" s="22" t="s">
        <v>44</v>
      </c>
      <c r="C42" s="31"/>
      <c r="D42" s="26">
        <f>D40+D41</f>
        <v>142680.43223999999</v>
      </c>
      <c r="E42" s="31"/>
    </row>
    <row r="43" spans="1:5" x14ac:dyDescent="0.25">
      <c r="A43" s="31"/>
      <c r="B43" s="31"/>
      <c r="C43" s="31"/>
      <c r="D43" s="31"/>
      <c r="E43" s="31"/>
    </row>
    <row r="44" spans="1:5" x14ac:dyDescent="0.25">
      <c r="A44" s="31">
        <v>8</v>
      </c>
      <c r="B44" s="22" t="s">
        <v>53</v>
      </c>
      <c r="C44" s="31"/>
      <c r="D44" s="26">
        <f>D16-D42</f>
        <v>29245.207760000019</v>
      </c>
      <c r="E44" s="31"/>
    </row>
    <row r="45" spans="1:5" x14ac:dyDescent="0.25">
      <c r="A45" s="31">
        <v>9</v>
      </c>
      <c r="B45" s="22" t="s">
        <v>45</v>
      </c>
      <c r="C45" s="31"/>
      <c r="D45" s="26">
        <f>D8+D44</f>
        <v>174472.22776000001</v>
      </c>
      <c r="E45" s="31"/>
    </row>
    <row r="46" spans="1:5" x14ac:dyDescent="0.25">
      <c r="A46" s="399"/>
      <c r="B46" s="34"/>
      <c r="C46" s="399"/>
      <c r="D46" s="35"/>
      <c r="E46" s="399"/>
    </row>
    <row r="47" spans="1:5" x14ac:dyDescent="0.25">
      <c r="A47" s="399"/>
      <c r="B47" s="34"/>
      <c r="C47" s="399"/>
      <c r="D47" s="35"/>
      <c r="E47" s="399"/>
    </row>
    <row r="48" spans="1:5" x14ac:dyDescent="0.25">
      <c r="A48" s="399"/>
      <c r="B48" t="s">
        <v>46</v>
      </c>
      <c r="D48" t="s">
        <v>47</v>
      </c>
      <c r="E48" s="399"/>
    </row>
    <row r="49" spans="1:5" x14ac:dyDescent="0.25">
      <c r="A49" s="237"/>
      <c r="B49" s="237" t="s">
        <v>48</v>
      </c>
      <c r="C49" s="237"/>
      <c r="D49" s="237" t="s">
        <v>49</v>
      </c>
      <c r="E49" s="237"/>
    </row>
  </sheetData>
  <mergeCells count="3">
    <mergeCell ref="D6:E6"/>
    <mergeCell ref="A4:C4"/>
    <mergeCell ref="D5:E5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9" workbookViewId="0">
      <selection activeCell="I8" sqref="I8"/>
    </sheetView>
  </sheetViews>
  <sheetFormatPr defaultRowHeight="15" x14ac:dyDescent="0.25"/>
  <cols>
    <col min="1" max="1" width="6.5703125" customWidth="1"/>
    <col min="2" max="2" width="47.28515625" customWidth="1"/>
    <col min="4" max="4" width="11.85546875" customWidth="1"/>
    <col min="5" max="5" width="11.710937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210</v>
      </c>
    </row>
    <row r="4" spans="1:5" x14ac:dyDescent="0.25">
      <c r="A4" s="602"/>
      <c r="B4" s="594"/>
      <c r="C4" s="594"/>
      <c r="D4" s="453"/>
      <c r="E4" s="44"/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463"/>
      <c r="B6" s="6" t="s">
        <v>6</v>
      </c>
      <c r="C6" s="7" t="s">
        <v>7</v>
      </c>
      <c r="D6" s="597" t="s">
        <v>100</v>
      </c>
      <c r="E6" s="598"/>
    </row>
    <row r="7" spans="1:5" x14ac:dyDescent="0.25">
      <c r="A7" s="13"/>
      <c r="B7" s="480" t="s">
        <v>134</v>
      </c>
      <c r="C7" s="13"/>
      <c r="D7" s="462">
        <v>-23103.99</v>
      </c>
      <c r="E7" s="398"/>
    </row>
    <row r="8" spans="1:5" x14ac:dyDescent="0.25">
      <c r="A8" s="9"/>
      <c r="B8" s="477" t="s">
        <v>135</v>
      </c>
      <c r="C8" s="9"/>
      <c r="D8" s="10">
        <v>72692.149999999994</v>
      </c>
      <c r="E8" s="11"/>
    </row>
    <row r="9" spans="1:5" x14ac:dyDescent="0.25">
      <c r="A9" s="13"/>
      <c r="B9" s="14" t="s">
        <v>9</v>
      </c>
      <c r="C9" s="13" t="s">
        <v>10</v>
      </c>
      <c r="D9" s="13">
        <v>3706.7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2593.8200000000002</v>
      </c>
      <c r="E10" s="13"/>
    </row>
    <row r="11" spans="1:5" x14ac:dyDescent="0.25">
      <c r="A11" s="13"/>
      <c r="B11" s="15" t="s">
        <v>12</v>
      </c>
      <c r="C11" s="13" t="s">
        <v>13</v>
      </c>
      <c r="D11" s="13">
        <v>193719.9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103571.87</v>
      </c>
      <c r="E14" s="13"/>
    </row>
    <row r="15" spans="1:5" x14ac:dyDescent="0.25">
      <c r="A15" s="13">
        <v>2</v>
      </c>
      <c r="B15" s="13" t="s">
        <v>16</v>
      </c>
      <c r="C15" s="13"/>
      <c r="D15" s="13">
        <v>48290.04</v>
      </c>
      <c r="E15" s="13"/>
    </row>
    <row r="16" spans="1:5" x14ac:dyDescent="0.25">
      <c r="A16" s="13">
        <v>3</v>
      </c>
      <c r="B16" s="13" t="s">
        <v>101</v>
      </c>
      <c r="C16" s="13"/>
      <c r="D16" s="13">
        <f>300</f>
        <v>300</v>
      </c>
      <c r="E16" s="13"/>
    </row>
    <row r="17" spans="1:5" ht="15.75" x14ac:dyDescent="0.25">
      <c r="A17" s="13"/>
      <c r="B17" s="16" t="s">
        <v>17</v>
      </c>
      <c r="C17" s="13"/>
      <c r="D17" s="19">
        <f>D14+D15+D16</f>
        <v>152161.91</v>
      </c>
      <c r="E17" s="13"/>
    </row>
    <row r="18" spans="1:5" ht="15.75" x14ac:dyDescent="0.25">
      <c r="A18" s="13"/>
      <c r="B18" s="16"/>
      <c r="C18" s="13"/>
      <c r="D18" s="19"/>
      <c r="E18" s="13" t="s">
        <v>19</v>
      </c>
    </row>
    <row r="19" spans="1:5" ht="15.75" x14ac:dyDescent="0.25">
      <c r="A19" s="31"/>
      <c r="B19" s="21" t="s">
        <v>18</v>
      </c>
      <c r="C19" s="13"/>
      <c r="D19" s="19"/>
      <c r="E19" s="13"/>
    </row>
    <row r="20" spans="1:5" x14ac:dyDescent="0.25">
      <c r="A20" s="465" t="s">
        <v>20</v>
      </c>
      <c r="B20" s="25" t="s">
        <v>21</v>
      </c>
      <c r="C20" s="13"/>
      <c r="D20" s="19">
        <f>D21+D25</f>
        <v>26623.79</v>
      </c>
      <c r="E20" s="395">
        <f>E21</f>
        <v>5069.5293599999995</v>
      </c>
    </row>
    <row r="21" spans="1:5" x14ac:dyDescent="0.25">
      <c r="A21" s="31">
        <v>1</v>
      </c>
      <c r="B21" s="22" t="s">
        <v>22</v>
      </c>
      <c r="C21" s="13" t="s">
        <v>13</v>
      </c>
      <c r="D21" s="19">
        <f>D22+D23+D24</f>
        <v>25096.68</v>
      </c>
      <c r="E21" s="18">
        <f>E22+E23+E24</f>
        <v>5069.5293599999995</v>
      </c>
    </row>
    <row r="22" spans="1:5" x14ac:dyDescent="0.25">
      <c r="A22" s="31"/>
      <c r="B22" s="31" t="s">
        <v>23</v>
      </c>
      <c r="C22" s="13"/>
      <c r="D22" s="13">
        <v>6738.43</v>
      </c>
      <c r="E22" s="17">
        <f>D22*20.2%</f>
        <v>1361.1628599999999</v>
      </c>
    </row>
    <row r="23" spans="1:5" x14ac:dyDescent="0.25">
      <c r="A23" s="31"/>
      <c r="B23" s="31" t="s">
        <v>24</v>
      </c>
      <c r="C23" s="13"/>
      <c r="D23" s="13">
        <v>6573.25</v>
      </c>
      <c r="E23" s="17">
        <f>D23*20.2%</f>
        <v>1327.7964999999999</v>
      </c>
    </row>
    <row r="24" spans="1:5" x14ac:dyDescent="0.25">
      <c r="A24" s="31"/>
      <c r="B24" s="31" t="s">
        <v>25</v>
      </c>
      <c r="C24" s="13"/>
      <c r="D24" s="13">
        <v>11785</v>
      </c>
      <c r="E24" s="17">
        <f>D24*20.2%</f>
        <v>2380.5699999999997</v>
      </c>
    </row>
    <row r="25" spans="1:5" x14ac:dyDescent="0.25">
      <c r="A25" s="31">
        <v>2</v>
      </c>
      <c r="B25" s="31" t="s">
        <v>26</v>
      </c>
      <c r="C25" s="13"/>
      <c r="D25" s="13">
        <v>1527.11</v>
      </c>
      <c r="E25" s="17"/>
    </row>
    <row r="26" spans="1:5" x14ac:dyDescent="0.25">
      <c r="A26" s="465" t="s">
        <v>27</v>
      </c>
      <c r="B26" s="30" t="s">
        <v>28</v>
      </c>
      <c r="C26" s="13"/>
      <c r="D26" s="475">
        <f>D27+D28</f>
        <v>25084.77</v>
      </c>
      <c r="E26" s="395">
        <f>E27</f>
        <v>4958.4798599999995</v>
      </c>
    </row>
    <row r="27" spans="1:5" x14ac:dyDescent="0.25">
      <c r="A27" s="31">
        <v>1</v>
      </c>
      <c r="B27" s="31" t="s">
        <v>29</v>
      </c>
      <c r="C27" s="13"/>
      <c r="D27" s="13">
        <v>24546.93</v>
      </c>
      <c r="E27" s="17">
        <f>D27*20.2%</f>
        <v>4958.4798599999995</v>
      </c>
    </row>
    <row r="28" spans="1:5" x14ac:dyDescent="0.25">
      <c r="A28" s="31">
        <v>2</v>
      </c>
      <c r="B28" s="31" t="s">
        <v>26</v>
      </c>
      <c r="C28" s="13"/>
      <c r="D28" s="456">
        <v>537.84</v>
      </c>
      <c r="E28" s="13"/>
    </row>
    <row r="29" spans="1:5" x14ac:dyDescent="0.25">
      <c r="A29" s="13">
        <v>3</v>
      </c>
      <c r="B29" s="19" t="s">
        <v>31</v>
      </c>
      <c r="C29" s="13"/>
      <c r="D29" s="18">
        <f>D30+D31+D32+D33+D34+D35+D36</f>
        <v>16162.66977</v>
      </c>
      <c r="E29" s="13"/>
    </row>
    <row r="30" spans="1:5" x14ac:dyDescent="0.25">
      <c r="A30" s="13"/>
      <c r="B30" s="13" t="s">
        <v>32</v>
      </c>
      <c r="C30" s="13"/>
      <c r="D30" s="17">
        <f>D17*4.7%</f>
        <v>7151.60977</v>
      </c>
      <c r="E30" s="13"/>
    </row>
    <row r="31" spans="1:5" x14ac:dyDescent="0.25">
      <c r="A31" s="13"/>
      <c r="B31" s="13" t="s">
        <v>62</v>
      </c>
      <c r="C31" s="13"/>
      <c r="D31" s="13">
        <v>668.47</v>
      </c>
      <c r="E31" s="13"/>
    </row>
    <row r="32" spans="1:5" x14ac:dyDescent="0.25">
      <c r="A32" s="13"/>
      <c r="B32" s="13" t="s">
        <v>33</v>
      </c>
      <c r="C32" s="13"/>
      <c r="D32" s="13">
        <v>855</v>
      </c>
      <c r="E32" s="13"/>
    </row>
    <row r="33" spans="1:5" x14ac:dyDescent="0.25">
      <c r="A33" s="13"/>
      <c r="B33" s="13" t="s">
        <v>34</v>
      </c>
      <c r="C33" s="13"/>
      <c r="D33" s="13">
        <f>2034.67+2022.72</f>
        <v>4057.3900000000003</v>
      </c>
      <c r="E33" s="13"/>
    </row>
    <row r="34" spans="1:5" x14ac:dyDescent="0.25">
      <c r="A34" s="13"/>
      <c r="B34" s="13" t="s">
        <v>52</v>
      </c>
      <c r="C34" s="13"/>
      <c r="D34" s="13">
        <v>0</v>
      </c>
      <c r="E34" s="13"/>
    </row>
    <row r="35" spans="1:5" x14ac:dyDescent="0.25">
      <c r="A35" s="13"/>
      <c r="B35" s="31" t="s">
        <v>36</v>
      </c>
      <c r="C35" s="13"/>
      <c r="D35" s="13">
        <v>1239.24</v>
      </c>
      <c r="E35" s="13"/>
    </row>
    <row r="36" spans="1:5" x14ac:dyDescent="0.25">
      <c r="A36" s="13"/>
      <c r="B36" s="13" t="s">
        <v>38</v>
      </c>
      <c r="C36" s="13"/>
      <c r="D36" s="13">
        <f>1122.03+1068.93</f>
        <v>2190.96</v>
      </c>
      <c r="E36" s="13"/>
    </row>
    <row r="37" spans="1:5" x14ac:dyDescent="0.25">
      <c r="A37" s="13">
        <v>4</v>
      </c>
      <c r="B37" s="19" t="s">
        <v>39</v>
      </c>
      <c r="C37" s="13"/>
      <c r="D37" s="18">
        <f>D38+D39</f>
        <v>16919.68</v>
      </c>
      <c r="E37" s="395">
        <f>E38</f>
        <v>2786.5596999999998</v>
      </c>
    </row>
    <row r="38" spans="1:5" x14ac:dyDescent="0.25">
      <c r="A38" s="13"/>
      <c r="B38" s="31" t="s">
        <v>40</v>
      </c>
      <c r="C38" s="13"/>
      <c r="D38" s="397">
        <v>13794.85</v>
      </c>
      <c r="E38" s="17">
        <f>D38*20.2%</f>
        <v>2786.5596999999998</v>
      </c>
    </row>
    <row r="39" spans="1:5" x14ac:dyDescent="0.25">
      <c r="A39" s="13"/>
      <c r="B39" s="13" t="s">
        <v>41</v>
      </c>
      <c r="C39" s="13"/>
      <c r="D39" s="397">
        <v>3124.83</v>
      </c>
      <c r="E39" s="13"/>
    </row>
    <row r="40" spans="1:5" x14ac:dyDescent="0.25">
      <c r="A40" s="13">
        <v>5</v>
      </c>
      <c r="B40" s="19" t="s">
        <v>42</v>
      </c>
      <c r="C40" s="13"/>
      <c r="D40" s="18">
        <f>D20+E20+D26+E26+D29+D37+E37</f>
        <v>97605.478690000004</v>
      </c>
      <c r="E40" s="13"/>
    </row>
    <row r="41" spans="1:5" x14ac:dyDescent="0.25">
      <c r="A41" s="13">
        <v>6</v>
      </c>
      <c r="B41" s="19" t="s">
        <v>43</v>
      </c>
      <c r="C41" s="13"/>
      <c r="D41" s="18">
        <f>D17*6%</f>
        <v>9129.7145999999993</v>
      </c>
      <c r="E41" s="13"/>
    </row>
    <row r="42" spans="1:5" x14ac:dyDescent="0.25">
      <c r="A42" s="13">
        <v>7</v>
      </c>
      <c r="B42" s="19" t="s">
        <v>44</v>
      </c>
      <c r="C42" s="13"/>
      <c r="D42" s="18">
        <f>D40+D41</f>
        <v>106735.19329</v>
      </c>
      <c r="E42" s="13"/>
    </row>
    <row r="43" spans="1:5" x14ac:dyDescent="0.25">
      <c r="A43" s="13"/>
      <c r="B43" s="19"/>
      <c r="C43" s="13"/>
      <c r="D43" s="13"/>
      <c r="E43" s="13"/>
    </row>
    <row r="44" spans="1:5" x14ac:dyDescent="0.25">
      <c r="A44" s="13">
        <v>8</v>
      </c>
      <c r="B44" s="19" t="s">
        <v>211</v>
      </c>
      <c r="C44" s="13"/>
      <c r="D44" s="18">
        <f>D14+D16-D42</f>
        <v>-2863.3232900000003</v>
      </c>
      <c r="E44" s="13"/>
    </row>
    <row r="45" spans="1:5" x14ac:dyDescent="0.25">
      <c r="A45" s="482">
        <v>9</v>
      </c>
      <c r="B45" s="19" t="s">
        <v>81</v>
      </c>
      <c r="C45" s="462"/>
      <c r="D45" s="18">
        <f>D7+D44</f>
        <v>-25967.313290000002</v>
      </c>
      <c r="E45" s="398"/>
    </row>
    <row r="46" spans="1:5" x14ac:dyDescent="0.25">
      <c r="A46" s="483"/>
      <c r="B46" s="461" t="s">
        <v>181</v>
      </c>
      <c r="C46" s="43"/>
      <c r="D46" s="461">
        <v>32469.58</v>
      </c>
      <c r="E46" s="43"/>
    </row>
    <row r="47" spans="1:5" x14ac:dyDescent="0.25">
      <c r="B47" s="461" t="s">
        <v>182</v>
      </c>
      <c r="D47" s="484">
        <f>D8+D15-D46</f>
        <v>88512.61</v>
      </c>
    </row>
    <row r="48" spans="1:5" x14ac:dyDescent="0.25">
      <c r="B48" s="461"/>
      <c r="D48" s="484"/>
    </row>
    <row r="49" spans="2:4" x14ac:dyDescent="0.25">
      <c r="B49" t="s">
        <v>46</v>
      </c>
      <c r="D49" t="s">
        <v>47</v>
      </c>
    </row>
    <row r="50" spans="2:4" x14ac:dyDescent="0.25">
      <c r="B50" t="s">
        <v>48</v>
      </c>
      <c r="D50" t="s">
        <v>49</v>
      </c>
    </row>
  </sheetData>
  <mergeCells count="3">
    <mergeCell ref="A4:C4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3" workbookViewId="0">
      <selection activeCell="H9" sqref="H9"/>
    </sheetView>
  </sheetViews>
  <sheetFormatPr defaultRowHeight="15" x14ac:dyDescent="0.25"/>
  <cols>
    <col min="2" max="2" width="39.28515625" customWidth="1"/>
    <col min="4" max="4" width="12.140625" customWidth="1"/>
    <col min="5" max="5" width="12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212</v>
      </c>
    </row>
    <row r="4" spans="1:5" x14ac:dyDescent="0.25">
      <c r="B4" t="s">
        <v>94</v>
      </c>
    </row>
    <row r="5" spans="1:5" ht="15.75" x14ac:dyDescent="0.25">
      <c r="A5" s="2"/>
      <c r="B5" s="457" t="s">
        <v>3</v>
      </c>
      <c r="C5" s="458" t="s">
        <v>4</v>
      </c>
      <c r="D5" s="599" t="s">
        <v>5</v>
      </c>
      <c r="E5" s="600"/>
    </row>
    <row r="6" spans="1:5" ht="15.75" x14ac:dyDescent="0.25">
      <c r="A6" s="463"/>
      <c r="B6" s="6" t="s">
        <v>6</v>
      </c>
      <c r="C6" s="7" t="s">
        <v>7</v>
      </c>
      <c r="D6" s="597" t="s">
        <v>132</v>
      </c>
      <c r="E6" s="598"/>
    </row>
    <row r="7" spans="1:5" x14ac:dyDescent="0.25">
      <c r="A7" s="13"/>
      <c r="B7" s="14" t="s">
        <v>8</v>
      </c>
      <c r="C7" s="13"/>
      <c r="D7" s="462">
        <v>181949.81</v>
      </c>
      <c r="E7" s="398"/>
    </row>
    <row r="8" spans="1:5" x14ac:dyDescent="0.25">
      <c r="A8" s="13"/>
      <c r="B8" s="14" t="s">
        <v>9</v>
      </c>
      <c r="C8" s="13" t="s">
        <v>10</v>
      </c>
      <c r="D8" s="17">
        <v>5523.2</v>
      </c>
      <c r="E8" s="13"/>
    </row>
    <row r="9" spans="1:5" x14ac:dyDescent="0.25">
      <c r="A9" s="13"/>
      <c r="B9" s="14" t="s">
        <v>11</v>
      </c>
      <c r="C9" s="13" t="s">
        <v>10</v>
      </c>
      <c r="D9" s="13">
        <v>4451.0200000000004</v>
      </c>
      <c r="E9" s="13"/>
    </row>
    <row r="10" spans="1:5" x14ac:dyDescent="0.25">
      <c r="A10" s="13"/>
      <c r="B10" s="15" t="s">
        <v>12</v>
      </c>
      <c r="C10" s="13" t="s">
        <v>13</v>
      </c>
      <c r="D10" s="13">
        <v>168956.34</v>
      </c>
      <c r="E10" s="13"/>
    </row>
    <row r="11" spans="1:5" x14ac:dyDescent="0.25">
      <c r="A11" s="13"/>
      <c r="B11" s="13"/>
      <c r="C11" s="13"/>
      <c r="D11" s="13"/>
      <c r="E11" s="13"/>
    </row>
    <row r="12" spans="1:5" ht="15.75" x14ac:dyDescent="0.25">
      <c r="A12" s="13"/>
      <c r="B12" s="16" t="s">
        <v>14</v>
      </c>
      <c r="C12" s="13"/>
      <c r="D12" s="13"/>
      <c r="E12" s="13"/>
    </row>
    <row r="13" spans="1:5" x14ac:dyDescent="0.25">
      <c r="A13" s="13">
        <v>1</v>
      </c>
      <c r="B13" s="13" t="s">
        <v>15</v>
      </c>
      <c r="C13" s="13" t="s">
        <v>13</v>
      </c>
      <c r="D13" s="17">
        <v>159763.54999999999</v>
      </c>
      <c r="E13" s="13"/>
    </row>
    <row r="14" spans="1:5" x14ac:dyDescent="0.25">
      <c r="A14" s="13">
        <v>2</v>
      </c>
      <c r="B14" s="13" t="s">
        <v>213</v>
      </c>
      <c r="C14" s="13"/>
      <c r="D14" s="17">
        <f>138000+3000</f>
        <v>141000</v>
      </c>
      <c r="E14" s="13"/>
    </row>
    <row r="15" spans="1:5" ht="15.75" x14ac:dyDescent="0.25">
      <c r="A15" s="13"/>
      <c r="B15" s="16" t="s">
        <v>17</v>
      </c>
      <c r="C15" s="13"/>
      <c r="D15" s="18">
        <f>D13+D14</f>
        <v>300763.55</v>
      </c>
      <c r="E15" s="13"/>
    </row>
    <row r="16" spans="1:5" ht="15.75" x14ac:dyDescent="0.25">
      <c r="A16" s="13"/>
      <c r="B16" s="16"/>
      <c r="C16" s="13"/>
      <c r="D16" s="19"/>
      <c r="E16" s="13"/>
    </row>
    <row r="17" spans="1:5" ht="15.75" x14ac:dyDescent="0.25">
      <c r="A17" s="31"/>
      <c r="B17" s="21" t="s">
        <v>18</v>
      </c>
      <c r="C17" s="31"/>
      <c r="D17" s="22"/>
      <c r="E17" s="464" t="s">
        <v>19</v>
      </c>
    </row>
    <row r="18" spans="1:5" x14ac:dyDescent="0.25">
      <c r="A18" s="465" t="s">
        <v>20</v>
      </c>
      <c r="B18" s="25" t="s">
        <v>21</v>
      </c>
      <c r="C18" s="31"/>
      <c r="D18" s="22">
        <f>D19+D23+D22</f>
        <v>47745.11</v>
      </c>
      <c r="E18" s="26">
        <f>E19</f>
        <v>9003.7015599999995</v>
      </c>
    </row>
    <row r="19" spans="1:5" x14ac:dyDescent="0.25">
      <c r="A19" s="31">
        <v>1</v>
      </c>
      <c r="B19" s="22" t="s">
        <v>22</v>
      </c>
      <c r="C19" s="31" t="s">
        <v>13</v>
      </c>
      <c r="D19" s="22">
        <f>D20</f>
        <v>44572.78</v>
      </c>
      <c r="E19" s="26">
        <f>E20</f>
        <v>9003.7015599999995</v>
      </c>
    </row>
    <row r="20" spans="1:5" x14ac:dyDescent="0.25">
      <c r="A20" s="31"/>
      <c r="B20" s="31" t="s">
        <v>23</v>
      </c>
      <c r="C20" s="31"/>
      <c r="D20" s="31">
        <v>44572.78</v>
      </c>
      <c r="E20" s="32">
        <f>D20*20.2%</f>
        <v>9003.7015599999995</v>
      </c>
    </row>
    <row r="21" spans="1:5" x14ac:dyDescent="0.25">
      <c r="A21" s="31"/>
      <c r="B21" s="31" t="s">
        <v>24</v>
      </c>
      <c r="C21" s="31"/>
      <c r="D21" s="473"/>
      <c r="E21" s="32"/>
    </row>
    <row r="22" spans="1:5" x14ac:dyDescent="0.25">
      <c r="A22" s="31"/>
      <c r="B22" s="31" t="s">
        <v>79</v>
      </c>
      <c r="C22" s="31"/>
      <c r="D22" s="31">
        <v>2554.1799999999998</v>
      </c>
      <c r="E22" s="32"/>
    </row>
    <row r="23" spans="1:5" x14ac:dyDescent="0.25">
      <c r="A23" s="31">
        <v>2</v>
      </c>
      <c r="B23" s="31" t="s">
        <v>26</v>
      </c>
      <c r="C23" s="31"/>
      <c r="D23" s="31">
        <v>618.15</v>
      </c>
      <c r="E23" s="32"/>
    </row>
    <row r="24" spans="1:5" x14ac:dyDescent="0.25">
      <c r="A24" s="465" t="s">
        <v>27</v>
      </c>
      <c r="B24" s="30" t="s">
        <v>28</v>
      </c>
      <c r="C24" s="31"/>
      <c r="D24" s="22">
        <f>D25+D26+D27</f>
        <v>106703.16</v>
      </c>
      <c r="E24" s="26">
        <f>E25</f>
        <v>8508.7975200000001</v>
      </c>
    </row>
    <row r="25" spans="1:5" x14ac:dyDescent="0.25">
      <c r="A25" s="31">
        <v>1</v>
      </c>
      <c r="B25" s="31" t="s">
        <v>29</v>
      </c>
      <c r="C25" s="31"/>
      <c r="D25" s="31">
        <v>42122.76</v>
      </c>
      <c r="E25" s="32">
        <f>D25*20.2%</f>
        <v>8508.7975200000001</v>
      </c>
    </row>
    <row r="26" spans="1:5" x14ac:dyDescent="0.25">
      <c r="A26" s="31">
        <v>2</v>
      </c>
      <c r="B26" s="31" t="s">
        <v>26</v>
      </c>
      <c r="C26" s="31"/>
      <c r="D26" s="31">
        <v>64580.4</v>
      </c>
      <c r="E26" s="31"/>
    </row>
    <row r="27" spans="1:5" x14ac:dyDescent="0.25">
      <c r="A27" s="31">
        <v>3</v>
      </c>
      <c r="B27" s="31" t="s">
        <v>85</v>
      </c>
      <c r="C27" s="31"/>
      <c r="D27" s="31">
        <v>0</v>
      </c>
      <c r="E27" s="31"/>
    </row>
    <row r="28" spans="1:5" x14ac:dyDescent="0.25">
      <c r="A28" s="465" t="s">
        <v>30</v>
      </c>
      <c r="B28" s="22" t="s">
        <v>31</v>
      </c>
      <c r="C28" s="31"/>
      <c r="D28" s="26">
        <f>D29+D30+D31+D32+D33+D36+D37+D34+D35</f>
        <v>83530.347500000003</v>
      </c>
      <c r="E28" s="31"/>
    </row>
    <row r="29" spans="1:5" x14ac:dyDescent="0.25">
      <c r="A29" s="31"/>
      <c r="B29" s="31" t="s">
        <v>32</v>
      </c>
      <c r="C29" s="31"/>
      <c r="D29" s="32">
        <f>D15*5%</f>
        <v>15038.1775</v>
      </c>
      <c r="E29" s="31"/>
    </row>
    <row r="30" spans="1:5" x14ac:dyDescent="0.25">
      <c r="A30" s="31"/>
      <c r="B30" s="31" t="s">
        <v>62</v>
      </c>
      <c r="C30" s="31"/>
      <c r="D30" s="31">
        <v>681.97</v>
      </c>
      <c r="E30" s="31"/>
    </row>
    <row r="31" spans="1:5" x14ac:dyDescent="0.25">
      <c r="A31" s="31"/>
      <c r="B31" s="31" t="s">
        <v>34</v>
      </c>
      <c r="C31" s="31"/>
      <c r="D31" s="32">
        <f>3491.52+3471</f>
        <v>6962.52</v>
      </c>
      <c r="E31" s="31"/>
    </row>
    <row r="32" spans="1:5" x14ac:dyDescent="0.25">
      <c r="A32" s="31"/>
      <c r="B32" s="31" t="s">
        <v>33</v>
      </c>
      <c r="C32" s="31"/>
      <c r="D32" s="31">
        <v>2756</v>
      </c>
      <c r="E32" s="31"/>
    </row>
    <row r="33" spans="1:5" x14ac:dyDescent="0.25">
      <c r="A33" s="31"/>
      <c r="B33" s="31" t="s">
        <v>36</v>
      </c>
      <c r="C33" s="31"/>
      <c r="D33" s="31">
        <v>2126.54</v>
      </c>
      <c r="E33" s="31"/>
    </row>
    <row r="34" spans="1:5" x14ac:dyDescent="0.25">
      <c r="A34" s="31"/>
      <c r="B34" s="31" t="s">
        <v>118</v>
      </c>
      <c r="C34" s="31"/>
      <c r="D34" s="31">
        <f>16192.8+13512.62</f>
        <v>29705.42</v>
      </c>
      <c r="E34" s="31"/>
    </row>
    <row r="35" spans="1:5" x14ac:dyDescent="0.25">
      <c r="A35" s="31"/>
      <c r="B35" s="13" t="s">
        <v>37</v>
      </c>
      <c r="C35" s="31"/>
      <c r="D35" s="31">
        <v>16500</v>
      </c>
      <c r="E35" s="31"/>
    </row>
    <row r="36" spans="1:5" x14ac:dyDescent="0.25">
      <c r="A36" s="31"/>
      <c r="B36" s="31" t="s">
        <v>38</v>
      </c>
      <c r="C36" s="31"/>
      <c r="D36" s="31">
        <f>1925.42+1834.3</f>
        <v>3759.7200000000003</v>
      </c>
      <c r="E36" s="31"/>
    </row>
    <row r="37" spans="1:5" x14ac:dyDescent="0.25">
      <c r="A37" s="31"/>
      <c r="B37" s="31" t="s">
        <v>96</v>
      </c>
      <c r="C37" s="31"/>
      <c r="D37" s="31">
        <v>6000</v>
      </c>
      <c r="E37" s="31"/>
    </row>
    <row r="38" spans="1:5" x14ac:dyDescent="0.25">
      <c r="A38" s="31">
        <v>4</v>
      </c>
      <c r="B38" s="22" t="s">
        <v>39</v>
      </c>
      <c r="C38" s="31"/>
      <c r="D38" s="26">
        <f>D39+D40</f>
        <v>29034.339999999997</v>
      </c>
      <c r="E38" s="26">
        <f>E39</f>
        <v>4781.7641999999996</v>
      </c>
    </row>
    <row r="39" spans="1:5" x14ac:dyDescent="0.25">
      <c r="A39" s="31"/>
      <c r="B39" s="31" t="s">
        <v>40</v>
      </c>
      <c r="C39" s="31"/>
      <c r="D39" s="32">
        <v>23672.1</v>
      </c>
      <c r="E39" s="32">
        <f>D39*20.2%</f>
        <v>4781.7641999999996</v>
      </c>
    </row>
    <row r="40" spans="1:5" x14ac:dyDescent="0.25">
      <c r="A40" s="31"/>
      <c r="B40" s="31" t="s">
        <v>41</v>
      </c>
      <c r="C40" s="31"/>
      <c r="D40" s="32">
        <v>5362.24</v>
      </c>
      <c r="E40" s="31"/>
    </row>
    <row r="41" spans="1:5" x14ac:dyDescent="0.25">
      <c r="A41" s="31">
        <v>5</v>
      </c>
      <c r="B41" s="22" t="s">
        <v>42</v>
      </c>
      <c r="C41" s="31"/>
      <c r="D41" s="26">
        <f>D18+E18+D24+E24+D28+D38+E38</f>
        <v>289307.22077999997</v>
      </c>
      <c r="E41" s="31"/>
    </row>
    <row r="42" spans="1:5" x14ac:dyDescent="0.25">
      <c r="A42" s="31">
        <v>6</v>
      </c>
      <c r="B42" s="31" t="s">
        <v>43</v>
      </c>
      <c r="C42" s="31"/>
      <c r="D42" s="26">
        <f>D15*6%</f>
        <v>18045.812999999998</v>
      </c>
      <c r="E42" s="31"/>
    </row>
    <row r="43" spans="1:5" x14ac:dyDescent="0.25">
      <c r="A43" s="31">
        <v>7</v>
      </c>
      <c r="B43" s="22" t="s">
        <v>44</v>
      </c>
      <c r="C43" s="31"/>
      <c r="D43" s="26">
        <f>D41+D42</f>
        <v>307353.03378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53</v>
      </c>
      <c r="C45" s="31"/>
      <c r="D45" s="26">
        <f>D15-D43</f>
        <v>-6589.4837800000096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D7+D45</f>
        <v>175360.32621999999</v>
      </c>
      <c r="E46" s="31"/>
    </row>
    <row r="47" spans="1:5" x14ac:dyDescent="0.25">
      <c r="A47" s="237"/>
      <c r="B47" s="34"/>
      <c r="C47" s="399"/>
      <c r="D47" s="35"/>
      <c r="E47" s="237"/>
    </row>
    <row r="48" spans="1:5" x14ac:dyDescent="0.25">
      <c r="B48" s="34"/>
      <c r="C48" s="399"/>
      <c r="D48" s="35"/>
    </row>
    <row r="49" spans="2:4" x14ac:dyDescent="0.25">
      <c r="B49" t="s">
        <v>46</v>
      </c>
      <c r="D49" t="s">
        <v>47</v>
      </c>
    </row>
    <row r="50" spans="2:4" x14ac:dyDescent="0.25">
      <c r="B50" s="237" t="s">
        <v>48</v>
      </c>
      <c r="C50" s="237"/>
      <c r="D50" s="237" t="s">
        <v>49</v>
      </c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0" workbookViewId="0">
      <selection activeCell="I6" sqref="I6"/>
    </sheetView>
  </sheetViews>
  <sheetFormatPr defaultRowHeight="15" x14ac:dyDescent="0.25"/>
  <cols>
    <col min="1" max="1" width="6.7109375" customWidth="1"/>
    <col min="2" max="2" width="43.42578125" customWidth="1"/>
    <col min="4" max="4" width="11.140625" customWidth="1"/>
    <col min="5" max="5" width="10.42578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214</v>
      </c>
    </row>
    <row r="5" spans="1:5" x14ac:dyDescent="0.25">
      <c r="B5" t="s">
        <v>60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3</v>
      </c>
      <c r="C7" s="7" t="s">
        <v>4</v>
      </c>
      <c r="D7" s="595" t="s">
        <v>5</v>
      </c>
      <c r="E7" s="596"/>
    </row>
    <row r="8" spans="1:5" ht="15.75" x14ac:dyDescent="0.25">
      <c r="A8" s="463"/>
      <c r="B8" s="6" t="s">
        <v>6</v>
      </c>
      <c r="C8" s="7" t="s">
        <v>7</v>
      </c>
      <c r="D8" s="597" t="s">
        <v>127</v>
      </c>
      <c r="E8" s="598"/>
    </row>
    <row r="9" spans="1:5" x14ac:dyDescent="0.25">
      <c r="A9" s="13"/>
      <c r="B9" s="14" t="s">
        <v>8</v>
      </c>
      <c r="C9" s="13"/>
      <c r="D9" s="462">
        <v>82002.679999999993</v>
      </c>
      <c r="E9" s="398"/>
    </row>
    <row r="10" spans="1:5" x14ac:dyDescent="0.25">
      <c r="A10" s="13"/>
      <c r="B10" s="14" t="s">
        <v>9</v>
      </c>
      <c r="C10" s="13" t="s">
        <v>10</v>
      </c>
      <c r="D10" s="13">
        <v>5531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4431.24</v>
      </c>
      <c r="E11" s="13"/>
    </row>
    <row r="12" spans="1:5" x14ac:dyDescent="0.25">
      <c r="A12" s="13"/>
      <c r="B12" s="15" t="s">
        <v>12</v>
      </c>
      <c r="C12" s="13" t="s">
        <v>13</v>
      </c>
      <c r="D12" s="13">
        <v>169710.52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7">
        <v>169280.03</v>
      </c>
      <c r="E15" s="13"/>
    </row>
    <row r="16" spans="1:5" x14ac:dyDescent="0.25">
      <c r="A16" s="13">
        <v>2</v>
      </c>
      <c r="B16" s="13" t="s">
        <v>101</v>
      </c>
      <c r="C16" s="13"/>
      <c r="D16" s="13">
        <v>3000</v>
      </c>
      <c r="E16" s="13"/>
    </row>
    <row r="17" spans="1:5" ht="15.75" x14ac:dyDescent="0.25">
      <c r="A17" s="13"/>
      <c r="B17" s="16" t="s">
        <v>17</v>
      </c>
      <c r="C17" s="13"/>
      <c r="D17" s="18">
        <f>D15+D16</f>
        <v>172280.03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31"/>
      <c r="B19" s="21" t="s">
        <v>18</v>
      </c>
      <c r="C19" s="31"/>
      <c r="D19" s="22"/>
      <c r="E19" s="464" t="s">
        <v>19</v>
      </c>
    </row>
    <row r="20" spans="1:5" x14ac:dyDescent="0.25">
      <c r="A20" s="465" t="s">
        <v>20</v>
      </c>
      <c r="B20" s="25" t="s">
        <v>21</v>
      </c>
      <c r="C20" s="31"/>
      <c r="D20" s="22">
        <f>D21+D25</f>
        <v>31980.280000000002</v>
      </c>
      <c r="E20" s="26">
        <f>E21</f>
        <v>6335.7057599999998</v>
      </c>
    </row>
    <row r="21" spans="1:5" x14ac:dyDescent="0.25">
      <c r="A21" s="31">
        <v>1</v>
      </c>
      <c r="B21" s="22" t="s">
        <v>22</v>
      </c>
      <c r="C21" s="31" t="s">
        <v>13</v>
      </c>
      <c r="D21" s="22">
        <f>D22</f>
        <v>31364.880000000001</v>
      </c>
      <c r="E21" s="26">
        <f>E22</f>
        <v>6335.7057599999998</v>
      </c>
    </row>
    <row r="22" spans="1:5" x14ac:dyDescent="0.25">
      <c r="A22" s="31"/>
      <c r="B22" s="31" t="s">
        <v>23</v>
      </c>
      <c r="C22" s="31"/>
      <c r="D22" s="31">
        <v>31364.880000000001</v>
      </c>
      <c r="E22" s="32">
        <f>D22*20.2%</f>
        <v>6335.7057599999998</v>
      </c>
    </row>
    <row r="23" spans="1:5" x14ac:dyDescent="0.25">
      <c r="A23" s="31"/>
      <c r="B23" s="31" t="s">
        <v>24</v>
      </c>
      <c r="C23" s="31"/>
      <c r="D23" s="473"/>
      <c r="E23" s="32"/>
    </row>
    <row r="24" spans="1:5" x14ac:dyDescent="0.25">
      <c r="A24" s="31"/>
      <c r="B24" s="31" t="s">
        <v>25</v>
      </c>
      <c r="C24" s="31"/>
      <c r="D24" s="31"/>
      <c r="E24" s="32"/>
    </row>
    <row r="25" spans="1:5" x14ac:dyDescent="0.25">
      <c r="A25" s="31">
        <v>2</v>
      </c>
      <c r="B25" s="31" t="s">
        <v>26</v>
      </c>
      <c r="C25" s="31"/>
      <c r="D25" s="31">
        <v>615.4</v>
      </c>
      <c r="E25" s="32"/>
    </row>
    <row r="26" spans="1:5" x14ac:dyDescent="0.25">
      <c r="A26" s="465" t="s">
        <v>27</v>
      </c>
      <c r="B26" s="30" t="s">
        <v>28</v>
      </c>
      <c r="C26" s="31"/>
      <c r="D26" s="22">
        <f>D27+D28+D29</f>
        <v>56002.22</v>
      </c>
      <c r="E26" s="26">
        <f>E27</f>
        <v>8470.9851399999989</v>
      </c>
    </row>
    <row r="27" spans="1:5" x14ac:dyDescent="0.25">
      <c r="A27" s="31">
        <v>1</v>
      </c>
      <c r="B27" s="31" t="s">
        <v>29</v>
      </c>
      <c r="C27" s="31"/>
      <c r="D27" s="31">
        <v>41935.57</v>
      </c>
      <c r="E27" s="32">
        <f>D27*20.2%</f>
        <v>8470.9851399999989</v>
      </c>
    </row>
    <row r="28" spans="1:5" x14ac:dyDescent="0.25">
      <c r="A28" s="31">
        <v>2</v>
      </c>
      <c r="B28" s="31" t="s">
        <v>26</v>
      </c>
      <c r="C28" s="31"/>
      <c r="D28" s="31">
        <v>4906.45</v>
      </c>
      <c r="E28" s="31"/>
    </row>
    <row r="29" spans="1:5" x14ac:dyDescent="0.25">
      <c r="A29" s="31">
        <v>3</v>
      </c>
      <c r="B29" s="31" t="s">
        <v>85</v>
      </c>
      <c r="C29" s="31"/>
      <c r="D29" s="31">
        <v>9160.2000000000007</v>
      </c>
      <c r="E29" s="31"/>
    </row>
    <row r="30" spans="1:5" x14ac:dyDescent="0.25">
      <c r="A30" s="465" t="s">
        <v>30</v>
      </c>
      <c r="B30" s="22" t="s">
        <v>31</v>
      </c>
      <c r="C30" s="31"/>
      <c r="D30" s="26">
        <f>D31+D32+D33+D34+D35+D36+D37</f>
        <v>28549.881500000003</v>
      </c>
      <c r="E30" s="31"/>
    </row>
    <row r="31" spans="1:5" x14ac:dyDescent="0.25">
      <c r="A31" s="31"/>
      <c r="B31" s="31" t="s">
        <v>32</v>
      </c>
      <c r="C31" s="31"/>
      <c r="D31" s="32">
        <f>D17*5%</f>
        <v>8614.0015000000003</v>
      </c>
      <c r="E31" s="31"/>
    </row>
    <row r="32" spans="1:5" x14ac:dyDescent="0.25">
      <c r="A32" s="31"/>
      <c r="B32" s="31" t="s">
        <v>62</v>
      </c>
      <c r="C32" s="31"/>
      <c r="D32" s="31">
        <v>1368.2</v>
      </c>
      <c r="E32" s="31"/>
    </row>
    <row r="33" spans="1:5" x14ac:dyDescent="0.25">
      <c r="A33" s="31"/>
      <c r="B33" s="31" t="s">
        <v>34</v>
      </c>
      <c r="C33" s="31"/>
      <c r="D33" s="32">
        <f>3476+3455.57</f>
        <v>6931.57</v>
      </c>
      <c r="E33" s="31"/>
    </row>
    <row r="34" spans="1:5" x14ac:dyDescent="0.25">
      <c r="A34" s="31"/>
      <c r="B34" s="31" t="s">
        <v>33</v>
      </c>
      <c r="C34" s="31"/>
      <c r="D34" s="31">
        <v>5776</v>
      </c>
      <c r="E34" s="31"/>
    </row>
    <row r="35" spans="1:5" x14ac:dyDescent="0.25">
      <c r="A35" s="31"/>
      <c r="B35" s="31" t="s">
        <v>36</v>
      </c>
      <c r="C35" s="31"/>
      <c r="D35" s="31">
        <v>2117.09</v>
      </c>
      <c r="E35" s="31"/>
    </row>
    <row r="36" spans="1:5" x14ac:dyDescent="0.25">
      <c r="A36" s="31"/>
      <c r="B36" s="31" t="s">
        <v>67</v>
      </c>
      <c r="C36" s="31"/>
      <c r="D36" s="31">
        <v>0</v>
      </c>
      <c r="E36" s="31"/>
    </row>
    <row r="37" spans="1:5" x14ac:dyDescent="0.25">
      <c r="A37" s="31"/>
      <c r="B37" s="31" t="s">
        <v>38</v>
      </c>
      <c r="C37" s="31"/>
      <c r="D37" s="31">
        <f>1916.87+1826.15</f>
        <v>3743.02</v>
      </c>
      <c r="E37" s="31"/>
    </row>
    <row r="38" spans="1:5" x14ac:dyDescent="0.25">
      <c r="A38" s="31">
        <v>4</v>
      </c>
      <c r="B38" s="22" t="s">
        <v>39</v>
      </c>
      <c r="C38" s="31"/>
      <c r="D38" s="26">
        <f>D39+D40</f>
        <v>28905.32</v>
      </c>
      <c r="E38" s="26">
        <f>E39</f>
        <v>4760.5158199999996</v>
      </c>
    </row>
    <row r="39" spans="1:5" x14ac:dyDescent="0.25">
      <c r="A39" s="31"/>
      <c r="B39" s="31" t="s">
        <v>40</v>
      </c>
      <c r="C39" s="31"/>
      <c r="D39" s="32">
        <v>23566.91</v>
      </c>
      <c r="E39" s="32">
        <f>D39*20.2%</f>
        <v>4760.5158199999996</v>
      </c>
    </row>
    <row r="40" spans="1:5" x14ac:dyDescent="0.25">
      <c r="A40" s="31"/>
      <c r="B40" s="31" t="s">
        <v>41</v>
      </c>
      <c r="C40" s="31"/>
      <c r="D40" s="32">
        <v>5338.41</v>
      </c>
      <c r="E40" s="31"/>
    </row>
    <row r="41" spans="1:5" x14ac:dyDescent="0.25">
      <c r="A41" s="31">
        <v>5</v>
      </c>
      <c r="B41" s="22" t="s">
        <v>42</v>
      </c>
      <c r="C41" s="31"/>
      <c r="D41" s="26">
        <f>D20+E20+D26+E26+D30+D38+E38</f>
        <v>165004.90822000001</v>
      </c>
      <c r="E41" s="31"/>
    </row>
    <row r="42" spans="1:5" x14ac:dyDescent="0.25">
      <c r="A42" s="31">
        <v>6</v>
      </c>
      <c r="B42" s="31" t="s">
        <v>43</v>
      </c>
      <c r="C42" s="31"/>
      <c r="D42" s="26">
        <f>D17*6%</f>
        <v>10336.801799999999</v>
      </c>
      <c r="E42" s="31"/>
    </row>
    <row r="43" spans="1:5" x14ac:dyDescent="0.25">
      <c r="A43" s="31">
        <v>7</v>
      </c>
      <c r="B43" s="22" t="s">
        <v>44</v>
      </c>
      <c r="C43" s="31"/>
      <c r="D43" s="26">
        <f>D41+D42</f>
        <v>175341.71002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53</v>
      </c>
      <c r="C45" s="31"/>
      <c r="D45" s="26">
        <f>D17-D43</f>
        <v>-3061.6800199999998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D9+D45</f>
        <v>78940.999979999993</v>
      </c>
      <c r="E46" s="31"/>
    </row>
    <row r="47" spans="1:5" x14ac:dyDescent="0.25">
      <c r="A47" s="399"/>
      <c r="B47" s="34"/>
      <c r="C47" s="399"/>
      <c r="D47" s="35"/>
      <c r="E47" s="399"/>
    </row>
    <row r="48" spans="1:5" x14ac:dyDescent="0.25">
      <c r="A48" s="399"/>
      <c r="B48" s="34"/>
      <c r="C48" s="399"/>
      <c r="D48" s="35"/>
      <c r="E48" s="399"/>
    </row>
    <row r="49" spans="1:5" x14ac:dyDescent="0.25">
      <c r="A49" s="399"/>
      <c r="B49" t="s">
        <v>46</v>
      </c>
      <c r="D49" t="s">
        <v>47</v>
      </c>
      <c r="E49" s="399"/>
    </row>
    <row r="50" spans="1:5" x14ac:dyDescent="0.25">
      <c r="A50" s="237"/>
      <c r="B50" s="237" t="s">
        <v>48</v>
      </c>
      <c r="C50" s="237"/>
      <c r="D50" s="237" t="s">
        <v>49</v>
      </c>
      <c r="E50" s="2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1" workbookViewId="0">
      <selection activeCell="G10" sqref="G10:G11"/>
    </sheetView>
  </sheetViews>
  <sheetFormatPr defaultRowHeight="15" x14ac:dyDescent="0.25"/>
  <cols>
    <col min="2" max="2" width="44.7109375" customWidth="1"/>
    <col min="4" max="4" width="11.2851562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215</v>
      </c>
    </row>
    <row r="5" spans="1:5" x14ac:dyDescent="0.25">
      <c r="B5" t="s">
        <v>97</v>
      </c>
    </row>
    <row r="6" spans="1:5" ht="15.75" x14ac:dyDescent="0.25">
      <c r="A6" s="2"/>
      <c r="B6" s="457" t="s">
        <v>3</v>
      </c>
      <c r="C6" s="458" t="s">
        <v>98</v>
      </c>
      <c r="D6" s="599" t="s">
        <v>5</v>
      </c>
      <c r="E6" s="600"/>
    </row>
    <row r="7" spans="1:5" ht="15.75" x14ac:dyDescent="0.25">
      <c r="A7" s="463"/>
      <c r="B7" s="6" t="s">
        <v>6</v>
      </c>
      <c r="C7" s="7" t="s">
        <v>7</v>
      </c>
      <c r="D7" s="597" t="s">
        <v>132</v>
      </c>
      <c r="E7" s="598"/>
    </row>
    <row r="8" spans="1:5" x14ac:dyDescent="0.25">
      <c r="A8" s="13"/>
      <c r="B8" s="14" t="s">
        <v>8</v>
      </c>
      <c r="C8" s="13"/>
      <c r="D8" s="462">
        <v>15881.02</v>
      </c>
      <c r="E8" s="398"/>
    </row>
    <row r="9" spans="1:5" x14ac:dyDescent="0.25">
      <c r="A9" s="13"/>
      <c r="B9" s="14" t="s">
        <v>9</v>
      </c>
      <c r="C9" s="13" t="s">
        <v>10</v>
      </c>
      <c r="D9" s="13">
        <v>5597.1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4207.8</v>
      </c>
      <c r="E10" s="13"/>
    </row>
    <row r="11" spans="1:5" x14ac:dyDescent="0.25">
      <c r="A11" s="13"/>
      <c r="B11" s="15" t="s">
        <v>12</v>
      </c>
      <c r="C11" s="13" t="s">
        <v>13</v>
      </c>
      <c r="D11" s="13">
        <v>162982.01999999999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163368.99</v>
      </c>
      <c r="E14" s="13"/>
    </row>
    <row r="15" spans="1:5" x14ac:dyDescent="0.25">
      <c r="A15" s="13">
        <v>2</v>
      </c>
      <c r="B15" s="13" t="s">
        <v>101</v>
      </c>
      <c r="C15" s="13"/>
      <c r="D15" s="13">
        <f>3000+882</f>
        <v>3882</v>
      </c>
      <c r="E15" s="13"/>
    </row>
    <row r="16" spans="1:5" ht="15.75" x14ac:dyDescent="0.25">
      <c r="A16" s="13"/>
      <c r="B16" s="16" t="s">
        <v>17</v>
      </c>
      <c r="C16" s="13" t="s">
        <v>13</v>
      </c>
      <c r="D16" s="19">
        <f>D14+D15</f>
        <v>167250.99</v>
      </c>
      <c r="E16" s="13"/>
    </row>
    <row r="17" spans="1:5" ht="15.75" x14ac:dyDescent="0.25">
      <c r="A17" s="13"/>
      <c r="B17" s="16"/>
      <c r="C17" s="13"/>
      <c r="D17" s="19"/>
      <c r="E17" s="13"/>
    </row>
    <row r="18" spans="1:5" ht="15.75" x14ac:dyDescent="0.25">
      <c r="A18" s="31"/>
      <c r="B18" s="21" t="s">
        <v>18</v>
      </c>
      <c r="C18" s="31"/>
      <c r="D18" s="22"/>
      <c r="E18" s="464" t="s">
        <v>19</v>
      </c>
    </row>
    <row r="19" spans="1:5" x14ac:dyDescent="0.25">
      <c r="A19" s="465" t="s">
        <v>20</v>
      </c>
      <c r="B19" s="25" t="s">
        <v>21</v>
      </c>
      <c r="C19" s="31"/>
      <c r="D19" s="22">
        <f>D20+D24</f>
        <v>30694.649999999998</v>
      </c>
      <c r="E19" s="26">
        <f>E20</f>
        <v>6082.2765599999993</v>
      </c>
    </row>
    <row r="20" spans="1:5" x14ac:dyDescent="0.25">
      <c r="A20" s="31">
        <v>1</v>
      </c>
      <c r="B20" s="22" t="s">
        <v>22</v>
      </c>
      <c r="C20" s="31" t="s">
        <v>13</v>
      </c>
      <c r="D20" s="22">
        <f>D21</f>
        <v>30110.28</v>
      </c>
      <c r="E20" s="26">
        <f>E21</f>
        <v>6082.2765599999993</v>
      </c>
    </row>
    <row r="21" spans="1:5" x14ac:dyDescent="0.25">
      <c r="A21" s="31"/>
      <c r="B21" s="31" t="s">
        <v>23</v>
      </c>
      <c r="C21" s="31"/>
      <c r="D21" s="31">
        <v>30110.28</v>
      </c>
      <c r="E21" s="32">
        <f>D21*20.2%</f>
        <v>6082.2765599999993</v>
      </c>
    </row>
    <row r="22" spans="1:5" x14ac:dyDescent="0.25">
      <c r="A22" s="31"/>
      <c r="B22" s="31" t="s">
        <v>24</v>
      </c>
      <c r="C22" s="31"/>
      <c r="D22" s="473"/>
      <c r="E22" s="32"/>
    </row>
    <row r="23" spans="1:5" x14ac:dyDescent="0.25">
      <c r="A23" s="31"/>
      <c r="B23" s="31" t="s">
        <v>25</v>
      </c>
      <c r="C23" s="31"/>
      <c r="D23" s="31"/>
      <c r="E23" s="32"/>
    </row>
    <row r="24" spans="1:5" x14ac:dyDescent="0.25">
      <c r="A24" s="31">
        <v>2</v>
      </c>
      <c r="B24" s="31" t="s">
        <v>26</v>
      </c>
      <c r="C24" s="31"/>
      <c r="D24" s="31">
        <v>584.37</v>
      </c>
      <c r="E24" s="32"/>
    </row>
    <row r="25" spans="1:5" x14ac:dyDescent="0.25">
      <c r="A25" s="465" t="s">
        <v>27</v>
      </c>
      <c r="B25" s="30" t="s">
        <v>28</v>
      </c>
      <c r="C25" s="31"/>
      <c r="D25" s="22">
        <f>D26+D27+D28</f>
        <v>44808.03</v>
      </c>
      <c r="E25" s="26">
        <f>E26</f>
        <v>8043.8460399999985</v>
      </c>
    </row>
    <row r="26" spans="1:5" x14ac:dyDescent="0.25">
      <c r="A26" s="31">
        <v>1</v>
      </c>
      <c r="B26" s="31" t="s">
        <v>29</v>
      </c>
      <c r="C26" s="31"/>
      <c r="D26" s="31">
        <v>39821.019999999997</v>
      </c>
      <c r="E26" s="32">
        <f>D26*20.2%</f>
        <v>8043.8460399999985</v>
      </c>
    </row>
    <row r="27" spans="1:5" x14ac:dyDescent="0.25">
      <c r="A27" s="31">
        <v>2</v>
      </c>
      <c r="B27" s="31" t="s">
        <v>26</v>
      </c>
      <c r="C27" s="31"/>
      <c r="D27" s="31">
        <v>4117.01</v>
      </c>
      <c r="E27" s="31"/>
    </row>
    <row r="28" spans="1:5" x14ac:dyDescent="0.25">
      <c r="A28" s="31">
        <v>3</v>
      </c>
      <c r="B28" s="31" t="s">
        <v>85</v>
      </c>
      <c r="C28" s="31"/>
      <c r="D28" s="31">
        <f>436.2+433.8</f>
        <v>870</v>
      </c>
      <c r="E28" s="31"/>
    </row>
    <row r="29" spans="1:5" x14ac:dyDescent="0.25">
      <c r="A29" s="465" t="s">
        <v>30</v>
      </c>
      <c r="B29" s="22" t="s">
        <v>31</v>
      </c>
      <c r="C29" s="31"/>
      <c r="D29" s="26">
        <f>D30+D31+D32+D33+D35+D36+D37+D34</f>
        <v>25502.069499999998</v>
      </c>
      <c r="E29" s="31"/>
    </row>
    <row r="30" spans="1:5" x14ac:dyDescent="0.25">
      <c r="A30" s="31"/>
      <c r="B30" s="31" t="s">
        <v>32</v>
      </c>
      <c r="C30" s="31"/>
      <c r="D30" s="32">
        <f>D16*5%</f>
        <v>8362.5494999999992</v>
      </c>
      <c r="E30" s="31"/>
    </row>
    <row r="31" spans="1:5" x14ac:dyDescent="0.25">
      <c r="A31" s="31"/>
      <c r="B31" s="31" t="s">
        <v>62</v>
      </c>
      <c r="C31" s="31"/>
      <c r="D31" s="31">
        <v>943.91</v>
      </c>
      <c r="E31" s="31"/>
    </row>
    <row r="32" spans="1:5" x14ac:dyDescent="0.25">
      <c r="A32" s="31"/>
      <c r="B32" s="31" t="s">
        <v>33</v>
      </c>
      <c r="C32" s="31"/>
      <c r="D32" s="31">
        <v>2165</v>
      </c>
      <c r="E32" s="31"/>
    </row>
    <row r="33" spans="1:5" x14ac:dyDescent="0.25">
      <c r="A33" s="31"/>
      <c r="B33" s="31" t="s">
        <v>34</v>
      </c>
      <c r="C33" s="31"/>
      <c r="D33" s="32">
        <f>3300.73+3281.33</f>
        <v>6582.0599999999995</v>
      </c>
      <c r="E33" s="31"/>
    </row>
    <row r="34" spans="1:5" x14ac:dyDescent="0.25">
      <c r="A34" s="31"/>
      <c r="B34" s="31" t="s">
        <v>35</v>
      </c>
      <c r="C34" s="31"/>
      <c r="D34" s="31">
        <v>0</v>
      </c>
      <c r="E34" s="31"/>
    </row>
    <row r="35" spans="1:5" x14ac:dyDescent="0.25">
      <c r="A35" s="31"/>
      <c r="B35" s="31" t="s">
        <v>36</v>
      </c>
      <c r="C35" s="31"/>
      <c r="D35" s="31">
        <v>2010.34</v>
      </c>
      <c r="E35" s="31"/>
    </row>
    <row r="36" spans="1:5" x14ac:dyDescent="0.25">
      <c r="A36" s="31"/>
      <c r="B36" s="31" t="s">
        <v>67</v>
      </c>
      <c r="C36" s="31"/>
      <c r="D36" s="31">
        <v>1883.94</v>
      </c>
      <c r="E36" s="31"/>
    </row>
    <row r="37" spans="1:5" x14ac:dyDescent="0.25">
      <c r="A37" s="31"/>
      <c r="B37" s="31" t="s">
        <v>38</v>
      </c>
      <c r="C37" s="31"/>
      <c r="D37" s="31">
        <f>1820.21+1734.06</f>
        <v>3554.27</v>
      </c>
      <c r="E37" s="31"/>
    </row>
    <row r="38" spans="1:5" x14ac:dyDescent="0.25">
      <c r="A38" s="31">
        <v>4</v>
      </c>
      <c r="B38" s="22" t="s">
        <v>39</v>
      </c>
      <c r="C38" s="31"/>
      <c r="D38" s="26">
        <f>D39+D40</f>
        <v>27447.8</v>
      </c>
      <c r="E38" s="26">
        <f>E39</f>
        <v>4520.4711399999997</v>
      </c>
    </row>
    <row r="39" spans="1:5" x14ac:dyDescent="0.25">
      <c r="A39" s="31"/>
      <c r="B39" s="31" t="s">
        <v>40</v>
      </c>
      <c r="C39" s="31"/>
      <c r="D39" s="32">
        <v>22378.57</v>
      </c>
      <c r="E39" s="32">
        <f>D39*20.2%</f>
        <v>4520.4711399999997</v>
      </c>
    </row>
    <row r="40" spans="1:5" x14ac:dyDescent="0.25">
      <c r="A40" s="31"/>
      <c r="B40" s="31" t="s">
        <v>41</v>
      </c>
      <c r="C40" s="31"/>
      <c r="D40" s="32">
        <v>5069.2299999999996</v>
      </c>
      <c r="E40" s="31"/>
    </row>
    <row r="41" spans="1:5" x14ac:dyDescent="0.25">
      <c r="A41" s="31">
        <v>5</v>
      </c>
      <c r="B41" s="22" t="s">
        <v>42</v>
      </c>
      <c r="C41" s="31"/>
      <c r="D41" s="26">
        <f>D19+E19+D25+E25+D29+D38+E38</f>
        <v>147099.14324</v>
      </c>
      <c r="E41" s="31"/>
    </row>
    <row r="42" spans="1:5" x14ac:dyDescent="0.25">
      <c r="A42" s="31">
        <v>6</v>
      </c>
      <c r="B42" s="31" t="s">
        <v>43</v>
      </c>
      <c r="C42" s="31"/>
      <c r="D42" s="26">
        <f>D16*6%</f>
        <v>10035.059399999998</v>
      </c>
      <c r="E42" s="31"/>
    </row>
    <row r="43" spans="1:5" x14ac:dyDescent="0.25">
      <c r="A43" s="31">
        <v>7</v>
      </c>
      <c r="B43" s="22" t="s">
        <v>44</v>
      </c>
      <c r="C43" s="31"/>
      <c r="D43" s="26">
        <f>D41+D42</f>
        <v>157134.20264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53</v>
      </c>
      <c r="C45" s="31"/>
      <c r="D45" s="26">
        <f>D16-D43</f>
        <v>10116.787359999988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D8+D45</f>
        <v>25997.807359999988</v>
      </c>
      <c r="E46" s="31"/>
    </row>
    <row r="47" spans="1:5" x14ac:dyDescent="0.25">
      <c r="A47" s="399"/>
      <c r="B47" s="34"/>
      <c r="C47" s="399"/>
      <c r="D47" s="35"/>
      <c r="E47" s="399"/>
    </row>
    <row r="48" spans="1:5" x14ac:dyDescent="0.25">
      <c r="A48" s="399"/>
      <c r="B48" s="34"/>
      <c r="C48" s="399"/>
      <c r="D48" s="35"/>
      <c r="E48" s="399"/>
    </row>
    <row r="49" spans="1:5" x14ac:dyDescent="0.25">
      <c r="A49" s="237"/>
      <c r="B49" s="237" t="s">
        <v>46</v>
      </c>
      <c r="C49" s="237"/>
      <c r="D49" s="237" t="s">
        <v>47</v>
      </c>
      <c r="E49" s="237"/>
    </row>
    <row r="50" spans="1:5" x14ac:dyDescent="0.25">
      <c r="A50" s="237"/>
      <c r="B50" s="237" t="s">
        <v>48</v>
      </c>
      <c r="C50" s="237"/>
      <c r="D50" s="237" t="s">
        <v>49</v>
      </c>
      <c r="E50" s="2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0" workbookViewId="0">
      <selection activeCell="H12" sqref="H12"/>
    </sheetView>
  </sheetViews>
  <sheetFormatPr defaultRowHeight="15" x14ac:dyDescent="0.25"/>
  <cols>
    <col min="2" max="2" width="41" customWidth="1"/>
    <col min="4" max="4" width="11.2851562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216</v>
      </c>
    </row>
    <row r="5" spans="1:5" x14ac:dyDescent="0.25">
      <c r="B5" t="s">
        <v>65</v>
      </c>
    </row>
    <row r="6" spans="1:5" ht="15.75" x14ac:dyDescent="0.25">
      <c r="A6" s="2"/>
      <c r="B6" s="457" t="s">
        <v>3</v>
      </c>
      <c r="C6" s="458" t="s">
        <v>4</v>
      </c>
      <c r="D6" s="599" t="s">
        <v>5</v>
      </c>
      <c r="E6" s="600"/>
    </row>
    <row r="7" spans="1:5" ht="15.75" x14ac:dyDescent="0.25">
      <c r="A7" s="463"/>
      <c r="B7" s="6" t="s">
        <v>6</v>
      </c>
      <c r="C7" s="7" t="s">
        <v>7</v>
      </c>
      <c r="D7" s="597" t="s">
        <v>132</v>
      </c>
      <c r="E7" s="598"/>
    </row>
    <row r="8" spans="1:5" x14ac:dyDescent="0.25">
      <c r="A8" s="13"/>
      <c r="B8" s="480" t="s">
        <v>134</v>
      </c>
      <c r="C8" s="13"/>
      <c r="D8" s="462">
        <v>36175.25</v>
      </c>
      <c r="E8" s="398"/>
    </row>
    <row r="9" spans="1:5" x14ac:dyDescent="0.25">
      <c r="A9" s="9"/>
      <c r="B9" s="477" t="s">
        <v>135</v>
      </c>
      <c r="C9" s="9"/>
      <c r="D9" s="10">
        <v>65889.539999999994</v>
      </c>
      <c r="E9" s="11"/>
    </row>
    <row r="10" spans="1:5" x14ac:dyDescent="0.25">
      <c r="A10" s="13"/>
      <c r="B10" s="14" t="s">
        <v>9</v>
      </c>
      <c r="C10" s="14" t="s">
        <v>10</v>
      </c>
      <c r="D10" s="17">
        <v>4619.5</v>
      </c>
      <c r="E10" s="13"/>
    </row>
    <row r="11" spans="1:5" x14ac:dyDescent="0.25">
      <c r="A11" s="13"/>
      <c r="B11" s="14" t="s">
        <v>11</v>
      </c>
      <c r="C11" s="14" t="s">
        <v>10</v>
      </c>
      <c r="D11" s="17">
        <v>3701.3</v>
      </c>
      <c r="E11" s="13"/>
    </row>
    <row r="12" spans="1:5" x14ac:dyDescent="0.25">
      <c r="A12" s="13"/>
      <c r="B12" s="15" t="s">
        <v>12</v>
      </c>
      <c r="C12" s="14" t="s">
        <v>13</v>
      </c>
      <c r="D12" s="17">
        <v>91674.72</v>
      </c>
      <c r="E12" s="13"/>
    </row>
    <row r="13" spans="1:5" x14ac:dyDescent="0.25">
      <c r="A13" s="13"/>
      <c r="B13" s="13"/>
      <c r="C13" s="14"/>
      <c r="D13" s="17"/>
      <c r="E13" s="13"/>
    </row>
    <row r="14" spans="1:5" ht="15.75" x14ac:dyDescent="0.25">
      <c r="A14" s="13"/>
      <c r="B14" s="16" t="s">
        <v>14</v>
      </c>
      <c r="C14" s="14"/>
      <c r="D14" s="17"/>
      <c r="E14" s="13"/>
    </row>
    <row r="15" spans="1:5" x14ac:dyDescent="0.25">
      <c r="A15" s="13">
        <v>1</v>
      </c>
      <c r="B15" s="13" t="s">
        <v>15</v>
      </c>
      <c r="C15" s="14" t="s">
        <v>13</v>
      </c>
      <c r="D15" s="17">
        <v>33006.550000000003</v>
      </c>
      <c r="E15" s="13"/>
    </row>
    <row r="16" spans="1:5" x14ac:dyDescent="0.25">
      <c r="A16" s="13">
        <v>2</v>
      </c>
      <c r="B16" s="13" t="s">
        <v>16</v>
      </c>
      <c r="C16" s="14"/>
      <c r="D16" s="17">
        <v>10363.530000000001</v>
      </c>
      <c r="E16" s="13"/>
    </row>
    <row r="17" spans="1:5" ht="15.75" x14ac:dyDescent="0.25">
      <c r="A17" s="13"/>
      <c r="B17" s="16" t="s">
        <v>17</v>
      </c>
      <c r="C17" s="14"/>
      <c r="D17" s="18">
        <f>D15+D16</f>
        <v>43370.080000000002</v>
      </c>
      <c r="E17" s="13"/>
    </row>
    <row r="18" spans="1:5" ht="15.75" x14ac:dyDescent="0.25">
      <c r="A18" s="13"/>
      <c r="B18" s="16"/>
      <c r="C18" s="14"/>
      <c r="D18" s="19"/>
      <c r="E18" s="13"/>
    </row>
    <row r="19" spans="1:5" ht="15.75" x14ac:dyDescent="0.25">
      <c r="A19" s="31"/>
      <c r="B19" s="21" t="s">
        <v>18</v>
      </c>
      <c r="C19" s="31"/>
      <c r="D19" s="22"/>
      <c r="E19" s="464" t="s">
        <v>19</v>
      </c>
    </row>
    <row r="20" spans="1:5" x14ac:dyDescent="0.25">
      <c r="A20" s="465" t="s">
        <v>20</v>
      </c>
      <c r="B20" s="25" t="s">
        <v>21</v>
      </c>
      <c r="C20" s="31"/>
      <c r="D20" s="22">
        <f>D21+D25</f>
        <v>11957.92</v>
      </c>
      <c r="E20" s="26">
        <f>E21</f>
        <v>2311.6657799999998</v>
      </c>
    </row>
    <row r="21" spans="1:5" x14ac:dyDescent="0.25">
      <c r="A21" s="31">
        <v>1</v>
      </c>
      <c r="B21" s="22" t="s">
        <v>22</v>
      </c>
      <c r="C21" s="31" t="s">
        <v>13</v>
      </c>
      <c r="D21" s="22">
        <f>D22</f>
        <v>11443.89</v>
      </c>
      <c r="E21" s="26">
        <f>E22</f>
        <v>2311.6657799999998</v>
      </c>
    </row>
    <row r="22" spans="1:5" x14ac:dyDescent="0.25">
      <c r="A22" s="31"/>
      <c r="B22" s="31" t="s">
        <v>23</v>
      </c>
      <c r="C22" s="31"/>
      <c r="D22" s="31">
        <v>11443.89</v>
      </c>
      <c r="E22" s="32">
        <f>D22*20.2%</f>
        <v>2311.6657799999998</v>
      </c>
    </row>
    <row r="23" spans="1:5" x14ac:dyDescent="0.25">
      <c r="A23" s="31"/>
      <c r="B23" s="31" t="s">
        <v>24</v>
      </c>
      <c r="C23" s="31"/>
      <c r="D23" s="473"/>
      <c r="E23" s="32"/>
    </row>
    <row r="24" spans="1:5" x14ac:dyDescent="0.25">
      <c r="A24" s="31"/>
      <c r="B24" s="31" t="s">
        <v>25</v>
      </c>
      <c r="C24" s="31"/>
      <c r="D24" s="31"/>
      <c r="E24" s="32"/>
    </row>
    <row r="25" spans="1:5" x14ac:dyDescent="0.25">
      <c r="A25" s="31">
        <v>2</v>
      </c>
      <c r="B25" s="31" t="s">
        <v>26</v>
      </c>
      <c r="C25" s="31"/>
      <c r="D25" s="31">
        <v>514.03</v>
      </c>
      <c r="E25" s="32"/>
    </row>
    <row r="26" spans="1:5" x14ac:dyDescent="0.25">
      <c r="A26" s="465" t="s">
        <v>27</v>
      </c>
      <c r="B26" s="30" t="s">
        <v>28</v>
      </c>
      <c r="C26" s="31"/>
      <c r="D26" s="22">
        <f>D27+D28+D29</f>
        <v>48981.41</v>
      </c>
      <c r="E26" s="26">
        <f>E27</f>
        <v>6983.6449999999995</v>
      </c>
    </row>
    <row r="27" spans="1:5" x14ac:dyDescent="0.25">
      <c r="A27" s="31">
        <v>1</v>
      </c>
      <c r="B27" s="31" t="s">
        <v>29</v>
      </c>
      <c r="C27" s="31"/>
      <c r="D27" s="31">
        <v>34572.5</v>
      </c>
      <c r="E27" s="32">
        <f>D27*20.2%</f>
        <v>6983.6449999999995</v>
      </c>
    </row>
    <row r="28" spans="1:5" x14ac:dyDescent="0.25">
      <c r="A28" s="31">
        <v>2</v>
      </c>
      <c r="B28" s="31" t="s">
        <v>26</v>
      </c>
      <c r="C28" s="31"/>
      <c r="D28" s="31">
        <v>14408.91</v>
      </c>
      <c r="E28" s="31"/>
    </row>
    <row r="29" spans="1:5" x14ac:dyDescent="0.25">
      <c r="A29" s="31">
        <v>3</v>
      </c>
      <c r="B29" s="31" t="s">
        <v>85</v>
      </c>
      <c r="C29" s="31"/>
      <c r="D29" s="31">
        <v>0</v>
      </c>
      <c r="E29" s="31"/>
    </row>
    <row r="30" spans="1:5" x14ac:dyDescent="0.25">
      <c r="A30" s="465" t="s">
        <v>30</v>
      </c>
      <c r="B30" s="22" t="s">
        <v>31</v>
      </c>
      <c r="C30" s="31"/>
      <c r="D30" s="26">
        <f>D31+D32+D33+D34+D35+D36+D37</f>
        <v>15592.403759999999</v>
      </c>
      <c r="E30" s="31"/>
    </row>
    <row r="31" spans="1:5" x14ac:dyDescent="0.25">
      <c r="A31" s="31"/>
      <c r="B31" s="31" t="s">
        <v>32</v>
      </c>
      <c r="C31" s="31"/>
      <c r="D31" s="32">
        <f>D17*4.7%</f>
        <v>2038.3937600000002</v>
      </c>
      <c r="E31" s="31"/>
    </row>
    <row r="32" spans="1:5" x14ac:dyDescent="0.25">
      <c r="A32" s="31"/>
      <c r="B32" s="31" t="s">
        <v>62</v>
      </c>
      <c r="C32" s="31"/>
      <c r="D32" s="31">
        <v>206.28</v>
      </c>
      <c r="E32" s="31"/>
    </row>
    <row r="33" spans="1:5" x14ac:dyDescent="0.25">
      <c r="A33" s="31"/>
      <c r="B33" s="31" t="s">
        <v>34</v>
      </c>
      <c r="C33" s="31"/>
      <c r="D33" s="32">
        <v>2837.74</v>
      </c>
      <c r="E33" s="31"/>
    </row>
    <row r="34" spans="1:5" x14ac:dyDescent="0.25">
      <c r="A34" s="31"/>
      <c r="B34" s="31" t="s">
        <v>33</v>
      </c>
      <c r="C34" s="31"/>
      <c r="D34" s="31">
        <v>2052.98</v>
      </c>
      <c r="E34" s="31"/>
    </row>
    <row r="35" spans="1:5" x14ac:dyDescent="0.25">
      <c r="A35" s="31"/>
      <c r="B35" s="31" t="s">
        <v>36</v>
      </c>
      <c r="C35" s="31"/>
      <c r="D35" s="31">
        <v>1270.82</v>
      </c>
      <c r="E35" s="31"/>
    </row>
    <row r="36" spans="1:5" x14ac:dyDescent="0.25">
      <c r="A36" s="31"/>
      <c r="B36" s="31" t="s">
        <v>67</v>
      </c>
      <c r="C36" s="31"/>
      <c r="D36" s="31">
        <v>6160.11</v>
      </c>
      <c r="E36" s="31"/>
    </row>
    <row r="37" spans="1:5" x14ac:dyDescent="0.25">
      <c r="A37" s="31"/>
      <c r="B37" s="31" t="s">
        <v>38</v>
      </c>
      <c r="C37" s="31"/>
      <c r="D37" s="31">
        <v>1026.08</v>
      </c>
      <c r="E37" s="31"/>
    </row>
    <row r="38" spans="1:5" x14ac:dyDescent="0.25">
      <c r="A38" s="31">
        <v>4</v>
      </c>
      <c r="B38" s="22" t="s">
        <v>39</v>
      </c>
      <c r="C38" s="31"/>
      <c r="D38" s="26">
        <f>D39+D40</f>
        <v>11059.28</v>
      </c>
      <c r="E38" s="26">
        <f>E39</f>
        <v>1884.3105399999999</v>
      </c>
    </row>
    <row r="39" spans="1:5" x14ac:dyDescent="0.25">
      <c r="A39" s="31"/>
      <c r="B39" s="31" t="s">
        <v>40</v>
      </c>
      <c r="C39" s="31"/>
      <c r="D39" s="32">
        <v>9328.27</v>
      </c>
      <c r="E39" s="32">
        <f>D39*20.2%</f>
        <v>1884.3105399999999</v>
      </c>
    </row>
    <row r="40" spans="1:5" x14ac:dyDescent="0.25">
      <c r="A40" s="31"/>
      <c r="B40" s="31" t="s">
        <v>41</v>
      </c>
      <c r="C40" s="31"/>
      <c r="D40" s="32">
        <v>1731.01</v>
      </c>
      <c r="E40" s="31"/>
    </row>
    <row r="41" spans="1:5" x14ac:dyDescent="0.25">
      <c r="A41" s="31">
        <v>5</v>
      </c>
      <c r="B41" s="22" t="s">
        <v>42</v>
      </c>
      <c r="C41" s="31"/>
      <c r="D41" s="26">
        <f>D20+E20+D26+E26+D30+D38+E38</f>
        <v>98770.635080000007</v>
      </c>
      <c r="E41" s="31"/>
    </row>
    <row r="42" spans="1:5" x14ac:dyDescent="0.25">
      <c r="A42" s="31">
        <v>6</v>
      </c>
      <c r="B42" s="31" t="s">
        <v>43</v>
      </c>
      <c r="C42" s="31"/>
      <c r="D42" s="26">
        <f>D17*6%</f>
        <v>2602.2048</v>
      </c>
      <c r="E42" s="31"/>
    </row>
    <row r="43" spans="1:5" x14ac:dyDescent="0.25">
      <c r="A43" s="31">
        <v>7</v>
      </c>
      <c r="B43" s="22" t="s">
        <v>44</v>
      </c>
      <c r="C43" s="31"/>
      <c r="D43" s="26">
        <f>D41+D42</f>
        <v>101372.83988000001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53</v>
      </c>
      <c r="C45" s="31"/>
      <c r="D45" s="26">
        <f>D15-D43</f>
        <v>-68366.289880000011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D8+D45</f>
        <v>-32191.039880000011</v>
      </c>
      <c r="E46" s="31"/>
    </row>
    <row r="47" spans="1:5" x14ac:dyDescent="0.25">
      <c r="A47" s="399"/>
      <c r="B47" s="34" t="s">
        <v>16</v>
      </c>
      <c r="C47" s="399"/>
      <c r="D47" s="35">
        <f>D9+D16</f>
        <v>76253.069999999992</v>
      </c>
      <c r="E47" s="399"/>
    </row>
    <row r="48" spans="1:5" x14ac:dyDescent="0.25">
      <c r="A48" s="399"/>
      <c r="B48" s="34"/>
      <c r="C48" s="399"/>
      <c r="D48" s="35"/>
      <c r="E48" s="399"/>
    </row>
    <row r="49" spans="1:5" x14ac:dyDescent="0.25">
      <c r="A49" s="399"/>
      <c r="B49" t="s">
        <v>46</v>
      </c>
      <c r="D49" t="s">
        <v>47</v>
      </c>
      <c r="E49" s="399"/>
    </row>
    <row r="50" spans="1:5" x14ac:dyDescent="0.25">
      <c r="A50" s="237"/>
      <c r="B50" s="237" t="s">
        <v>48</v>
      </c>
      <c r="C50" s="237"/>
      <c r="D50" s="237" t="s">
        <v>49</v>
      </c>
      <c r="E50" s="2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K12" sqref="K12"/>
    </sheetView>
  </sheetViews>
  <sheetFormatPr defaultRowHeight="15" x14ac:dyDescent="0.25"/>
  <cols>
    <col min="1" max="1" width="2.42578125" customWidth="1"/>
    <col min="2" max="2" width="6" customWidth="1"/>
    <col min="3" max="3" width="43.85546875" customWidth="1"/>
    <col min="5" max="5" width="11.85546875" customWidth="1"/>
    <col min="6" max="6" width="11.140625" customWidth="1"/>
  </cols>
  <sheetData>
    <row r="1" spans="1:6" ht="15.75" x14ac:dyDescent="0.25">
      <c r="C1" s="1" t="s">
        <v>0</v>
      </c>
    </row>
    <row r="3" spans="1:6" x14ac:dyDescent="0.25">
      <c r="C3" t="s">
        <v>217</v>
      </c>
    </row>
    <row r="4" spans="1:6" x14ac:dyDescent="0.25">
      <c r="C4" t="s">
        <v>218</v>
      </c>
    </row>
    <row r="5" spans="1:6" x14ac:dyDescent="0.25">
      <c r="B5" s="593"/>
      <c r="C5" s="593"/>
      <c r="D5" s="593"/>
      <c r="E5" s="452"/>
      <c r="F5" s="43"/>
    </row>
    <row r="6" spans="1:6" ht="15.75" x14ac:dyDescent="0.25">
      <c r="A6" s="485"/>
      <c r="B6" s="2"/>
      <c r="C6" s="457" t="s">
        <v>3</v>
      </c>
      <c r="D6" s="458" t="s">
        <v>4</v>
      </c>
      <c r="E6" s="599" t="s">
        <v>5</v>
      </c>
      <c r="F6" s="600"/>
    </row>
    <row r="7" spans="1:6" ht="15.75" x14ac:dyDescent="0.25">
      <c r="B7" s="463"/>
      <c r="C7" s="6" t="s">
        <v>6</v>
      </c>
      <c r="D7" s="7" t="s">
        <v>7</v>
      </c>
      <c r="E7" s="597" t="s">
        <v>219</v>
      </c>
      <c r="F7" s="598"/>
    </row>
    <row r="8" spans="1:6" x14ac:dyDescent="0.25">
      <c r="B8" s="13"/>
      <c r="C8" s="14" t="s">
        <v>8</v>
      </c>
      <c r="D8" s="13"/>
      <c r="E8" s="462">
        <v>-109361.25</v>
      </c>
      <c r="F8" s="398"/>
    </row>
    <row r="9" spans="1:6" x14ac:dyDescent="0.25">
      <c r="B9" s="13"/>
      <c r="C9" s="14" t="s">
        <v>9</v>
      </c>
      <c r="D9" s="14" t="s">
        <v>10</v>
      </c>
      <c r="E9" s="17">
        <v>4619.5</v>
      </c>
      <c r="F9" s="13"/>
    </row>
    <row r="10" spans="1:6" x14ac:dyDescent="0.25">
      <c r="B10" s="13"/>
      <c r="C10" s="14" t="s">
        <v>11</v>
      </c>
      <c r="D10" s="14" t="s">
        <v>10</v>
      </c>
      <c r="E10" s="17">
        <v>3701.3</v>
      </c>
      <c r="F10" s="13"/>
    </row>
    <row r="11" spans="1:6" x14ac:dyDescent="0.25">
      <c r="B11" s="13"/>
      <c r="C11" s="15" t="s">
        <v>12</v>
      </c>
      <c r="D11" s="14" t="s">
        <v>13</v>
      </c>
      <c r="E11" s="17">
        <v>102704.67</v>
      </c>
      <c r="F11" s="13"/>
    </row>
    <row r="12" spans="1:6" x14ac:dyDescent="0.25">
      <c r="B12" s="13"/>
      <c r="C12" s="13"/>
      <c r="D12" s="14"/>
      <c r="E12" s="17"/>
      <c r="F12" s="13"/>
    </row>
    <row r="13" spans="1:6" ht="15.75" x14ac:dyDescent="0.25">
      <c r="B13" s="13"/>
      <c r="C13" s="16" t="s">
        <v>14</v>
      </c>
      <c r="D13" s="14"/>
      <c r="E13" s="17"/>
      <c r="F13" s="13"/>
    </row>
    <row r="14" spans="1:6" x14ac:dyDescent="0.25">
      <c r="B14" s="13">
        <v>1</v>
      </c>
      <c r="C14" s="13" t="s">
        <v>15</v>
      </c>
      <c r="D14" s="14" t="s">
        <v>13</v>
      </c>
      <c r="E14" s="17">
        <v>91038.12</v>
      </c>
      <c r="F14" s="13"/>
    </row>
    <row r="15" spans="1:6" x14ac:dyDescent="0.25">
      <c r="B15" s="13"/>
      <c r="C15" s="13"/>
      <c r="D15" s="14"/>
      <c r="E15" s="17"/>
      <c r="F15" s="13"/>
    </row>
    <row r="16" spans="1:6" ht="15.75" x14ac:dyDescent="0.25">
      <c r="B16" s="13"/>
      <c r="C16" s="16" t="s">
        <v>17</v>
      </c>
      <c r="D16" s="14"/>
      <c r="E16" s="18">
        <f>E14</f>
        <v>91038.12</v>
      </c>
      <c r="F16" s="13"/>
    </row>
    <row r="17" spans="2:6" ht="15.75" x14ac:dyDescent="0.25">
      <c r="B17" s="13"/>
      <c r="C17" s="16"/>
      <c r="D17" s="14"/>
      <c r="E17" s="19"/>
      <c r="F17" s="13"/>
    </row>
    <row r="18" spans="2:6" ht="15.75" x14ac:dyDescent="0.25">
      <c r="B18" s="31"/>
      <c r="C18" s="21" t="s">
        <v>18</v>
      </c>
      <c r="D18" s="31"/>
      <c r="E18" s="22"/>
      <c r="F18" s="464" t="s">
        <v>19</v>
      </c>
    </row>
    <row r="19" spans="2:6" x14ac:dyDescent="0.25">
      <c r="B19" s="465" t="s">
        <v>20</v>
      </c>
      <c r="C19" s="25" t="s">
        <v>21</v>
      </c>
      <c r="D19" s="31"/>
      <c r="E19" s="26">
        <f>E20+E24</f>
        <v>36613.119999999995</v>
      </c>
      <c r="F19" s="26">
        <f>F20</f>
        <v>7259.4295399999992</v>
      </c>
    </row>
    <row r="20" spans="2:6" x14ac:dyDescent="0.25">
      <c r="B20" s="31">
        <v>1</v>
      </c>
      <c r="C20" s="22" t="s">
        <v>22</v>
      </c>
      <c r="D20" s="31" t="s">
        <v>13</v>
      </c>
      <c r="E20" s="26">
        <f>E21+E22+E23</f>
        <v>35937.769999999997</v>
      </c>
      <c r="F20" s="26">
        <f>F21+F22+F23</f>
        <v>7259.4295399999992</v>
      </c>
    </row>
    <row r="21" spans="2:6" x14ac:dyDescent="0.25">
      <c r="B21" s="31"/>
      <c r="C21" s="31" t="s">
        <v>23</v>
      </c>
      <c r="D21" s="31"/>
      <c r="E21" s="31">
        <v>10482.52</v>
      </c>
      <c r="F21" s="32">
        <f>E21*20.2%</f>
        <v>2117.4690399999999</v>
      </c>
    </row>
    <row r="22" spans="2:6" x14ac:dyDescent="0.25">
      <c r="B22" s="31"/>
      <c r="C22" s="31" t="s">
        <v>24</v>
      </c>
      <c r="D22" s="31"/>
      <c r="E22" s="31">
        <v>11312.76</v>
      </c>
      <c r="F22" s="32">
        <f>E22*20.2%</f>
        <v>2285.1775199999997</v>
      </c>
    </row>
    <row r="23" spans="2:6" x14ac:dyDescent="0.25">
      <c r="B23" s="31"/>
      <c r="C23" s="31" t="s">
        <v>25</v>
      </c>
      <c r="D23" s="31"/>
      <c r="E23" s="31">
        <v>14142.49</v>
      </c>
      <c r="F23" s="32">
        <f>E23*20.2%</f>
        <v>2856.78298</v>
      </c>
    </row>
    <row r="24" spans="2:6" x14ac:dyDescent="0.25">
      <c r="B24" s="31">
        <v>2</v>
      </c>
      <c r="C24" s="31" t="s">
        <v>26</v>
      </c>
      <c r="D24" s="31"/>
      <c r="E24" s="31">
        <v>675.35</v>
      </c>
      <c r="F24" s="32"/>
    </row>
    <row r="25" spans="2:6" x14ac:dyDescent="0.25">
      <c r="B25" s="465" t="s">
        <v>27</v>
      </c>
      <c r="C25" s="30" t="s">
        <v>28</v>
      </c>
      <c r="D25" s="31"/>
      <c r="E25" s="22">
        <f>E26+E27</f>
        <v>22991.9</v>
      </c>
      <c r="F25" s="26">
        <f>F26</f>
        <v>4594.0839800000003</v>
      </c>
    </row>
    <row r="26" spans="2:6" x14ac:dyDescent="0.25">
      <c r="B26" s="31">
        <v>1</v>
      </c>
      <c r="C26" s="31" t="s">
        <v>29</v>
      </c>
      <c r="D26" s="31"/>
      <c r="E26" s="31">
        <v>22742.99</v>
      </c>
      <c r="F26" s="32">
        <f>E26*20.2%</f>
        <v>4594.0839800000003</v>
      </c>
    </row>
    <row r="27" spans="2:6" x14ac:dyDescent="0.25">
      <c r="B27" s="31">
        <v>2</v>
      </c>
      <c r="C27" s="31" t="s">
        <v>26</v>
      </c>
      <c r="D27" s="31"/>
      <c r="E27" s="31">
        <v>248.91</v>
      </c>
      <c r="F27" s="31"/>
    </row>
    <row r="28" spans="2:6" x14ac:dyDescent="0.25">
      <c r="B28" s="465" t="s">
        <v>30</v>
      </c>
      <c r="C28" s="22" t="s">
        <v>31</v>
      </c>
      <c r="D28" s="31"/>
      <c r="E28" s="26">
        <f>E29+E30+E31+E32+E33+E34+E35+E36+E37</f>
        <v>11334.896000000001</v>
      </c>
      <c r="F28" s="31"/>
    </row>
    <row r="29" spans="2:6" x14ac:dyDescent="0.25">
      <c r="B29" s="31"/>
      <c r="C29" s="31" t="s">
        <v>32</v>
      </c>
      <c r="D29" s="31"/>
      <c r="E29" s="32">
        <f>E16*5%</f>
        <v>4551.9059999999999</v>
      </c>
      <c r="F29" s="31"/>
    </row>
    <row r="30" spans="2:6" x14ac:dyDescent="0.25">
      <c r="B30" s="31"/>
      <c r="C30" s="31" t="s">
        <v>62</v>
      </c>
      <c r="D30" s="31"/>
      <c r="E30" s="31">
        <v>309.68</v>
      </c>
      <c r="F30" s="31"/>
    </row>
    <row r="31" spans="2:6" x14ac:dyDescent="0.25">
      <c r="B31" s="31"/>
      <c r="C31" s="31" t="s">
        <v>34</v>
      </c>
      <c r="D31" s="31"/>
      <c r="E31" s="32">
        <v>3814.61</v>
      </c>
      <c r="F31" s="31"/>
    </row>
    <row r="32" spans="2:6" x14ac:dyDescent="0.25">
      <c r="B32" s="31"/>
      <c r="C32" s="31" t="s">
        <v>35</v>
      </c>
      <c r="D32" s="31"/>
      <c r="E32" s="31">
        <v>0</v>
      </c>
      <c r="F32" s="31"/>
    </row>
    <row r="33" spans="2:6" x14ac:dyDescent="0.25">
      <c r="B33" s="31"/>
      <c r="C33" s="31" t="s">
        <v>36</v>
      </c>
      <c r="D33" s="31"/>
      <c r="E33" s="31">
        <v>552.94000000000005</v>
      </c>
      <c r="F33" s="31"/>
    </row>
    <row r="34" spans="2:6" x14ac:dyDescent="0.25">
      <c r="B34" s="31"/>
      <c r="C34" s="31" t="s">
        <v>67</v>
      </c>
      <c r="D34" s="31"/>
      <c r="E34" s="31">
        <v>0</v>
      </c>
      <c r="F34" s="31"/>
    </row>
    <row r="35" spans="2:6" x14ac:dyDescent="0.25">
      <c r="B35" s="31"/>
      <c r="C35" s="31" t="s">
        <v>52</v>
      </c>
      <c r="D35" s="31"/>
      <c r="E35" s="31"/>
      <c r="F35" s="31"/>
    </row>
    <row r="36" spans="2:6" x14ac:dyDescent="0.25">
      <c r="B36" s="31"/>
      <c r="C36" s="31" t="s">
        <v>38</v>
      </c>
      <c r="D36" s="31"/>
      <c r="E36" s="31">
        <v>2105.7600000000002</v>
      </c>
      <c r="F36" s="31"/>
    </row>
    <row r="37" spans="2:6" x14ac:dyDescent="0.25">
      <c r="B37" s="31"/>
      <c r="C37" s="31" t="s">
        <v>220</v>
      </c>
      <c r="D37" s="31"/>
      <c r="E37" s="31">
        <v>0</v>
      </c>
      <c r="F37" s="31"/>
    </row>
    <row r="38" spans="2:6" x14ac:dyDescent="0.25">
      <c r="B38" s="31">
        <v>4</v>
      </c>
      <c r="C38" s="22" t="s">
        <v>39</v>
      </c>
      <c r="D38" s="31"/>
      <c r="E38" s="26">
        <f>E39+E40</f>
        <v>16775.599999999999</v>
      </c>
      <c r="F38" s="26">
        <f>F39</f>
        <v>2715.9788800000001</v>
      </c>
    </row>
    <row r="39" spans="2:6" x14ac:dyDescent="0.25">
      <c r="B39" s="31"/>
      <c r="C39" s="31" t="s">
        <v>40</v>
      </c>
      <c r="D39" s="31"/>
      <c r="E39" s="32">
        <v>13445.44</v>
      </c>
      <c r="F39" s="32">
        <f>E39*20.2%</f>
        <v>2715.9788800000001</v>
      </c>
    </row>
    <row r="40" spans="2:6" x14ac:dyDescent="0.25">
      <c r="B40" s="31"/>
      <c r="C40" s="31" t="s">
        <v>41</v>
      </c>
      <c r="D40" s="31"/>
      <c r="E40" s="32">
        <v>3330.16</v>
      </c>
      <c r="F40" s="31"/>
    </row>
    <row r="41" spans="2:6" x14ac:dyDescent="0.25">
      <c r="B41" s="31">
        <v>5</v>
      </c>
      <c r="C41" s="22" t="s">
        <v>42</v>
      </c>
      <c r="D41" s="31"/>
      <c r="E41" s="26">
        <f>E19+F19+E25+F25+E28+E38+F38</f>
        <v>102285.00840000001</v>
      </c>
      <c r="F41" s="31"/>
    </row>
    <row r="42" spans="2:6" x14ac:dyDescent="0.25">
      <c r="B42" s="31">
        <v>6</v>
      </c>
      <c r="C42" s="31" t="s">
        <v>43</v>
      </c>
      <c r="D42" s="31"/>
      <c r="E42" s="26">
        <f>E16*6%</f>
        <v>5462.2871999999998</v>
      </c>
      <c r="F42" s="31"/>
    </row>
    <row r="43" spans="2:6" x14ac:dyDescent="0.25">
      <c r="B43" s="31">
        <v>7</v>
      </c>
      <c r="C43" s="22" t="s">
        <v>44</v>
      </c>
      <c r="D43" s="31"/>
      <c r="E43" s="26">
        <f>E41+E42</f>
        <v>107747.29560000001</v>
      </c>
      <c r="F43" s="31"/>
    </row>
    <row r="44" spans="2:6" x14ac:dyDescent="0.25">
      <c r="B44" s="31"/>
      <c r="C44" s="31"/>
      <c r="D44" s="31"/>
      <c r="E44" s="31"/>
      <c r="F44" s="31"/>
    </row>
    <row r="45" spans="2:6" x14ac:dyDescent="0.25">
      <c r="B45" s="31">
        <v>8</v>
      </c>
      <c r="C45" s="22" t="s">
        <v>83</v>
      </c>
      <c r="D45" s="31"/>
      <c r="E45" s="26">
        <f>E16-E43</f>
        <v>-16709.175600000017</v>
      </c>
      <c r="F45" s="31"/>
    </row>
    <row r="46" spans="2:6" x14ac:dyDescent="0.25">
      <c r="B46" s="31">
        <v>9</v>
      </c>
      <c r="C46" s="22" t="s">
        <v>45</v>
      </c>
      <c r="D46" s="31"/>
      <c r="E46" s="26">
        <f>E8+E45</f>
        <v>-126070.42560000002</v>
      </c>
      <c r="F46" s="31"/>
    </row>
    <row r="47" spans="2:6" x14ac:dyDescent="0.25">
      <c r="B47" s="399"/>
      <c r="C47" s="34"/>
      <c r="D47" s="399"/>
      <c r="E47" s="35"/>
      <c r="F47" s="399"/>
    </row>
    <row r="48" spans="2:6" x14ac:dyDescent="0.25">
      <c r="B48" s="399"/>
      <c r="C48" s="34"/>
      <c r="D48" s="399"/>
      <c r="E48" s="35"/>
      <c r="F48" s="399"/>
    </row>
    <row r="49" spans="2:6" x14ac:dyDescent="0.25">
      <c r="B49" s="399"/>
      <c r="C49" t="s">
        <v>46</v>
      </c>
      <c r="E49" t="s">
        <v>47</v>
      </c>
      <c r="F49" s="399"/>
    </row>
    <row r="50" spans="2:6" x14ac:dyDescent="0.25">
      <c r="B50" s="237"/>
      <c r="C50" s="237" t="s">
        <v>48</v>
      </c>
      <c r="D50" s="237"/>
      <c r="E50" s="237" t="s">
        <v>49</v>
      </c>
      <c r="F50" s="237"/>
    </row>
  </sheetData>
  <mergeCells count="3">
    <mergeCell ref="E6:F6"/>
    <mergeCell ref="B5:D5"/>
    <mergeCell ref="E7:F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E40" sqref="E40"/>
    </sheetView>
  </sheetViews>
  <sheetFormatPr defaultRowHeight="15" x14ac:dyDescent="0.25"/>
  <cols>
    <col min="1" max="1" width="6.5703125" customWidth="1"/>
    <col min="2" max="2" width="42.28515625" customWidth="1"/>
    <col min="4" max="4" width="11.42578125" customWidth="1"/>
  </cols>
  <sheetData>
    <row r="1" spans="1:5" ht="15.75" x14ac:dyDescent="0.25">
      <c r="A1" s="88"/>
      <c r="B1" s="89" t="s">
        <v>0</v>
      </c>
      <c r="C1" s="88"/>
      <c r="D1" s="88"/>
      <c r="E1" s="88"/>
    </row>
    <row r="2" spans="1:5" x14ac:dyDescent="0.25">
      <c r="A2" s="88"/>
      <c r="B2" s="88" t="s">
        <v>1</v>
      </c>
      <c r="C2" s="88"/>
      <c r="D2" s="88"/>
      <c r="E2" s="88"/>
    </row>
    <row r="3" spans="1:5" x14ac:dyDescent="0.25">
      <c r="A3" s="88"/>
      <c r="B3" s="90" t="s">
        <v>114</v>
      </c>
      <c r="C3" s="88"/>
      <c r="D3" s="88"/>
      <c r="E3" s="88"/>
    </row>
    <row r="4" spans="1:5" x14ac:dyDescent="0.25">
      <c r="A4" s="514"/>
      <c r="B4" s="514"/>
      <c r="C4" s="514"/>
      <c r="D4" s="403"/>
      <c r="E4" s="91"/>
    </row>
    <row r="5" spans="1:5" x14ac:dyDescent="0.25">
      <c r="A5" s="92"/>
      <c r="B5" s="92"/>
      <c r="C5" s="92"/>
      <c r="D5" s="93"/>
      <c r="E5" s="94"/>
    </row>
    <row r="6" spans="1:5" ht="15.75" x14ac:dyDescent="0.25">
      <c r="A6" s="92"/>
      <c r="B6" s="95" t="s">
        <v>3</v>
      </c>
      <c r="C6" s="96" t="s">
        <v>4</v>
      </c>
      <c r="D6" s="515" t="s">
        <v>5</v>
      </c>
      <c r="E6" s="516"/>
    </row>
    <row r="7" spans="1:5" ht="15.75" x14ac:dyDescent="0.25">
      <c r="A7" s="97"/>
      <c r="B7" s="95" t="s">
        <v>6</v>
      </c>
      <c r="C7" s="96" t="s">
        <v>7</v>
      </c>
      <c r="D7" s="512" t="s">
        <v>115</v>
      </c>
      <c r="E7" s="513"/>
    </row>
    <row r="8" spans="1:5" x14ac:dyDescent="0.25">
      <c r="A8" s="98"/>
      <c r="B8" s="98"/>
      <c r="C8" s="98"/>
      <c r="D8" s="99"/>
      <c r="E8" s="100"/>
    </row>
    <row r="9" spans="1:5" x14ac:dyDescent="0.25">
      <c r="A9" s="98"/>
      <c r="B9" s="101" t="s">
        <v>8</v>
      </c>
      <c r="C9" s="98"/>
      <c r="D9" s="99">
        <v>71407.42</v>
      </c>
      <c r="E9" s="100"/>
    </row>
    <row r="10" spans="1:5" x14ac:dyDescent="0.25">
      <c r="A10" s="102"/>
      <c r="B10" s="103" t="s">
        <v>9</v>
      </c>
      <c r="C10" s="102" t="s">
        <v>10</v>
      </c>
      <c r="D10" s="102">
        <v>4428.1000000000004</v>
      </c>
      <c r="E10" s="102"/>
    </row>
    <row r="11" spans="1:5" x14ac:dyDescent="0.25">
      <c r="A11" s="102"/>
      <c r="B11" s="103" t="s">
        <v>11</v>
      </c>
      <c r="C11" s="102" t="s">
        <v>10</v>
      </c>
      <c r="D11" s="102">
        <v>3467.4</v>
      </c>
      <c r="E11" s="102"/>
    </row>
    <row r="12" spans="1:5" x14ac:dyDescent="0.25">
      <c r="A12" s="102"/>
      <c r="B12" s="104" t="s">
        <v>12</v>
      </c>
      <c r="C12" s="102" t="s">
        <v>13</v>
      </c>
      <c r="D12" s="102">
        <v>155449.22</v>
      </c>
      <c r="E12" s="102"/>
    </row>
    <row r="13" spans="1:5" x14ac:dyDescent="0.25">
      <c r="A13" s="102"/>
      <c r="B13" s="102"/>
      <c r="C13" s="102"/>
      <c r="D13" s="102"/>
      <c r="E13" s="102"/>
    </row>
    <row r="14" spans="1:5" ht="15.75" x14ac:dyDescent="0.25">
      <c r="A14" s="102"/>
      <c r="B14" s="105" t="s">
        <v>14</v>
      </c>
      <c r="C14" s="102"/>
      <c r="D14" s="102"/>
      <c r="E14" s="102"/>
    </row>
    <row r="15" spans="1:5" x14ac:dyDescent="0.25">
      <c r="A15" s="102">
        <v>1</v>
      </c>
      <c r="B15" s="102" t="s">
        <v>15</v>
      </c>
      <c r="C15" s="102" t="s">
        <v>13</v>
      </c>
      <c r="D15" s="102">
        <v>130771.71</v>
      </c>
      <c r="E15" s="102"/>
    </row>
    <row r="16" spans="1:5" x14ac:dyDescent="0.25">
      <c r="A16" s="102"/>
      <c r="B16" s="102"/>
      <c r="C16" s="102"/>
      <c r="D16" s="102"/>
      <c r="E16" s="102"/>
    </row>
    <row r="17" spans="1:5" ht="15.75" x14ac:dyDescent="0.25">
      <c r="A17" s="102"/>
      <c r="B17" s="105" t="s">
        <v>17</v>
      </c>
      <c r="C17" s="102"/>
      <c r="D17" s="106">
        <f>D15</f>
        <v>130771.71</v>
      </c>
      <c r="E17" s="102"/>
    </row>
    <row r="18" spans="1:5" ht="15.75" x14ac:dyDescent="0.25">
      <c r="A18" s="102"/>
      <c r="B18" s="105"/>
      <c r="C18" s="102"/>
      <c r="D18" s="106"/>
      <c r="E18" s="102"/>
    </row>
    <row r="19" spans="1:5" ht="15.75" x14ac:dyDescent="0.25">
      <c r="A19" s="20"/>
      <c r="B19" s="21" t="s">
        <v>18</v>
      </c>
      <c r="C19" s="20"/>
      <c r="D19" s="22"/>
      <c r="E19" s="102" t="s">
        <v>19</v>
      </c>
    </row>
    <row r="20" spans="1:5" x14ac:dyDescent="0.25">
      <c r="A20" s="24" t="s">
        <v>20</v>
      </c>
      <c r="B20" s="25" t="s">
        <v>21</v>
      </c>
      <c r="C20" s="20"/>
      <c r="D20" s="106">
        <f>D21+D25</f>
        <v>15914.769999999999</v>
      </c>
      <c r="E20" s="414">
        <f>E21</f>
        <v>3117.5104399999996</v>
      </c>
    </row>
    <row r="21" spans="1:5" x14ac:dyDescent="0.25">
      <c r="A21" s="20">
        <v>1</v>
      </c>
      <c r="B21" s="22" t="s">
        <v>22</v>
      </c>
      <c r="C21" s="27" t="s">
        <v>13</v>
      </c>
      <c r="D21" s="106">
        <f>SUM(D22:D24)</f>
        <v>15433.22</v>
      </c>
      <c r="E21" s="415">
        <f>SUM(E22:E24)</f>
        <v>3117.5104399999996</v>
      </c>
    </row>
    <row r="22" spans="1:5" x14ac:dyDescent="0.25">
      <c r="A22" s="20"/>
      <c r="B22" s="20" t="s">
        <v>23</v>
      </c>
      <c r="C22" s="20"/>
      <c r="D22" s="102">
        <v>15433.22</v>
      </c>
      <c r="E22" s="414">
        <f>D22*20.2%</f>
        <v>3117.5104399999996</v>
      </c>
    </row>
    <row r="23" spans="1:5" x14ac:dyDescent="0.25">
      <c r="A23" s="20"/>
      <c r="B23" s="20" t="s">
        <v>24</v>
      </c>
      <c r="C23" s="20"/>
      <c r="D23" s="102">
        <v>0</v>
      </c>
      <c r="E23" s="414">
        <f>D23*26.2%</f>
        <v>0</v>
      </c>
    </row>
    <row r="24" spans="1:5" x14ac:dyDescent="0.25">
      <c r="A24" s="20"/>
      <c r="B24" s="20" t="s">
        <v>25</v>
      </c>
      <c r="C24" s="20"/>
      <c r="D24" s="102">
        <v>0</v>
      </c>
      <c r="E24" s="414">
        <f>D24*26.2%</f>
        <v>0</v>
      </c>
    </row>
    <row r="25" spans="1:5" x14ac:dyDescent="0.25">
      <c r="A25" s="20">
        <v>2</v>
      </c>
      <c r="B25" s="27" t="s">
        <v>26</v>
      </c>
      <c r="C25" s="20"/>
      <c r="D25" s="102">
        <v>481.55</v>
      </c>
      <c r="E25" s="414"/>
    </row>
    <row r="26" spans="1:5" x14ac:dyDescent="0.25">
      <c r="A26" s="24" t="s">
        <v>27</v>
      </c>
      <c r="B26" s="30" t="s">
        <v>28</v>
      </c>
      <c r="C26" s="20"/>
      <c r="D26" s="106">
        <f>D27+D28+D29</f>
        <v>42726.880000000005</v>
      </c>
      <c r="E26" s="415">
        <f>E27</f>
        <v>6628.4603200000001</v>
      </c>
    </row>
    <row r="27" spans="1:5" x14ac:dyDescent="0.25">
      <c r="A27" s="20">
        <v>1</v>
      </c>
      <c r="B27" s="31" t="s">
        <v>29</v>
      </c>
      <c r="C27" s="20"/>
      <c r="D27" s="416">
        <v>32814.160000000003</v>
      </c>
      <c r="E27" s="417">
        <f>D27*20.2%</f>
        <v>6628.4603200000001</v>
      </c>
    </row>
    <row r="28" spans="1:5" x14ac:dyDescent="0.25">
      <c r="A28" s="20">
        <v>2</v>
      </c>
      <c r="B28" s="31" t="s">
        <v>26</v>
      </c>
      <c r="C28" s="20"/>
      <c r="D28" s="416">
        <v>412.77</v>
      </c>
      <c r="E28" s="102"/>
    </row>
    <row r="29" spans="1:5" x14ac:dyDescent="0.25">
      <c r="A29" s="20">
        <v>3</v>
      </c>
      <c r="B29" s="31" t="s">
        <v>116</v>
      </c>
      <c r="C29" s="20"/>
      <c r="D29" s="416">
        <v>9499.9500000000007</v>
      </c>
      <c r="E29" s="102"/>
    </row>
    <row r="30" spans="1:5" x14ac:dyDescent="0.25">
      <c r="A30" s="20">
        <v>3</v>
      </c>
      <c r="B30" s="106" t="s">
        <v>31</v>
      </c>
      <c r="C30" s="102"/>
      <c r="D30" s="415">
        <f>SUM(D31:D38)</f>
        <v>22402.465499999998</v>
      </c>
      <c r="E30" s="102"/>
    </row>
    <row r="31" spans="1:5" x14ac:dyDescent="0.25">
      <c r="A31" s="24" t="s">
        <v>30</v>
      </c>
      <c r="B31" s="102" t="s">
        <v>32</v>
      </c>
      <c r="C31" s="102"/>
      <c r="D31" s="414">
        <f>D17*5%</f>
        <v>6538.585500000001</v>
      </c>
      <c r="E31" s="102"/>
    </row>
    <row r="32" spans="1:5" x14ac:dyDescent="0.25">
      <c r="A32" s="20"/>
      <c r="B32" s="20" t="s">
        <v>62</v>
      </c>
      <c r="C32" s="102"/>
      <c r="D32" s="414">
        <v>837.03</v>
      </c>
      <c r="E32" s="102"/>
    </row>
    <row r="33" spans="1:5" x14ac:dyDescent="0.25">
      <c r="A33" s="20"/>
      <c r="B33" s="102" t="s">
        <v>33</v>
      </c>
      <c r="C33" s="102"/>
      <c r="D33" s="102">
        <v>2848</v>
      </c>
      <c r="E33" s="102"/>
    </row>
    <row r="34" spans="1:5" x14ac:dyDescent="0.25">
      <c r="A34" s="20"/>
      <c r="B34" s="27" t="s">
        <v>67</v>
      </c>
      <c r="C34" s="102"/>
      <c r="D34" s="102">
        <v>2169.5</v>
      </c>
      <c r="E34" s="102"/>
    </row>
    <row r="35" spans="1:5" x14ac:dyDescent="0.25">
      <c r="A35" s="20"/>
      <c r="B35" s="27" t="s">
        <v>36</v>
      </c>
      <c r="C35" s="102"/>
      <c r="D35" s="102">
        <v>1656.6</v>
      </c>
      <c r="E35" s="102"/>
    </row>
    <row r="36" spans="1:5" x14ac:dyDescent="0.25">
      <c r="A36" s="20"/>
      <c r="B36" s="13" t="s">
        <v>52</v>
      </c>
      <c r="C36" s="102"/>
      <c r="D36" s="102">
        <v>0</v>
      </c>
      <c r="E36" s="102"/>
    </row>
    <row r="37" spans="1:5" x14ac:dyDescent="0.25">
      <c r="A37" s="20"/>
      <c r="B37" s="102" t="s">
        <v>34</v>
      </c>
      <c r="C37" s="102"/>
      <c r="D37" s="102">
        <f>2719.93+2703.95</f>
        <v>5423.8799999999992</v>
      </c>
      <c r="E37" s="102"/>
    </row>
    <row r="38" spans="1:5" x14ac:dyDescent="0.25">
      <c r="A38" s="20">
        <v>4</v>
      </c>
      <c r="B38" s="102" t="s">
        <v>38</v>
      </c>
      <c r="C38" s="102"/>
      <c r="D38" s="102">
        <f>1499.93+1428.94</f>
        <v>2928.87</v>
      </c>
      <c r="E38" s="102"/>
    </row>
    <row r="39" spans="1:5" x14ac:dyDescent="0.25">
      <c r="A39" s="20"/>
      <c r="B39" s="22" t="s">
        <v>39</v>
      </c>
      <c r="C39" s="20"/>
      <c r="D39" s="26">
        <f>D40+D41</f>
        <v>22618.120000000003</v>
      </c>
      <c r="E39" s="26">
        <f>E40</f>
        <v>3725.0537199999999</v>
      </c>
    </row>
    <row r="40" spans="1:5" x14ac:dyDescent="0.25">
      <c r="A40" s="20"/>
      <c r="B40" s="31" t="s">
        <v>40</v>
      </c>
      <c r="C40" s="20"/>
      <c r="D40" s="32">
        <v>18440.86</v>
      </c>
      <c r="E40" s="32">
        <f>D40*20.2%</f>
        <v>3725.0537199999999</v>
      </c>
    </row>
    <row r="41" spans="1:5" x14ac:dyDescent="0.25">
      <c r="A41" s="20">
        <v>5</v>
      </c>
      <c r="B41" s="20" t="s">
        <v>41</v>
      </c>
      <c r="C41" s="20"/>
      <c r="D41" s="32">
        <v>4177.26</v>
      </c>
      <c r="E41" s="20"/>
    </row>
    <row r="42" spans="1:5" x14ac:dyDescent="0.25">
      <c r="A42" s="20">
        <v>6</v>
      </c>
      <c r="B42" s="22" t="s">
        <v>42</v>
      </c>
      <c r="C42" s="20"/>
      <c r="D42" s="26">
        <f>D20+E20+D26+E26+D30+D39+E39</f>
        <v>117133.25998</v>
      </c>
      <c r="E42" s="20"/>
    </row>
    <row r="43" spans="1:5" x14ac:dyDescent="0.25">
      <c r="A43" s="20">
        <v>7</v>
      </c>
      <c r="B43" s="20" t="s">
        <v>43</v>
      </c>
      <c r="C43" s="20"/>
      <c r="D43" s="26">
        <f>D17*6%</f>
        <v>7846.3026</v>
      </c>
      <c r="E43" s="20"/>
    </row>
    <row r="44" spans="1:5" x14ac:dyDescent="0.25">
      <c r="A44" s="20"/>
      <c r="B44" s="22" t="s">
        <v>44</v>
      </c>
      <c r="C44" s="20"/>
      <c r="D44" s="26">
        <f>D42+D43</f>
        <v>124979.56258</v>
      </c>
      <c r="E44" s="20"/>
    </row>
    <row r="45" spans="1:5" x14ac:dyDescent="0.25">
      <c r="A45" s="20">
        <v>8</v>
      </c>
      <c r="B45" s="20"/>
      <c r="C45" s="20"/>
      <c r="D45" s="20"/>
      <c r="E45" s="20"/>
    </row>
    <row r="46" spans="1:5" x14ac:dyDescent="0.25">
      <c r="A46" s="20">
        <v>9</v>
      </c>
      <c r="B46" s="22" t="s">
        <v>53</v>
      </c>
      <c r="C46" s="20"/>
      <c r="D46" s="26">
        <f>D17-D44</f>
        <v>5792.1474200000084</v>
      </c>
      <c r="E46" s="20"/>
    </row>
    <row r="47" spans="1:5" x14ac:dyDescent="0.25">
      <c r="A47" s="33"/>
      <c r="B47" s="22" t="s">
        <v>45</v>
      </c>
      <c r="C47" s="20"/>
      <c r="D47" s="26">
        <f>D9+D46</f>
        <v>77199.567420000007</v>
      </c>
      <c r="E47" s="20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B50" s="36" t="s">
        <v>48</v>
      </c>
      <c r="C50" s="36"/>
      <c r="D50" s="36" t="s">
        <v>49</v>
      </c>
      <c r="E50" s="36"/>
    </row>
  </sheetData>
  <mergeCells count="3">
    <mergeCell ref="D7:E7"/>
    <mergeCell ref="A4:C4"/>
    <mergeCell ref="D6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1" workbookViewId="0">
      <selection activeCell="A18" sqref="A18:E18"/>
    </sheetView>
  </sheetViews>
  <sheetFormatPr defaultRowHeight="15" x14ac:dyDescent="0.25"/>
  <cols>
    <col min="2" max="2" width="36" customWidth="1"/>
    <col min="4" max="4" width="13.42578125" customWidth="1"/>
    <col min="5" max="5" width="11.28515625" customWidth="1"/>
  </cols>
  <sheetData>
    <row r="1" spans="1:5" ht="15.75" x14ac:dyDescent="0.25">
      <c r="A1" s="488"/>
      <c r="B1" s="37" t="s">
        <v>0</v>
      </c>
      <c r="C1" s="488"/>
      <c r="D1" s="488"/>
      <c r="E1" s="488"/>
    </row>
    <row r="2" spans="1:5" x14ac:dyDescent="0.25">
      <c r="A2" s="488"/>
      <c r="B2" s="488" t="s">
        <v>1</v>
      </c>
      <c r="C2" s="488"/>
      <c r="D2" s="488"/>
      <c r="E2" s="488"/>
    </row>
    <row r="3" spans="1:5" x14ac:dyDescent="0.25">
      <c r="A3" s="488"/>
      <c r="B3" s="488" t="s">
        <v>117</v>
      </c>
      <c r="C3" s="488"/>
      <c r="D3" s="488"/>
      <c r="E3" s="488"/>
    </row>
    <row r="4" spans="1:5" ht="15.75" x14ac:dyDescent="0.25">
      <c r="A4" s="489"/>
      <c r="B4" s="490" t="s">
        <v>3</v>
      </c>
      <c r="C4" s="491" t="s">
        <v>4</v>
      </c>
      <c r="D4" s="519" t="s">
        <v>5</v>
      </c>
      <c r="E4" s="520"/>
    </row>
    <row r="5" spans="1:5" ht="15.75" x14ac:dyDescent="0.25">
      <c r="A5" s="492"/>
      <c r="B5" s="38" t="s">
        <v>6</v>
      </c>
      <c r="C5" s="39" t="s">
        <v>51</v>
      </c>
      <c r="D5" s="517" t="s">
        <v>113</v>
      </c>
      <c r="E5" s="518"/>
    </row>
    <row r="6" spans="1:5" x14ac:dyDescent="0.25">
      <c r="A6" s="493"/>
      <c r="B6" s="494" t="s">
        <v>8</v>
      </c>
      <c r="C6" s="493"/>
      <c r="D6" s="496">
        <v>0</v>
      </c>
      <c r="E6" s="497"/>
    </row>
    <row r="7" spans="1:5" x14ac:dyDescent="0.25">
      <c r="A7" s="493"/>
      <c r="B7" s="494" t="s">
        <v>9</v>
      </c>
      <c r="C7" s="493" t="s">
        <v>10</v>
      </c>
      <c r="D7" s="493">
        <v>3663.44</v>
      </c>
      <c r="E7" s="493"/>
    </row>
    <row r="8" spans="1:5" x14ac:dyDescent="0.25">
      <c r="A8" s="493"/>
      <c r="B8" s="494" t="s">
        <v>11</v>
      </c>
      <c r="C8" s="493" t="s">
        <v>10</v>
      </c>
      <c r="D8" s="493">
        <v>2609.8000000000002</v>
      </c>
      <c r="E8" s="493"/>
    </row>
    <row r="9" spans="1:5" x14ac:dyDescent="0.25">
      <c r="A9" s="493"/>
      <c r="B9" s="40" t="s">
        <v>12</v>
      </c>
      <c r="C9" s="493" t="s">
        <v>13</v>
      </c>
      <c r="D9" s="41">
        <f>54690.54*2</f>
        <v>109381.08</v>
      </c>
      <c r="E9" s="493"/>
    </row>
    <row r="10" spans="1:5" ht="15.75" x14ac:dyDescent="0.25">
      <c r="A10" s="493"/>
      <c r="B10" s="42" t="s">
        <v>14</v>
      </c>
      <c r="C10" s="493"/>
      <c r="D10" s="493"/>
      <c r="E10" s="493"/>
    </row>
    <row r="11" spans="1:5" x14ac:dyDescent="0.25">
      <c r="A11" s="493">
        <v>1</v>
      </c>
      <c r="B11" s="493" t="s">
        <v>15</v>
      </c>
      <c r="C11" s="493" t="s">
        <v>13</v>
      </c>
      <c r="D11" s="493">
        <v>411100.62</v>
      </c>
      <c r="E11" s="493"/>
    </row>
    <row r="12" spans="1:5" x14ac:dyDescent="0.25">
      <c r="A12" s="493">
        <v>2</v>
      </c>
      <c r="B12" s="493" t="s">
        <v>16</v>
      </c>
      <c r="C12" s="493"/>
      <c r="D12" s="493">
        <v>95787.43</v>
      </c>
      <c r="E12" s="493"/>
    </row>
    <row r="13" spans="1:5" x14ac:dyDescent="0.25">
      <c r="A13" s="493"/>
      <c r="B13" s="493" t="s">
        <v>156</v>
      </c>
      <c r="C13" s="493"/>
      <c r="D13" s="493">
        <v>140000</v>
      </c>
      <c r="E13" s="493"/>
    </row>
    <row r="14" spans="1:5" x14ac:dyDescent="0.25">
      <c r="A14" s="493"/>
      <c r="B14" s="493" t="s">
        <v>221</v>
      </c>
      <c r="C14" s="493"/>
      <c r="D14" s="493">
        <v>118965.62</v>
      </c>
      <c r="E14" s="493"/>
    </row>
    <row r="15" spans="1:5" x14ac:dyDescent="0.25">
      <c r="A15" s="493"/>
      <c r="B15" s="493" t="s">
        <v>222</v>
      </c>
      <c r="C15" s="493"/>
      <c r="D15" s="493">
        <v>30000</v>
      </c>
      <c r="E15" s="493"/>
    </row>
    <row r="16" spans="1:5" x14ac:dyDescent="0.25">
      <c r="A16" s="493"/>
      <c r="B16" s="493" t="s">
        <v>223</v>
      </c>
      <c r="C16" s="493"/>
      <c r="D16" s="493">
        <v>1161845.5900000001</v>
      </c>
      <c r="E16" s="493"/>
    </row>
    <row r="17" spans="1:5" ht="15.75" x14ac:dyDescent="0.25">
      <c r="A17" s="493"/>
      <c r="B17" s="42" t="s">
        <v>17</v>
      </c>
      <c r="C17" s="493"/>
      <c r="D17" s="41">
        <f>SUM(D11:D16)</f>
        <v>1957699.2600000002</v>
      </c>
      <c r="E17" s="493"/>
    </row>
    <row r="18" spans="1:5" ht="15.75" x14ac:dyDescent="0.25">
      <c r="A18" s="31"/>
      <c r="B18" s="21" t="s">
        <v>18</v>
      </c>
      <c r="C18" s="31"/>
      <c r="D18" s="22"/>
      <c r="E18" s="464" t="s">
        <v>19</v>
      </c>
    </row>
    <row r="19" spans="1:5" x14ac:dyDescent="0.25">
      <c r="A19" s="465" t="s">
        <v>20</v>
      </c>
      <c r="B19" s="25" t="s">
        <v>21</v>
      </c>
      <c r="C19" s="31"/>
      <c r="D19" s="26">
        <f>D20+D25+D24</f>
        <v>149130.36999999997</v>
      </c>
      <c r="E19" s="26">
        <f>E20</f>
        <v>29981.385399999999</v>
      </c>
    </row>
    <row r="20" spans="1:5" x14ac:dyDescent="0.25">
      <c r="A20" s="31">
        <v>1</v>
      </c>
      <c r="B20" s="22" t="s">
        <v>22</v>
      </c>
      <c r="C20" s="31" t="s">
        <v>13</v>
      </c>
      <c r="D20" s="26">
        <f>D21+D22+D23</f>
        <v>148422.69999999998</v>
      </c>
      <c r="E20" s="26">
        <f>E21+E22+E23</f>
        <v>29981.385399999999</v>
      </c>
    </row>
    <row r="21" spans="1:5" x14ac:dyDescent="0.25">
      <c r="A21" s="31"/>
      <c r="B21" s="31" t="s">
        <v>23</v>
      </c>
      <c r="C21" s="31"/>
      <c r="D21" s="31">
        <v>36448.959999999999</v>
      </c>
      <c r="E21" s="32">
        <f>D21*20.2%</f>
        <v>7362.6899199999989</v>
      </c>
    </row>
    <row r="22" spans="1:5" x14ac:dyDescent="0.25">
      <c r="A22" s="31"/>
      <c r="B22" s="31" t="s">
        <v>24</v>
      </c>
      <c r="C22" s="31"/>
      <c r="D22" s="473">
        <v>95808.68</v>
      </c>
      <c r="E22" s="32">
        <f>D22*20.2%</f>
        <v>19353.353359999997</v>
      </c>
    </row>
    <row r="23" spans="1:5" x14ac:dyDescent="0.25">
      <c r="A23" s="31"/>
      <c r="B23" s="31" t="s">
        <v>25</v>
      </c>
      <c r="C23" s="31"/>
      <c r="D23" s="31">
        <v>16165.06</v>
      </c>
      <c r="E23" s="32">
        <f>D23*20.2%</f>
        <v>3265.3421199999998</v>
      </c>
    </row>
    <row r="24" spans="1:5" x14ac:dyDescent="0.25">
      <c r="A24" s="31"/>
      <c r="B24" s="31" t="s">
        <v>79</v>
      </c>
      <c r="C24" s="31"/>
      <c r="D24" s="31">
        <v>340.81</v>
      </c>
      <c r="E24" s="32"/>
    </row>
    <row r="25" spans="1:5" x14ac:dyDescent="0.25">
      <c r="A25" s="31">
        <v>2</v>
      </c>
      <c r="B25" s="31" t="s">
        <v>26</v>
      </c>
      <c r="C25" s="31"/>
      <c r="D25" s="31">
        <v>366.86</v>
      </c>
      <c r="E25" s="32"/>
    </row>
    <row r="26" spans="1:5" x14ac:dyDescent="0.25">
      <c r="A26" s="465" t="s">
        <v>27</v>
      </c>
      <c r="B26" s="30" t="s">
        <v>28</v>
      </c>
      <c r="C26" s="31"/>
      <c r="D26" s="22">
        <f>D27+D28</f>
        <v>71370.98</v>
      </c>
      <c r="E26" s="26">
        <f>E27</f>
        <v>11822.718619999998</v>
      </c>
    </row>
    <row r="27" spans="1:5" x14ac:dyDescent="0.25">
      <c r="A27" s="31">
        <v>1</v>
      </c>
      <c r="B27" s="31" t="s">
        <v>29</v>
      </c>
      <c r="C27" s="31"/>
      <c r="D27" s="31">
        <v>58528.31</v>
      </c>
      <c r="E27" s="32">
        <f>D27*20.2%</f>
        <v>11822.718619999998</v>
      </c>
    </row>
    <row r="28" spans="1:5" x14ac:dyDescent="0.25">
      <c r="A28" s="31">
        <v>2</v>
      </c>
      <c r="B28" s="31" t="s">
        <v>26</v>
      </c>
      <c r="C28" s="31"/>
      <c r="D28" s="31">
        <v>12842.67</v>
      </c>
      <c r="E28" s="31"/>
    </row>
    <row r="29" spans="1:5" x14ac:dyDescent="0.25">
      <c r="A29" s="465" t="s">
        <v>30</v>
      </c>
      <c r="B29" s="22" t="s">
        <v>31</v>
      </c>
      <c r="C29" s="31"/>
      <c r="D29" s="26">
        <f>D30+D31+D32+D35+D36+D34</f>
        <v>140731.30300000001</v>
      </c>
      <c r="E29" s="31"/>
    </row>
    <row r="30" spans="1:5" x14ac:dyDescent="0.25">
      <c r="A30" s="31"/>
      <c r="B30" s="31" t="s">
        <v>32</v>
      </c>
      <c r="C30" s="31"/>
      <c r="D30" s="32">
        <f>D17*5%</f>
        <v>97884.963000000018</v>
      </c>
      <c r="E30" s="31"/>
    </row>
    <row r="31" spans="1:5" x14ac:dyDescent="0.25">
      <c r="A31" s="31"/>
      <c r="B31" s="31" t="s">
        <v>62</v>
      </c>
      <c r="C31" s="31"/>
      <c r="D31" s="31">
        <v>0</v>
      </c>
      <c r="E31" s="31"/>
    </row>
    <row r="32" spans="1:5" x14ac:dyDescent="0.25">
      <c r="A32" s="31"/>
      <c r="B32" s="31" t="s">
        <v>34</v>
      </c>
      <c r="C32" s="31"/>
      <c r="D32" s="32">
        <f>3815.69+5754.38</f>
        <v>9570.07</v>
      </c>
      <c r="E32" s="31"/>
    </row>
    <row r="33" spans="1:5" x14ac:dyDescent="0.25">
      <c r="A33" s="31"/>
      <c r="B33" s="31" t="s">
        <v>35</v>
      </c>
      <c r="C33" s="31"/>
      <c r="D33" s="32">
        <v>0</v>
      </c>
      <c r="E33" s="31"/>
    </row>
    <row r="34" spans="1:5" x14ac:dyDescent="0.25">
      <c r="A34" s="31"/>
      <c r="B34" s="31" t="s">
        <v>118</v>
      </c>
      <c r="C34" s="31"/>
      <c r="D34" s="32">
        <f>10795.2+13512.62</f>
        <v>24307.82</v>
      </c>
      <c r="E34" s="31"/>
    </row>
    <row r="35" spans="1:5" x14ac:dyDescent="0.25">
      <c r="A35" s="31"/>
      <c r="B35" s="31" t="s">
        <v>36</v>
      </c>
      <c r="C35" s="31"/>
      <c r="D35" s="31">
        <v>3525.48</v>
      </c>
      <c r="E35" s="31"/>
    </row>
    <row r="36" spans="1:5" x14ac:dyDescent="0.25">
      <c r="A36" s="31"/>
      <c r="B36" s="31" t="s">
        <v>38</v>
      </c>
      <c r="C36" s="31"/>
      <c r="D36" s="31">
        <f>3040.98+2401.99</f>
        <v>5442.9699999999993</v>
      </c>
      <c r="E36" s="31"/>
    </row>
    <row r="37" spans="1:5" x14ac:dyDescent="0.25">
      <c r="A37" s="31">
        <v>4</v>
      </c>
      <c r="B37" s="22" t="s">
        <v>39</v>
      </c>
      <c r="C37" s="31"/>
      <c r="D37" s="26">
        <f>D38+D39</f>
        <v>39413</v>
      </c>
      <c r="E37" s="26">
        <f>E38</f>
        <v>6519.5520199999992</v>
      </c>
    </row>
    <row r="38" spans="1:5" x14ac:dyDescent="0.25">
      <c r="A38" s="31"/>
      <c r="B38" s="31" t="s">
        <v>40</v>
      </c>
      <c r="C38" s="31"/>
      <c r="D38" s="32">
        <v>32275.01</v>
      </c>
      <c r="E38" s="32">
        <f>D38*20.2%</f>
        <v>6519.5520199999992</v>
      </c>
    </row>
    <row r="39" spans="1:5" x14ac:dyDescent="0.25">
      <c r="A39" s="31"/>
      <c r="B39" s="31" t="s">
        <v>41</v>
      </c>
      <c r="C39" s="31"/>
      <c r="D39" s="32">
        <v>7137.99</v>
      </c>
      <c r="E39" s="31"/>
    </row>
    <row r="40" spans="1:5" x14ac:dyDescent="0.25">
      <c r="A40" s="31">
        <v>5</v>
      </c>
      <c r="B40" s="22" t="s">
        <v>42</v>
      </c>
      <c r="C40" s="31"/>
      <c r="D40" s="26">
        <f>D19+E19+D26+E26+D29+D37+E37</f>
        <v>448969.30903999996</v>
      </c>
      <c r="E40" s="31"/>
    </row>
    <row r="41" spans="1:5" x14ac:dyDescent="0.25">
      <c r="A41" s="31">
        <v>6</v>
      </c>
      <c r="B41" s="31" t="s">
        <v>43</v>
      </c>
      <c r="C41" s="31"/>
      <c r="D41" s="26">
        <f>(D17-D16)*6%</f>
        <v>47751.220200000011</v>
      </c>
      <c r="E41" s="31"/>
    </row>
    <row r="42" spans="1:5" x14ac:dyDescent="0.25">
      <c r="A42" s="31">
        <v>7</v>
      </c>
      <c r="B42" s="22" t="s">
        <v>44</v>
      </c>
      <c r="C42" s="31"/>
      <c r="D42" s="26">
        <f>D40+D41</f>
        <v>496720.52923999995</v>
      </c>
      <c r="E42" s="31"/>
    </row>
    <row r="43" spans="1:5" x14ac:dyDescent="0.25">
      <c r="A43" s="31"/>
      <c r="B43" s="22" t="s">
        <v>224</v>
      </c>
      <c r="C43" s="31"/>
      <c r="D43" s="26">
        <v>349495</v>
      </c>
      <c r="E43" s="31"/>
    </row>
    <row r="44" spans="1:5" x14ac:dyDescent="0.25">
      <c r="A44" s="31"/>
      <c r="B44" s="22" t="s">
        <v>225</v>
      </c>
      <c r="C44" s="31"/>
      <c r="D44" s="26">
        <f>D13+D14+D15-D43</f>
        <v>-60529.380000000005</v>
      </c>
      <c r="E44" s="31"/>
    </row>
    <row r="45" spans="1:5" x14ac:dyDescent="0.25">
      <c r="A45" s="31">
        <v>8</v>
      </c>
      <c r="B45" s="22" t="s">
        <v>53</v>
      </c>
      <c r="C45" s="31"/>
      <c r="D45" s="26">
        <f>D11-D42</f>
        <v>-85619.90923999995</v>
      </c>
      <c r="E45" s="31"/>
    </row>
    <row r="46" spans="1:5" x14ac:dyDescent="0.25">
      <c r="A46" s="31">
        <v>9</v>
      </c>
      <c r="B46" s="22" t="s">
        <v>45</v>
      </c>
      <c r="C46" s="31"/>
      <c r="D46" s="26">
        <f>D6+D45</f>
        <v>-85619.90923999995</v>
      </c>
      <c r="E46" s="31"/>
    </row>
    <row r="47" spans="1:5" x14ac:dyDescent="0.25">
      <c r="A47" s="399"/>
      <c r="B47" s="34" t="s">
        <v>164</v>
      </c>
      <c r="C47" s="399"/>
      <c r="D47" s="35">
        <f>D12</f>
        <v>95787.43</v>
      </c>
      <c r="E47" s="399"/>
    </row>
    <row r="48" spans="1:5" x14ac:dyDescent="0.25">
      <c r="A48" s="399"/>
      <c r="B48" s="34"/>
      <c r="C48" s="399"/>
      <c r="D48" s="35"/>
      <c r="E48" s="399"/>
    </row>
    <row r="49" spans="1:5" x14ac:dyDescent="0.25">
      <c r="A49" s="237"/>
      <c r="B49" s="237" t="s">
        <v>46</v>
      </c>
      <c r="C49" s="237"/>
      <c r="D49" s="237" t="s">
        <v>47</v>
      </c>
      <c r="E49" s="237"/>
    </row>
    <row r="50" spans="1:5" x14ac:dyDescent="0.25">
      <c r="A50" s="237"/>
      <c r="B50" s="237" t="s">
        <v>48</v>
      </c>
      <c r="C50" s="237"/>
      <c r="D50" s="237" t="s">
        <v>49</v>
      </c>
      <c r="E50" s="495"/>
    </row>
  </sheetData>
  <mergeCells count="2">
    <mergeCell ref="D5:E5"/>
    <mergeCell ref="D4:E4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7" workbookViewId="0">
      <selection activeCell="E23" sqref="E23"/>
    </sheetView>
  </sheetViews>
  <sheetFormatPr defaultRowHeight="15" x14ac:dyDescent="0.25"/>
  <cols>
    <col min="2" max="2" width="40" customWidth="1"/>
    <col min="4" max="4" width="10.140625" customWidth="1"/>
    <col min="5" max="5" width="11.140625" customWidth="1"/>
  </cols>
  <sheetData>
    <row r="1" spans="1:5" ht="15.75" x14ac:dyDescent="0.25">
      <c r="A1" s="107"/>
      <c r="B1" s="108" t="s">
        <v>0</v>
      </c>
      <c r="C1" s="107"/>
      <c r="D1" s="107"/>
      <c r="E1" s="107"/>
    </row>
    <row r="2" spans="1:5" x14ac:dyDescent="0.25">
      <c r="A2" s="107"/>
      <c r="B2" s="107"/>
      <c r="C2" s="107"/>
      <c r="D2" s="107"/>
      <c r="E2" s="107"/>
    </row>
    <row r="3" spans="1:5" x14ac:dyDescent="0.25">
      <c r="A3" s="107"/>
      <c r="B3" s="107" t="s">
        <v>1</v>
      </c>
      <c r="C3" s="107"/>
      <c r="D3" s="107"/>
      <c r="E3" s="107"/>
    </row>
    <row r="4" spans="1:5" x14ac:dyDescent="0.25">
      <c r="A4" s="107"/>
      <c r="B4" s="109" t="s">
        <v>119</v>
      </c>
      <c r="C4" s="107"/>
      <c r="D4" s="107"/>
      <c r="E4" s="107"/>
    </row>
    <row r="5" spans="1:5" x14ac:dyDescent="0.25">
      <c r="A5" s="521"/>
      <c r="B5" s="521"/>
      <c r="C5" s="521"/>
      <c r="D5" s="404"/>
      <c r="E5" s="110"/>
    </row>
    <row r="6" spans="1:5" x14ac:dyDescent="0.25">
      <c r="A6" s="111"/>
      <c r="B6" s="111"/>
      <c r="C6" s="111"/>
      <c r="D6" s="112"/>
      <c r="E6" s="113"/>
    </row>
    <row r="7" spans="1:5" ht="15.75" x14ac:dyDescent="0.25">
      <c r="A7" s="114"/>
      <c r="B7" s="115" t="s">
        <v>3</v>
      </c>
      <c r="C7" s="116" t="s">
        <v>4</v>
      </c>
      <c r="D7" s="522" t="s">
        <v>5</v>
      </c>
      <c r="E7" s="523"/>
    </row>
    <row r="8" spans="1:5" ht="15.75" x14ac:dyDescent="0.25">
      <c r="A8" s="117"/>
      <c r="B8" s="115" t="s">
        <v>6</v>
      </c>
      <c r="C8" s="116" t="s">
        <v>7</v>
      </c>
      <c r="D8" s="524" t="s">
        <v>120</v>
      </c>
      <c r="E8" s="525"/>
    </row>
    <row r="9" spans="1:5" x14ac:dyDescent="0.25">
      <c r="A9" s="118"/>
      <c r="B9" s="118"/>
      <c r="C9" s="118"/>
      <c r="D9" s="119"/>
      <c r="E9" s="120"/>
    </row>
    <row r="10" spans="1:5" x14ac:dyDescent="0.25">
      <c r="A10" s="118"/>
      <c r="B10" s="121" t="s">
        <v>8</v>
      </c>
      <c r="C10" s="118"/>
      <c r="D10" s="119">
        <v>-140069.46</v>
      </c>
      <c r="E10" s="120"/>
    </row>
    <row r="11" spans="1:5" x14ac:dyDescent="0.25">
      <c r="A11" s="122"/>
      <c r="B11" s="123" t="s">
        <v>9</v>
      </c>
      <c r="C11" s="122" t="s">
        <v>10</v>
      </c>
      <c r="D11" s="122">
        <v>5024.3100000000004</v>
      </c>
      <c r="E11" s="122"/>
    </row>
    <row r="12" spans="1:5" x14ac:dyDescent="0.25">
      <c r="A12" s="122"/>
      <c r="B12" s="123" t="s">
        <v>11</v>
      </c>
      <c r="C12" s="122" t="s">
        <v>10</v>
      </c>
      <c r="D12" s="122">
        <v>3641.7</v>
      </c>
      <c r="E12" s="122"/>
    </row>
    <row r="13" spans="1:5" x14ac:dyDescent="0.25">
      <c r="A13" s="122"/>
      <c r="B13" s="124" t="s">
        <v>12</v>
      </c>
      <c r="C13" s="122" t="s">
        <v>13</v>
      </c>
      <c r="D13" s="122">
        <v>160415.32</v>
      </c>
      <c r="E13" s="122"/>
    </row>
    <row r="14" spans="1:5" x14ac:dyDescent="0.25">
      <c r="A14" s="122"/>
      <c r="B14" s="122"/>
      <c r="C14" s="122"/>
      <c r="D14" s="122"/>
      <c r="E14" s="122"/>
    </row>
    <row r="15" spans="1:5" ht="15.75" x14ac:dyDescent="0.25">
      <c r="A15" s="122"/>
      <c r="B15" s="125" t="s">
        <v>14</v>
      </c>
      <c r="C15" s="122"/>
      <c r="D15" s="122"/>
      <c r="E15" s="122"/>
    </row>
    <row r="16" spans="1:5" x14ac:dyDescent="0.25">
      <c r="A16" s="122">
        <v>1</v>
      </c>
      <c r="B16" s="122" t="s">
        <v>15</v>
      </c>
      <c r="C16" s="122" t="s">
        <v>13</v>
      </c>
      <c r="D16" s="122">
        <v>146745.46</v>
      </c>
      <c r="E16" s="122"/>
    </row>
    <row r="17" spans="1:5" x14ac:dyDescent="0.25">
      <c r="A17" s="122"/>
      <c r="B17" s="122"/>
      <c r="C17" s="122"/>
      <c r="D17" s="122"/>
      <c r="E17" s="122"/>
    </row>
    <row r="18" spans="1:5" ht="15.75" x14ac:dyDescent="0.25">
      <c r="A18" s="122"/>
      <c r="B18" s="125" t="s">
        <v>17</v>
      </c>
      <c r="C18" s="122"/>
      <c r="D18" s="126">
        <f>D16</f>
        <v>146745.46</v>
      </c>
      <c r="E18" s="122"/>
    </row>
    <row r="19" spans="1:5" ht="15.75" x14ac:dyDescent="0.25">
      <c r="A19" s="122"/>
      <c r="B19" s="125"/>
      <c r="C19" s="122"/>
      <c r="D19" s="126"/>
      <c r="E19" s="122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6">
        <f>D22+D26</f>
        <v>56124.15</v>
      </c>
      <c r="E21" s="26">
        <f>E22</f>
        <v>11234.916799999999</v>
      </c>
    </row>
    <row r="22" spans="1:5" x14ac:dyDescent="0.25">
      <c r="A22" s="20">
        <v>1</v>
      </c>
      <c r="B22" s="22" t="s">
        <v>22</v>
      </c>
      <c r="C22" s="27" t="s">
        <v>13</v>
      </c>
      <c r="D22" s="26">
        <f>D23+D24+D25</f>
        <v>55618.400000000001</v>
      </c>
      <c r="E22" s="26">
        <f>E23+E24+E25</f>
        <v>11234.916799999999</v>
      </c>
    </row>
    <row r="23" spans="1:5" x14ac:dyDescent="0.25">
      <c r="A23" s="20"/>
      <c r="B23" s="20" t="s">
        <v>23</v>
      </c>
      <c r="C23" s="20"/>
      <c r="D23" s="20">
        <v>12567.17</v>
      </c>
      <c r="E23" s="28">
        <f>D23*20.2%</f>
        <v>2538.5683399999998</v>
      </c>
    </row>
    <row r="24" spans="1:5" x14ac:dyDescent="0.25">
      <c r="A24" s="20"/>
      <c r="B24" s="20" t="s">
        <v>24</v>
      </c>
      <c r="C24" s="20"/>
      <c r="D24" s="29">
        <v>24371.16</v>
      </c>
      <c r="E24" s="28">
        <f>D24*20.2%</f>
        <v>4922.9743199999994</v>
      </c>
    </row>
    <row r="25" spans="1:5" x14ac:dyDescent="0.25">
      <c r="A25" s="20"/>
      <c r="B25" s="20" t="s">
        <v>25</v>
      </c>
      <c r="C25" s="20"/>
      <c r="D25" s="20">
        <v>18680.07</v>
      </c>
      <c r="E25" s="28">
        <f>D25*20.2%</f>
        <v>3773.3741399999994</v>
      </c>
    </row>
    <row r="26" spans="1:5" x14ac:dyDescent="0.25">
      <c r="A26" s="20">
        <v>2</v>
      </c>
      <c r="B26" s="27" t="s">
        <v>26</v>
      </c>
      <c r="C26" s="20"/>
      <c r="D26" s="20">
        <v>505.75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54944.36</v>
      </c>
      <c r="E27" s="26">
        <f>E28</f>
        <v>6961.6593199999998</v>
      </c>
    </row>
    <row r="28" spans="1:5" x14ac:dyDescent="0.25">
      <c r="A28" s="20">
        <v>1</v>
      </c>
      <c r="B28" s="31" t="s">
        <v>29</v>
      </c>
      <c r="C28" s="20"/>
      <c r="D28" s="31">
        <v>34463.660000000003</v>
      </c>
      <c r="E28" s="28">
        <f>D28*20.2%</f>
        <v>6961.6593199999998</v>
      </c>
    </row>
    <row r="29" spans="1:5" x14ac:dyDescent="0.25">
      <c r="A29" s="20">
        <v>2</v>
      </c>
      <c r="B29" s="31" t="s">
        <v>26</v>
      </c>
      <c r="C29" s="20"/>
      <c r="D29" s="31">
        <v>1526.74</v>
      </c>
      <c r="E29" s="20"/>
    </row>
    <row r="30" spans="1:5" x14ac:dyDescent="0.25">
      <c r="A30" s="20">
        <v>3</v>
      </c>
      <c r="B30" s="31" t="s">
        <v>121</v>
      </c>
      <c r="C30" s="20"/>
      <c r="D30" s="31">
        <v>18953.96</v>
      </c>
      <c r="E30" s="20"/>
    </row>
    <row r="31" spans="1:5" x14ac:dyDescent="0.25">
      <c r="A31" s="24" t="s">
        <v>30</v>
      </c>
      <c r="B31" s="22" t="s">
        <v>31</v>
      </c>
      <c r="C31" s="20"/>
      <c r="D31" s="26">
        <f>D32+D33+D35+D36+D37+D38+D34</f>
        <v>20863.722999999998</v>
      </c>
      <c r="E31" s="20"/>
    </row>
    <row r="32" spans="1:5" x14ac:dyDescent="0.25">
      <c r="A32" s="20"/>
      <c r="B32" s="20" t="s">
        <v>32</v>
      </c>
      <c r="C32" s="20"/>
      <c r="D32" s="28">
        <f>D18*5%</f>
        <v>7337.2730000000001</v>
      </c>
      <c r="E32" s="20"/>
    </row>
    <row r="33" spans="1:5" x14ac:dyDescent="0.25">
      <c r="A33" s="20"/>
      <c r="B33" s="20" t="s">
        <v>62</v>
      </c>
      <c r="C33" s="20"/>
      <c r="D33" s="20">
        <v>405.94</v>
      </c>
      <c r="E33" s="20"/>
    </row>
    <row r="34" spans="1:5" x14ac:dyDescent="0.25">
      <c r="A34" s="20"/>
      <c r="B34" s="13" t="s">
        <v>52</v>
      </c>
      <c r="C34" s="20"/>
      <c r="D34" s="20">
        <v>0</v>
      </c>
      <c r="E34" s="20"/>
    </row>
    <row r="35" spans="1:5" x14ac:dyDescent="0.25">
      <c r="A35" s="20"/>
      <c r="B35" s="20" t="s">
        <v>34</v>
      </c>
      <c r="C35" s="20"/>
      <c r="D35" s="28">
        <f>2856.66+2839.87</f>
        <v>5696.53</v>
      </c>
      <c r="E35" s="20"/>
    </row>
    <row r="36" spans="1:5" x14ac:dyDescent="0.25">
      <c r="A36" s="20"/>
      <c r="B36" s="27" t="s">
        <v>33</v>
      </c>
      <c r="C36" s="20"/>
      <c r="D36" s="20">
        <v>2608</v>
      </c>
      <c r="E36" s="20"/>
    </row>
    <row r="37" spans="1:5" x14ac:dyDescent="0.25">
      <c r="A37" s="20"/>
      <c r="B37" s="27" t="s">
        <v>36</v>
      </c>
      <c r="C37" s="20"/>
      <c r="D37" s="20">
        <v>1739.88</v>
      </c>
      <c r="E37" s="20"/>
    </row>
    <row r="38" spans="1:5" x14ac:dyDescent="0.25">
      <c r="A38" s="20"/>
      <c r="B38" s="20" t="s">
        <v>38</v>
      </c>
      <c r="C38" s="20"/>
      <c r="D38" s="20">
        <f>1575.33+1500.77</f>
        <v>3076.1</v>
      </c>
      <c r="E38" s="20"/>
    </row>
    <row r="39" spans="1:5" x14ac:dyDescent="0.25">
      <c r="A39" s="50" t="s">
        <v>88</v>
      </c>
      <c r="B39" s="22" t="s">
        <v>39</v>
      </c>
      <c r="C39" s="20"/>
      <c r="D39" s="26">
        <f>D40+D41</f>
        <v>23755.1</v>
      </c>
      <c r="E39" s="26">
        <f>E40</f>
        <v>3912.3056999999994</v>
      </c>
    </row>
    <row r="40" spans="1:5" x14ac:dyDescent="0.25">
      <c r="A40" s="50"/>
      <c r="B40" s="31" t="s">
        <v>64</v>
      </c>
      <c r="C40" s="31"/>
      <c r="D40" s="32">
        <v>19367.849999999999</v>
      </c>
      <c r="E40" s="32">
        <f>D40*20.2%</f>
        <v>3912.3056999999994</v>
      </c>
    </row>
    <row r="41" spans="1:5" x14ac:dyDescent="0.25">
      <c r="A41" s="50"/>
      <c r="B41" s="27" t="s">
        <v>41</v>
      </c>
      <c r="C41" s="20"/>
      <c r="D41" s="32">
        <v>4387.25</v>
      </c>
      <c r="E41" s="20"/>
    </row>
    <row r="42" spans="1:5" x14ac:dyDescent="0.25">
      <c r="A42" s="50" t="s">
        <v>89</v>
      </c>
      <c r="B42" s="22" t="s">
        <v>42</v>
      </c>
      <c r="C42" s="20"/>
      <c r="D42" s="26">
        <f>D21+E21+D27+E27+D31+D39+E39</f>
        <v>177796.21481999999</v>
      </c>
      <c r="E42" s="20"/>
    </row>
    <row r="43" spans="1:5" x14ac:dyDescent="0.25">
      <c r="A43" s="50"/>
      <c r="B43" s="20" t="s">
        <v>43</v>
      </c>
      <c r="C43" s="20"/>
      <c r="D43" s="26">
        <f>D18*6%</f>
        <v>8804.7275999999983</v>
      </c>
      <c r="E43" s="20"/>
    </row>
    <row r="44" spans="1:5" x14ac:dyDescent="0.25">
      <c r="A44" s="50" t="s">
        <v>90</v>
      </c>
      <c r="B44" s="22" t="s">
        <v>44</v>
      </c>
      <c r="C44" s="20"/>
      <c r="D44" s="26">
        <f>D42+D43</f>
        <v>186600.94241999998</v>
      </c>
      <c r="E44" s="20"/>
    </row>
    <row r="45" spans="1:5" x14ac:dyDescent="0.25">
      <c r="A45" s="50"/>
      <c r="B45" s="20"/>
      <c r="C45" s="20"/>
      <c r="D45" s="20"/>
      <c r="E45" s="20"/>
    </row>
    <row r="46" spans="1:5" x14ac:dyDescent="0.25">
      <c r="A46" s="50" t="s">
        <v>91</v>
      </c>
      <c r="B46" s="22" t="s">
        <v>53</v>
      </c>
      <c r="C46" s="20"/>
      <c r="D46" s="26">
        <f>D18-D44</f>
        <v>-39855.482419999986</v>
      </c>
      <c r="E46" s="20"/>
    </row>
    <row r="47" spans="1:5" x14ac:dyDescent="0.25">
      <c r="A47" s="451" t="s">
        <v>92</v>
      </c>
      <c r="B47" s="22" t="s">
        <v>45</v>
      </c>
      <c r="C47" s="20"/>
      <c r="D47" s="26">
        <f>D10+D46</f>
        <v>-179924.94241999998</v>
      </c>
      <c r="E47" s="20"/>
    </row>
    <row r="48" spans="1:5" x14ac:dyDescent="0.25">
      <c r="A48" s="36"/>
      <c r="B48" s="36" t="s">
        <v>46</v>
      </c>
      <c r="C48" s="36"/>
      <c r="D48" s="36" t="s">
        <v>47</v>
      </c>
      <c r="E48" s="36"/>
    </row>
    <row r="49" spans="2:5" x14ac:dyDescent="0.25">
      <c r="B49" s="36" t="s">
        <v>48</v>
      </c>
      <c r="C49" s="36"/>
      <c r="D49" s="36" t="s">
        <v>49</v>
      </c>
      <c r="E49" s="36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D13" sqref="D13"/>
    </sheetView>
  </sheetViews>
  <sheetFormatPr defaultRowHeight="15" x14ac:dyDescent="0.25"/>
  <cols>
    <col min="1" max="1" width="6.85546875" customWidth="1"/>
    <col min="2" max="2" width="43.5703125" customWidth="1"/>
    <col min="4" max="5" width="10.85546875" customWidth="1"/>
  </cols>
  <sheetData>
    <row r="1" spans="1:5" ht="15.75" x14ac:dyDescent="0.25">
      <c r="A1" s="127"/>
      <c r="B1" s="128" t="s">
        <v>0</v>
      </c>
      <c r="C1" s="127"/>
      <c r="D1" s="127"/>
      <c r="E1" s="127"/>
    </row>
    <row r="2" spans="1:5" x14ac:dyDescent="0.25">
      <c r="A2" s="127"/>
      <c r="B2" s="127" t="s">
        <v>70</v>
      </c>
      <c r="C2" s="127"/>
      <c r="D2" s="127"/>
      <c r="E2" s="127"/>
    </row>
    <row r="3" spans="1:5" x14ac:dyDescent="0.25">
      <c r="A3" s="127"/>
      <c r="B3" s="129" t="s">
        <v>122</v>
      </c>
      <c r="C3" s="127"/>
      <c r="D3" s="127"/>
      <c r="E3" s="127"/>
    </row>
    <row r="4" spans="1:5" x14ac:dyDescent="0.25">
      <c r="A4" s="526"/>
      <c r="B4" s="526"/>
      <c r="C4" s="526"/>
      <c r="D4" s="405"/>
      <c r="E4" s="130"/>
    </row>
    <row r="5" spans="1:5" x14ac:dyDescent="0.25">
      <c r="A5" s="131"/>
      <c r="B5" s="131"/>
      <c r="C5" s="131"/>
      <c r="D5" s="132"/>
      <c r="E5" s="133"/>
    </row>
    <row r="6" spans="1:5" ht="15.75" x14ac:dyDescent="0.25">
      <c r="A6" s="131"/>
      <c r="B6" s="134" t="s">
        <v>3</v>
      </c>
      <c r="C6" s="135" t="s">
        <v>4</v>
      </c>
      <c r="D6" s="527" t="s">
        <v>5</v>
      </c>
      <c r="E6" s="528"/>
    </row>
    <row r="7" spans="1:5" ht="15.75" x14ac:dyDescent="0.25">
      <c r="A7" s="136"/>
      <c r="B7" s="134" t="s">
        <v>6</v>
      </c>
      <c r="C7" s="135" t="s">
        <v>7</v>
      </c>
      <c r="D7" s="529" t="s">
        <v>123</v>
      </c>
      <c r="E7" s="530"/>
    </row>
    <row r="8" spans="1:5" x14ac:dyDescent="0.25">
      <c r="A8" s="137"/>
      <c r="B8" s="137"/>
      <c r="C8" s="137"/>
      <c r="D8" s="138"/>
      <c r="E8" s="139"/>
    </row>
    <row r="9" spans="1:5" x14ac:dyDescent="0.25">
      <c r="A9" s="137"/>
      <c r="B9" s="140" t="s">
        <v>8</v>
      </c>
      <c r="C9" s="137"/>
      <c r="D9" s="138">
        <v>-125149.09</v>
      </c>
      <c r="E9" s="139"/>
    </row>
    <row r="10" spans="1:5" x14ac:dyDescent="0.25">
      <c r="A10" s="141"/>
      <c r="B10" s="142" t="s">
        <v>9</v>
      </c>
      <c r="C10" s="141" t="s">
        <v>10</v>
      </c>
      <c r="D10" s="141">
        <v>7865.6</v>
      </c>
      <c r="E10" s="141"/>
    </row>
    <row r="11" spans="1:5" x14ac:dyDescent="0.25">
      <c r="A11" s="141"/>
      <c r="B11" s="142" t="s">
        <v>11</v>
      </c>
      <c r="C11" s="141" t="s">
        <v>10</v>
      </c>
      <c r="D11" s="141">
        <v>5669.08</v>
      </c>
      <c r="E11" s="141"/>
    </row>
    <row r="12" spans="1:5" x14ac:dyDescent="0.25">
      <c r="A12" s="141"/>
      <c r="B12" s="143" t="s">
        <v>12</v>
      </c>
      <c r="C12" s="141" t="s">
        <v>56</v>
      </c>
      <c r="D12" s="141">
        <v>287082.09999999998</v>
      </c>
      <c r="E12" s="141"/>
    </row>
    <row r="13" spans="1:5" x14ac:dyDescent="0.25">
      <c r="A13" s="141"/>
      <c r="B13" s="141"/>
      <c r="C13" s="141"/>
      <c r="D13" s="141"/>
      <c r="E13" s="141"/>
    </row>
    <row r="14" spans="1:5" ht="15.75" x14ac:dyDescent="0.25">
      <c r="A14" s="141"/>
      <c r="B14" s="144" t="s">
        <v>14</v>
      </c>
      <c r="C14" s="141"/>
      <c r="D14" s="141"/>
      <c r="E14" s="141"/>
    </row>
    <row r="15" spans="1:5" x14ac:dyDescent="0.25">
      <c r="A15" s="141">
        <v>1</v>
      </c>
      <c r="B15" s="141" t="s">
        <v>15</v>
      </c>
      <c r="C15" s="141" t="s">
        <v>13</v>
      </c>
      <c r="D15" s="141">
        <v>218075.42</v>
      </c>
      <c r="E15" s="141"/>
    </row>
    <row r="16" spans="1:5" x14ac:dyDescent="0.25">
      <c r="A16" s="141"/>
      <c r="B16" s="141"/>
      <c r="C16" s="141"/>
      <c r="D16" s="141"/>
      <c r="E16" s="141"/>
    </row>
    <row r="17" spans="1:5" ht="15.75" x14ac:dyDescent="0.25">
      <c r="A17" s="141"/>
      <c r="B17" s="144" t="s">
        <v>17</v>
      </c>
      <c r="C17" s="141"/>
      <c r="D17" s="145">
        <f>D15</f>
        <v>218075.42</v>
      </c>
      <c r="E17" s="141"/>
    </row>
    <row r="18" spans="1:5" ht="15.75" x14ac:dyDescent="0.25">
      <c r="A18" s="141"/>
      <c r="B18" s="144"/>
      <c r="C18" s="141"/>
      <c r="D18" s="145"/>
      <c r="E18" s="141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D21+D26+D25</f>
        <v>71554.100000000006</v>
      </c>
      <c r="E20" s="26">
        <f>E21</f>
        <v>13541.649740000001</v>
      </c>
    </row>
    <row r="21" spans="1:5" x14ac:dyDescent="0.25">
      <c r="A21" s="20">
        <v>1</v>
      </c>
      <c r="B21" s="22" t="s">
        <v>22</v>
      </c>
      <c r="C21" s="141" t="s">
        <v>13</v>
      </c>
      <c r="D21" s="418">
        <f>SUM(D22:D24)</f>
        <v>67037.87</v>
      </c>
      <c r="E21" s="418">
        <f>SUM(E22:E24)</f>
        <v>13541.649740000001</v>
      </c>
    </row>
    <row r="22" spans="1:5" x14ac:dyDescent="0.25">
      <c r="A22" s="20"/>
      <c r="B22" s="20" t="s">
        <v>23</v>
      </c>
      <c r="C22" s="141"/>
      <c r="D22" s="141">
        <v>12969.19</v>
      </c>
      <c r="E22" s="419">
        <f>D22*20.2%</f>
        <v>2619.7763799999998</v>
      </c>
    </row>
    <row r="23" spans="1:5" x14ac:dyDescent="0.25">
      <c r="A23" s="20"/>
      <c r="B23" s="20" t="s">
        <v>24</v>
      </c>
      <c r="C23" s="141"/>
      <c r="D23" s="141">
        <v>31038.240000000002</v>
      </c>
      <c r="E23" s="419">
        <f>D23*20.2%</f>
        <v>6269.7244799999999</v>
      </c>
    </row>
    <row r="24" spans="1:5" x14ac:dyDescent="0.25">
      <c r="A24" s="20"/>
      <c r="B24" s="20" t="s">
        <v>25</v>
      </c>
      <c r="C24" s="141"/>
      <c r="D24" s="141">
        <v>23030.44</v>
      </c>
      <c r="E24" s="419">
        <f>D24*20.2%</f>
        <v>4652.1488799999997</v>
      </c>
    </row>
    <row r="25" spans="1:5" x14ac:dyDescent="0.25">
      <c r="A25" s="20"/>
      <c r="B25" s="20" t="s">
        <v>79</v>
      </c>
      <c r="C25" s="141"/>
      <c r="D25" s="141">
        <v>1639.02</v>
      </c>
      <c r="E25" s="419"/>
    </row>
    <row r="26" spans="1:5" x14ac:dyDescent="0.25">
      <c r="A26" s="20">
        <v>2</v>
      </c>
      <c r="B26" s="27" t="s">
        <v>26</v>
      </c>
      <c r="C26" s="141"/>
      <c r="D26" s="141">
        <v>2877.21</v>
      </c>
      <c r="E26" s="419"/>
    </row>
    <row r="27" spans="1:5" x14ac:dyDescent="0.25">
      <c r="A27" s="24" t="s">
        <v>27</v>
      </c>
      <c r="B27" s="30" t="s">
        <v>28</v>
      </c>
      <c r="C27" s="141"/>
      <c r="D27" s="145">
        <f>D28+D29+D30</f>
        <v>68680.75</v>
      </c>
      <c r="E27" s="418">
        <f>E28</f>
        <v>10837.304039999999</v>
      </c>
    </row>
    <row r="28" spans="1:5" x14ac:dyDescent="0.25">
      <c r="A28" s="20">
        <v>1</v>
      </c>
      <c r="B28" s="31" t="s">
        <v>29</v>
      </c>
      <c r="C28" s="141"/>
      <c r="D28" s="141">
        <v>53650.02</v>
      </c>
      <c r="E28" s="419">
        <f>D28*20.2%</f>
        <v>10837.304039999999</v>
      </c>
    </row>
    <row r="29" spans="1:5" x14ac:dyDescent="0.25">
      <c r="A29" s="20">
        <v>2</v>
      </c>
      <c r="B29" s="31" t="s">
        <v>26</v>
      </c>
      <c r="C29" s="141"/>
      <c r="D29" s="420">
        <v>1797.38</v>
      </c>
      <c r="E29" s="141"/>
    </row>
    <row r="30" spans="1:5" x14ac:dyDescent="0.25">
      <c r="A30" s="20">
        <v>3</v>
      </c>
      <c r="B30" s="31" t="s">
        <v>121</v>
      </c>
      <c r="C30" s="141"/>
      <c r="D30" s="420">
        <v>13233.35</v>
      </c>
      <c r="E30" s="141"/>
    </row>
    <row r="31" spans="1:5" x14ac:dyDescent="0.25">
      <c r="A31" s="24" t="s">
        <v>30</v>
      </c>
      <c r="B31" s="145" t="s">
        <v>31</v>
      </c>
      <c r="C31" s="141"/>
      <c r="D31" s="418">
        <f>SUM(D32:D38)</f>
        <v>31214.771000000001</v>
      </c>
      <c r="E31" s="141"/>
    </row>
    <row r="32" spans="1:5" x14ac:dyDescent="0.25">
      <c r="A32" s="20"/>
      <c r="B32" s="141" t="s">
        <v>32</v>
      </c>
      <c r="C32" s="141"/>
      <c r="D32" s="419">
        <f>D17*5%</f>
        <v>10903.771000000001</v>
      </c>
      <c r="E32" s="141"/>
    </row>
    <row r="33" spans="1:5" x14ac:dyDescent="0.25">
      <c r="A33" s="20"/>
      <c r="B33" s="13" t="s">
        <v>52</v>
      </c>
      <c r="C33" s="141"/>
      <c r="D33" s="419">
        <v>0</v>
      </c>
      <c r="E33" s="141"/>
    </row>
    <row r="34" spans="1:5" x14ac:dyDescent="0.25">
      <c r="A34" s="20"/>
      <c r="B34" s="20" t="s">
        <v>62</v>
      </c>
      <c r="C34" s="141"/>
      <c r="D34" s="419">
        <v>446.04</v>
      </c>
      <c r="E34" s="141"/>
    </row>
    <row r="35" spans="1:5" x14ac:dyDescent="0.25">
      <c r="A35" s="20"/>
      <c r="B35" s="141" t="s">
        <v>34</v>
      </c>
      <c r="C35" s="141"/>
      <c r="D35" s="141">
        <f>4447+4420.87</f>
        <v>8867.869999999999</v>
      </c>
      <c r="E35" s="141"/>
    </row>
    <row r="36" spans="1:5" x14ac:dyDescent="0.25">
      <c r="A36" s="20"/>
      <c r="B36" s="27" t="s">
        <v>36</v>
      </c>
      <c r="C36" s="141"/>
      <c r="D36" s="141">
        <v>2708.49</v>
      </c>
      <c r="E36" s="141"/>
    </row>
    <row r="37" spans="1:5" x14ac:dyDescent="0.25">
      <c r="A37" s="20"/>
      <c r="B37" s="141" t="s">
        <v>124</v>
      </c>
      <c r="C37" s="141"/>
      <c r="D37" s="141">
        <v>3500</v>
      </c>
      <c r="E37" s="141"/>
    </row>
    <row r="38" spans="1:5" x14ac:dyDescent="0.25">
      <c r="A38" s="20"/>
      <c r="B38" s="141" t="s">
        <v>38</v>
      </c>
      <c r="C38" s="141"/>
      <c r="D38" s="141">
        <f>2452.33+2336.27</f>
        <v>4788.6000000000004</v>
      </c>
      <c r="E38" s="141"/>
    </row>
    <row r="39" spans="1:5" x14ac:dyDescent="0.25">
      <c r="A39" s="20">
        <v>4</v>
      </c>
      <c r="B39" s="22" t="s">
        <v>39</v>
      </c>
      <c r="C39" s="20"/>
      <c r="D39" s="26">
        <f>D40+D41</f>
        <v>36979.86</v>
      </c>
      <c r="E39" s="26">
        <f>E40</f>
        <v>6090.3363599999993</v>
      </c>
    </row>
    <row r="40" spans="1:5" x14ac:dyDescent="0.25">
      <c r="A40" s="20"/>
      <c r="B40" s="31" t="s">
        <v>40</v>
      </c>
      <c r="C40" s="31"/>
      <c r="D40" s="32">
        <v>30150.18</v>
      </c>
      <c r="E40" s="28">
        <f>D40*20.2%</f>
        <v>6090.3363599999993</v>
      </c>
    </row>
    <row r="41" spans="1:5" x14ac:dyDescent="0.25">
      <c r="A41" s="20"/>
      <c r="B41" s="27" t="s">
        <v>41</v>
      </c>
      <c r="C41" s="20"/>
      <c r="D41" s="32">
        <v>6829.68</v>
      </c>
      <c r="E41" s="20"/>
    </row>
    <row r="42" spans="1:5" x14ac:dyDescent="0.25">
      <c r="A42" s="20">
        <v>5</v>
      </c>
      <c r="B42" s="22" t="s">
        <v>42</v>
      </c>
      <c r="C42" s="20"/>
      <c r="D42" s="26">
        <f>D20+E20+D27+E27+D31+D39+E39</f>
        <v>238898.77114</v>
      </c>
      <c r="E42" s="20"/>
    </row>
    <row r="43" spans="1:5" x14ac:dyDescent="0.25">
      <c r="A43" s="20">
        <v>6</v>
      </c>
      <c r="B43" s="20" t="s">
        <v>43</v>
      </c>
      <c r="C43" s="20"/>
      <c r="D43" s="26">
        <f>D17*6%</f>
        <v>13084.5252</v>
      </c>
      <c r="E43" s="20"/>
    </row>
    <row r="44" spans="1:5" x14ac:dyDescent="0.25">
      <c r="A44" s="20">
        <v>7</v>
      </c>
      <c r="B44" s="22" t="s">
        <v>44</v>
      </c>
      <c r="C44" s="20"/>
      <c r="D44" s="26">
        <f>D42+D43</f>
        <v>251983.29634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80</v>
      </c>
      <c r="C46" s="20"/>
      <c r="D46" s="26">
        <f>D17-D44</f>
        <v>-33907.876339999988</v>
      </c>
      <c r="E46" s="20"/>
    </row>
    <row r="47" spans="1:5" x14ac:dyDescent="0.25">
      <c r="A47" s="20">
        <v>9</v>
      </c>
      <c r="B47" s="22" t="s">
        <v>45</v>
      </c>
      <c r="C47" s="20"/>
      <c r="D47" s="26">
        <f>D9+D46</f>
        <v>-159056.96633999998</v>
      </c>
      <c r="E47" s="20"/>
    </row>
    <row r="48" spans="1:5" x14ac:dyDescent="0.25">
      <c r="A48" s="33"/>
      <c r="B48" s="34"/>
      <c r="C48" s="33"/>
      <c r="D48" s="35"/>
      <c r="E48" s="33"/>
    </row>
    <row r="49" spans="1:5" x14ac:dyDescent="0.25">
      <c r="A49" s="36"/>
      <c r="B49" s="36" t="s">
        <v>46</v>
      </c>
      <c r="C49" s="36"/>
      <c r="D49" s="36" t="s">
        <v>47</v>
      </c>
      <c r="E49" s="36"/>
    </row>
    <row r="50" spans="1:5" x14ac:dyDescent="0.25">
      <c r="A50" s="36"/>
      <c r="B50" s="36" t="s">
        <v>48</v>
      </c>
      <c r="C50" s="36"/>
      <c r="D50" s="36" t="s">
        <v>49</v>
      </c>
      <c r="E50" s="36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А18</vt:lpstr>
      <vt:lpstr>А25</vt:lpstr>
      <vt:lpstr>В4</vt:lpstr>
      <vt:lpstr>В10</vt:lpstr>
      <vt:lpstr>В12</vt:lpstr>
      <vt:lpstr>В13</vt:lpstr>
      <vt:lpstr>В16</vt:lpstr>
      <vt:lpstr>В17</vt:lpstr>
      <vt:lpstr>В18</vt:lpstr>
      <vt:lpstr>В19</vt:lpstr>
      <vt:lpstr>В20</vt:lpstr>
      <vt:lpstr>В21</vt:lpstr>
      <vt:lpstr>В22</vt:lpstr>
      <vt:lpstr>В23</vt:lpstr>
      <vt:lpstr>В24</vt:lpstr>
      <vt:lpstr>В25</vt:lpstr>
      <vt:lpstr>В26</vt:lpstr>
      <vt:lpstr>В27</vt:lpstr>
      <vt:lpstr>В28</vt:lpstr>
      <vt:lpstr>В30</vt:lpstr>
      <vt:lpstr>В32</vt:lpstr>
      <vt:lpstr>В34</vt:lpstr>
      <vt:lpstr>В36</vt:lpstr>
      <vt:lpstr>М1</vt:lpstr>
      <vt:lpstr>М18</vt:lpstr>
      <vt:lpstr>М19</vt:lpstr>
      <vt:lpstr>М28</vt:lpstr>
      <vt:lpstr>М30</vt:lpstr>
      <vt:lpstr>М39</vt:lpstr>
      <vt:lpstr>М41</vt:lpstr>
      <vt:lpstr>М43</vt:lpstr>
      <vt:lpstr>М45</vt:lpstr>
      <vt:lpstr>М47</vt:lpstr>
      <vt:lpstr>Т3</vt:lpstr>
      <vt:lpstr>Т4</vt:lpstr>
      <vt:lpstr>Т7</vt:lpstr>
      <vt:lpstr>Т8</vt:lpstr>
      <vt:lpstr>Т9</vt:lpstr>
      <vt:lpstr>Т10</vt:lpstr>
      <vt:lpstr>Т12</vt:lpstr>
      <vt:lpstr>Т13</vt:lpstr>
      <vt:lpstr>Т14</vt:lpstr>
      <vt:lpstr>Т15</vt:lpstr>
      <vt:lpstr>Т16</vt:lpstr>
      <vt:lpstr>Т171</vt:lpstr>
      <vt:lpstr>Т172</vt:lpstr>
      <vt:lpstr>т18</vt:lpstr>
      <vt:lpstr>Т21</vt:lpstr>
      <vt:lpstr>Т23</vt:lpstr>
      <vt:lpstr>Т27</vt:lpstr>
      <vt:lpstr>П100</vt:lpstr>
      <vt:lpstr>П179а</vt:lpstr>
      <vt:lpstr>П181</vt:lpstr>
      <vt:lpstr>П181а</vt:lpstr>
      <vt:lpstr>П183</vt:lpstr>
      <vt:lpstr>П185</vt:lpstr>
      <vt:lpstr>П187</vt:lpstr>
      <vt:lpstr>П191</vt:lpstr>
      <vt:lpstr>ВЛКСМ10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2013-02-18T08:07:23Z</dcterms:modified>
</cp:coreProperties>
</file>