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875" windowHeight="8040" firstSheet="2" activeTab="9"/>
  </bookViews>
  <sheets>
    <sheet name="А18" sheetId="1" r:id="rId1"/>
    <sheet name="А25" sheetId="2" r:id="rId2"/>
    <sheet name="В4" sheetId="3" r:id="rId3"/>
    <sheet name="В10" sheetId="4" r:id="rId4"/>
    <sheet name="В12" sheetId="5" r:id="rId5"/>
    <sheet name="В13" sheetId="6" r:id="rId6"/>
    <sheet name="В16" sheetId="7" r:id="rId7"/>
    <sheet name="В17" sheetId="8" r:id="rId8"/>
    <sheet name="В18" sheetId="9" r:id="rId9"/>
    <sheet name="В19" sheetId="10" r:id="rId10"/>
    <sheet name="В20" sheetId="11" r:id="rId11"/>
    <sheet name="В21" sheetId="12" r:id="rId12"/>
    <sheet name="В22" sheetId="13" r:id="rId13"/>
    <sheet name="В23" sheetId="14" r:id="rId14"/>
    <sheet name="В24" sheetId="15" r:id="rId15"/>
    <sheet name="В25" sheetId="16" r:id="rId16"/>
    <sheet name="В26" sheetId="17" r:id="rId17"/>
    <sheet name="В27" sheetId="18" r:id="rId18"/>
    <sheet name="В28" sheetId="19" r:id="rId19"/>
    <sheet name="В30" sheetId="20" r:id="rId20"/>
    <sheet name="В32" sheetId="21" r:id="rId21"/>
    <sheet name="В34" sheetId="22" r:id="rId22"/>
    <sheet name="В36" sheetId="23" r:id="rId23"/>
    <sheet name="М1" sheetId="24" r:id="rId24"/>
    <sheet name="М18" sheetId="25" r:id="rId25"/>
    <sheet name="М19" sheetId="26" r:id="rId26"/>
    <sheet name="М28" sheetId="27" r:id="rId27"/>
    <sheet name="М30" sheetId="28" r:id="rId28"/>
    <sheet name="М39" sheetId="29" r:id="rId29"/>
    <sheet name="М41" sheetId="30" r:id="rId30"/>
    <sheet name="М43" sheetId="31" r:id="rId31"/>
    <sheet name="М45" sheetId="32" r:id="rId32"/>
    <sheet name="М47" sheetId="33" r:id="rId33"/>
    <sheet name="Т3" sheetId="34" r:id="rId34"/>
    <sheet name="Т4" sheetId="35" r:id="rId35"/>
    <sheet name="Т7" sheetId="36" r:id="rId36"/>
    <sheet name="Т8" sheetId="37" r:id="rId37"/>
    <sheet name="Т9" sheetId="38" r:id="rId38"/>
    <sheet name="Т10" sheetId="39" r:id="rId39"/>
    <sheet name="Т12" sheetId="40" r:id="rId40"/>
    <sheet name="Т13" sheetId="41" r:id="rId41"/>
    <sheet name="Т14" sheetId="42" r:id="rId42"/>
    <sheet name="Т15" sheetId="43" r:id="rId43"/>
    <sheet name="Т16" sheetId="44" r:id="rId44"/>
    <sheet name="Т17,1" sheetId="45" r:id="rId45"/>
    <sheet name="Т17,2" sheetId="46" r:id="rId46"/>
    <sheet name="Т18" sheetId="47" r:id="rId47"/>
    <sheet name="Т21" sheetId="48" r:id="rId48"/>
    <sheet name="Т23" sheetId="49" r:id="rId49"/>
    <sheet name="Т27" sheetId="50" r:id="rId50"/>
    <sheet name="П100" sheetId="51" r:id="rId51"/>
    <sheet name="П179а" sheetId="52" r:id="rId52"/>
    <sheet name="П181" sheetId="53" r:id="rId53"/>
    <sheet name="181А" sheetId="54" r:id="rId54"/>
    <sheet name="П183" sheetId="55" r:id="rId55"/>
    <sheet name="П185" sheetId="56" r:id="rId56"/>
    <sheet name="П187" sheetId="57" r:id="rId57"/>
    <sheet name="Лист1" sheetId="58" r:id="rId58"/>
    <sheet name="П191" sheetId="59" r:id="rId59"/>
  </sheets>
  <definedNames>
    <definedName name="_xlnm.Print_Area" localSheetId="14">'В24'!$A$1:$F$50</definedName>
    <definedName name="_xlnm.Print_Area" localSheetId="16">'В26'!$A$1:$F$54</definedName>
    <definedName name="_xlnm.Print_Area" localSheetId="17">'В27'!$A$1:$F$52</definedName>
    <definedName name="_xlnm.Print_Area" localSheetId="18">'В28'!$A$1:$F$52</definedName>
    <definedName name="_xlnm.Print_Area" localSheetId="19">'В30'!$A$1:$F$52</definedName>
    <definedName name="_xlnm.Print_Area" localSheetId="23">'М1'!$A$1:$J$54</definedName>
    <definedName name="_xlnm.Print_Area" localSheetId="50">'П100'!$A$1:$F$53</definedName>
    <definedName name="_xlnm.Print_Area" localSheetId="58">'П191'!$A$1:$F$54</definedName>
    <definedName name="_xlnm.Print_Area" localSheetId="41">'Т14'!$A$1:$F$51</definedName>
    <definedName name="_xlnm.Print_Area" localSheetId="44">'Т17,1'!$A$1:$F$52</definedName>
    <definedName name="_xlnm.Print_Area" localSheetId="46">'Т18'!$A$1:$F$51</definedName>
    <definedName name="_xlnm.Print_Area" localSheetId="47">'Т21'!$A$1:$F$52</definedName>
  </definedNames>
  <calcPr fullCalcOnLoad="1"/>
</workbook>
</file>

<file path=xl/sharedStrings.xml><?xml version="1.0" encoding="utf-8"?>
<sst xmlns="http://schemas.openxmlformats.org/spreadsheetml/2006/main" count="3396" uniqueCount="213">
  <si>
    <t>Галиулин Д.Г.</t>
  </si>
  <si>
    <t xml:space="preserve">Наименование </t>
  </si>
  <si>
    <t>статей</t>
  </si>
  <si>
    <t>Ед.</t>
  </si>
  <si>
    <t>Факт</t>
  </si>
  <si>
    <t>Обслуживаемая площадь</t>
  </si>
  <si>
    <t>Оплачиваемая площадь</t>
  </si>
  <si>
    <t>Доходы</t>
  </si>
  <si>
    <t>Оплата за содержание</t>
  </si>
  <si>
    <t>руб.</t>
  </si>
  <si>
    <t>Итого доходы:</t>
  </si>
  <si>
    <t>Оплата труда :</t>
  </si>
  <si>
    <t>дворник</t>
  </si>
  <si>
    <t>уборщик лест.клеток</t>
  </si>
  <si>
    <t>уборщик мусоропров.</t>
  </si>
  <si>
    <t>отчисл.</t>
  </si>
  <si>
    <t>Материалы</t>
  </si>
  <si>
    <t>Расходы по договорам:</t>
  </si>
  <si>
    <t>оплата услуг (Банк,почта)</t>
  </si>
  <si>
    <t>дератизация</t>
  </si>
  <si>
    <t>дезинсекция</t>
  </si>
  <si>
    <t>аварийная служба</t>
  </si>
  <si>
    <t>транспортные расходы</t>
  </si>
  <si>
    <t>Общеэксплуатационные расходы</t>
  </si>
  <si>
    <t>Всего расходов по эксплуатации</t>
  </si>
  <si>
    <t>Всего расходов по себестоимости</t>
  </si>
  <si>
    <t xml:space="preserve">                                                      АНАЛИЗ</t>
  </si>
  <si>
    <t>Аганов В.М.</t>
  </si>
  <si>
    <t>Начислено квартплаты</t>
  </si>
  <si>
    <t>поверка приборов учета</t>
  </si>
  <si>
    <t xml:space="preserve">         расходов на содержание и обслуживание жилого фонда по ООО "ДУ-8"</t>
  </si>
  <si>
    <t>Директор ООО "ДУ-8"</t>
  </si>
  <si>
    <t>Гл.бухгалтер</t>
  </si>
  <si>
    <t>Налог 6%</t>
  </si>
  <si>
    <t>горгаз</t>
  </si>
  <si>
    <t>изм.</t>
  </si>
  <si>
    <t>м2</t>
  </si>
  <si>
    <t>изм</t>
  </si>
  <si>
    <t>руб</t>
  </si>
  <si>
    <t>Начисление квартплаты</t>
  </si>
  <si>
    <t xml:space="preserve">                                              </t>
  </si>
  <si>
    <t xml:space="preserve">                                        </t>
  </si>
  <si>
    <t xml:space="preserve">                                             </t>
  </si>
  <si>
    <t xml:space="preserve">                                               </t>
  </si>
  <si>
    <t xml:space="preserve">                                           </t>
  </si>
  <si>
    <t xml:space="preserve">                                                </t>
  </si>
  <si>
    <t xml:space="preserve">                                            </t>
  </si>
  <si>
    <t>Фин. результат с нарастающим итогом</t>
  </si>
  <si>
    <t>Фин.результат с нарастающим итогом</t>
  </si>
  <si>
    <t xml:space="preserve">                                     </t>
  </si>
  <si>
    <t xml:space="preserve">                                    </t>
  </si>
  <si>
    <t xml:space="preserve">                                   </t>
  </si>
  <si>
    <t xml:space="preserve">                                  </t>
  </si>
  <si>
    <t xml:space="preserve">                                       </t>
  </si>
  <si>
    <t>измер.</t>
  </si>
  <si>
    <t>метр2</t>
  </si>
  <si>
    <t>Ген.директор                                                                       Галиулин Д.Г.</t>
  </si>
  <si>
    <t>Гл.бухгалтер                                                                        Аганов В.М.</t>
  </si>
  <si>
    <t xml:space="preserve">                                      </t>
  </si>
  <si>
    <t xml:space="preserve">                                          </t>
  </si>
  <si>
    <t>Ед,</t>
  </si>
  <si>
    <t>подряд.работы (гермет. швов)</t>
  </si>
  <si>
    <t>покупка оборудования</t>
  </si>
  <si>
    <t>ООО "Скартел"</t>
  </si>
  <si>
    <t>Финансовый результат за 4 квартал</t>
  </si>
  <si>
    <t xml:space="preserve">Остаток средств </t>
  </si>
  <si>
    <t>РАСХОДЫ:</t>
  </si>
  <si>
    <t>I</t>
  </si>
  <si>
    <t>Обслуживающий персонал:</t>
  </si>
  <si>
    <t>Служба эксплуатации</t>
  </si>
  <si>
    <t>оплата труда рабочих(сант.элект.плотн.)</t>
  </si>
  <si>
    <t>II</t>
  </si>
  <si>
    <t>III</t>
  </si>
  <si>
    <t xml:space="preserve">Всего расходов по себестоимости </t>
  </si>
  <si>
    <t>IV</t>
  </si>
  <si>
    <t>V</t>
  </si>
  <si>
    <t>VI</t>
  </si>
  <si>
    <t>VII</t>
  </si>
  <si>
    <t>VIII</t>
  </si>
  <si>
    <t>IX</t>
  </si>
  <si>
    <t>Остаток средств</t>
  </si>
  <si>
    <t xml:space="preserve"> расходов на содержание и обслуживание жилого фонда по ООО "ДУ-8"</t>
  </si>
  <si>
    <t>зарплата АУП</t>
  </si>
  <si>
    <t>Остаток сроедств</t>
  </si>
  <si>
    <t>Остаток  средств</t>
  </si>
  <si>
    <t>отчис.</t>
  </si>
  <si>
    <t>зарплпта АУП</t>
  </si>
  <si>
    <t>Финансовый результат за 2 полугодие</t>
  </si>
  <si>
    <t>Текущий ремонт</t>
  </si>
  <si>
    <t>общехозяйственные расходы</t>
  </si>
  <si>
    <t xml:space="preserve">  расходов на содержание и обслуживание жилого фонда по ООО "ДУ-8"</t>
  </si>
  <si>
    <t>Прочие доходы (скартел)</t>
  </si>
  <si>
    <t>подряд.работы (рем.подв.пом.)</t>
  </si>
  <si>
    <t>подряд.работы (ремонт подъезда)</t>
  </si>
  <si>
    <t>Подготовка к отопит.сезону</t>
  </si>
  <si>
    <t>Директор ООО"ДУ-8"</t>
  </si>
  <si>
    <t>Устранение засоров</t>
  </si>
  <si>
    <t>Галиулин Д,Г,</t>
  </si>
  <si>
    <t>Остаток средств на содерж.ж.фонда</t>
  </si>
  <si>
    <t>Остаток средств на текущий ремонт</t>
  </si>
  <si>
    <t>тех.обслуживание приборов учета</t>
  </si>
  <si>
    <t>прочистка канализации</t>
  </si>
  <si>
    <t>за 2 полугодие 2012г.</t>
  </si>
  <si>
    <t xml:space="preserve">           за 2  полугодие  2012 г. жилого дома по ул.Абрикосовая, 18</t>
  </si>
  <si>
    <t>Прочие доходы</t>
  </si>
  <si>
    <t>подряд.работы (благоустройство тер-ии)</t>
  </si>
  <si>
    <t xml:space="preserve">                       за 2  полугодие  2012 г. жилого дома по ул.Абрикосовая, 25</t>
  </si>
  <si>
    <t>Промывка системы отопления</t>
  </si>
  <si>
    <t xml:space="preserve">                       за 2 полугодие  2012 г. жилого дома по ул. Вишневая , 4.</t>
  </si>
  <si>
    <t>Прочие расходы</t>
  </si>
  <si>
    <t xml:space="preserve">              за  2 полугодие  2012 г. жилого дома по ул. Вишневая , 10.</t>
  </si>
  <si>
    <t xml:space="preserve"> за 2 полугодие  2012г.</t>
  </si>
  <si>
    <t>косильщик</t>
  </si>
  <si>
    <t>подряд.работы (благоустр.тер-ии)</t>
  </si>
  <si>
    <t xml:space="preserve">                       за 2 полугодие  2012 г. жилого дома по ул. Вишневая ,12.</t>
  </si>
  <si>
    <t xml:space="preserve"> 2 полугодие  2012г.</t>
  </si>
  <si>
    <t>ремонт подъездов</t>
  </si>
  <si>
    <t xml:space="preserve">                       за 2 полугодие  2012 г. жилого дома по ул. Вишневая ,13.</t>
  </si>
  <si>
    <t>подряд.работы (герм.швов)</t>
  </si>
  <si>
    <t>подряд.работы (благоуст.тер-ии)</t>
  </si>
  <si>
    <t xml:space="preserve">                       за 2 полугодие  2012 г. жилого дома по ул. Вишневая , 17.</t>
  </si>
  <si>
    <t xml:space="preserve"> 2 полугодие 2012г.</t>
  </si>
  <si>
    <t xml:space="preserve">                       за 2 полугодие  2012 г. жилого дома по ул. Вишневая , 18.</t>
  </si>
  <si>
    <t xml:space="preserve">                       за 2 полугодие  2012 г. жилого дома по ул. Вишневая , 19.</t>
  </si>
  <si>
    <t>2 полугодие 2012г.</t>
  </si>
  <si>
    <t xml:space="preserve">                       за 2 полугодие  2012 г. жилого дома по ул. Вишневая , 20.</t>
  </si>
  <si>
    <t xml:space="preserve">                       за 2 полугодие  2012 г. жилого дома по ул. Вишневая , 21.</t>
  </si>
  <si>
    <t>Остаток средств на тек.ремонт</t>
  </si>
  <si>
    <t>Расход тек.ремонта</t>
  </si>
  <si>
    <t>Остаток тек.ремонта</t>
  </si>
  <si>
    <t xml:space="preserve">            за  2 полугодие  2012 г. жилого дома по ул. Вишневая , 22.</t>
  </si>
  <si>
    <t xml:space="preserve">                       за 2 полугодие  2012 г. жилого дома по ул. Вишневая , 23.</t>
  </si>
  <si>
    <t xml:space="preserve">                       за 2 полугодие  2012 г. жилого дома по ул. Вишневая , 24.</t>
  </si>
  <si>
    <t>подряд.работы (благ.тер.вывоз мусора)</t>
  </si>
  <si>
    <t>подряд.работы (ремонт подъездов)</t>
  </si>
  <si>
    <t xml:space="preserve">                 за 2 полугодие 2012 г. жилого дома по ул.Вишневая , 25.</t>
  </si>
  <si>
    <t xml:space="preserve">                       за 2 полугодие  2012 г. жилого дома по ул. Вишневая , 26.</t>
  </si>
  <si>
    <t xml:space="preserve">                       за 2 полугодие  2012 г. жилого дома по ул. Вишневая , 27.</t>
  </si>
  <si>
    <t xml:space="preserve">                       за  2 полугодие 2012 г. жилого дома по ул. Вишневая , 28.</t>
  </si>
  <si>
    <t>подряд.работы (ремонт подъез.)</t>
  </si>
  <si>
    <t xml:space="preserve">                       за 2 полугодие 2012 г. жилого дома по ул. Вишневая , 30.</t>
  </si>
  <si>
    <t xml:space="preserve">                       за 2 полугодие  2012 г. жилого дома по ул. Вишневая , 32.</t>
  </si>
  <si>
    <t xml:space="preserve">                       за 2 полугодие  2012 г. жилого дома по ул. Вишневая , 34.</t>
  </si>
  <si>
    <t>Расход  на тек.ремонт</t>
  </si>
  <si>
    <t xml:space="preserve">                       за  2 полугодие 2012 г. жилого дома по ул. Вишневая , 36.</t>
  </si>
  <si>
    <t xml:space="preserve">                       за  2 полугодие  2012 г. жилого дома по ул.Макаренко,1</t>
  </si>
  <si>
    <t>2 полугодие  2012г.</t>
  </si>
  <si>
    <t xml:space="preserve">                       за  2 полугодие  2012 г. жилого дома по ул.Макаренко,18</t>
  </si>
  <si>
    <t>оплата труда работников сл.эксплуатации</t>
  </si>
  <si>
    <t>Финансовый результат за 2 пол.</t>
  </si>
  <si>
    <t xml:space="preserve">                       за  2 полугодиел 2012 г. жилого дома по ул.Макаренко,19</t>
  </si>
  <si>
    <t>2 пол.  2012г.</t>
  </si>
  <si>
    <t xml:space="preserve">                       за 2 полугодие  2012 г. жилого дома по ул.Макаренко,28</t>
  </si>
  <si>
    <t>за полугодие  2012г.</t>
  </si>
  <si>
    <t xml:space="preserve">                       за 2 полугодие  2012 г. жилого дома по ул.Макаренко,30</t>
  </si>
  <si>
    <t>покос травы</t>
  </si>
  <si>
    <t xml:space="preserve">                       за  2 полугодие 2012 г. жилого дома по ул.Макаренко,39</t>
  </si>
  <si>
    <t xml:space="preserve">  2 полугодие  2012г.</t>
  </si>
  <si>
    <t>Прочие документы</t>
  </si>
  <si>
    <t xml:space="preserve">                       за  2 полугодие  2012 г. жилого дома по ул.Макаренко,41</t>
  </si>
  <si>
    <t xml:space="preserve">                       за  2 полугодие  2012 г. жилого дома по ул.Макаренко,43</t>
  </si>
  <si>
    <t xml:space="preserve">                       за  2 полугодие  2012 г. жилого дома по ул.Макаренко,45</t>
  </si>
  <si>
    <t>2 полугодие  2012 г.</t>
  </si>
  <si>
    <t>ООО "Скартел" и другие</t>
  </si>
  <si>
    <t xml:space="preserve">                       за  2 полугодие   2012 г. жилого дома по ул.Макаренко,47</t>
  </si>
  <si>
    <t xml:space="preserve">                       за 2 полугодие  2012 г. жилого дома по ул. Труда, 3</t>
  </si>
  <si>
    <t xml:space="preserve">                       за 2 полугодие  2012 г. жилого дома по ул. Труда, 4</t>
  </si>
  <si>
    <t xml:space="preserve">                       за 2 полугодие  2012 г. жилого дома по ул. Труда, 7</t>
  </si>
  <si>
    <t xml:space="preserve">                       за 2 полугодие  2012 г. жилого дома по ул. Труда, 8</t>
  </si>
  <si>
    <t>подряд.работы (автовышка,благ.тер.)</t>
  </si>
  <si>
    <t xml:space="preserve">                       за 2 полугодие 2012 г. жилого дома по ул. Труда, 9</t>
  </si>
  <si>
    <t xml:space="preserve">                       за 2 полугодие  2012 г. жилого дома по ул. Труда, 10</t>
  </si>
  <si>
    <t>Техобслуживание приборов учета</t>
  </si>
  <si>
    <t xml:space="preserve">                       за 2 полугодие  2012 г. жилого дома по ул. Труда, 12</t>
  </si>
  <si>
    <t xml:space="preserve">                       за 2 полугодие  2012 г. жилого дома по ул. Труда, 13</t>
  </si>
  <si>
    <t xml:space="preserve"> 2 полугодие 2012 г.</t>
  </si>
  <si>
    <t xml:space="preserve">                       за 2 полугодие  2012 г. жилого дома по ул. Труда, 14</t>
  </si>
  <si>
    <t xml:space="preserve">                       за 2 полугодие  2012 г. жилого дома по ул. Труда, 15</t>
  </si>
  <si>
    <t>подряд.работы (автовышка ,благ.тер.)</t>
  </si>
  <si>
    <t xml:space="preserve">                       за 2 полугодие 2012 г. жилого дома по ул. Труда, 16</t>
  </si>
  <si>
    <t xml:space="preserve">                       за 2 полугодие  2012 г. жилого дома по ул. Труда, 17/1</t>
  </si>
  <si>
    <t xml:space="preserve">                       за 2 полугодие  2012 г. жилого дома по ул. Труда, 17/2</t>
  </si>
  <si>
    <t xml:space="preserve">                       за 2 полугодие 2012 г. жилого дома по ул. Труда, 18</t>
  </si>
  <si>
    <t>Прочие дооды</t>
  </si>
  <si>
    <t xml:space="preserve">                       за 2 полугодие  2012 г. жилого дома по ул. Труда, 21</t>
  </si>
  <si>
    <t xml:space="preserve">                       за 1 квартал 2010 г. жилого дома по ул. Труда, 23</t>
  </si>
  <si>
    <t xml:space="preserve">                       за 2 полугодие  2012 г. жилого дома по ул. Труда,27.</t>
  </si>
  <si>
    <t xml:space="preserve">                       за 2 полугодие  2012 г. жилого дома по ул. Пластунская , 100.</t>
  </si>
  <si>
    <t xml:space="preserve">                       за 2 полугодия  2012 г. жилого дома по ул. Пластунская , 179А</t>
  </si>
  <si>
    <t xml:space="preserve">                       за 2 полугодие  2012 г. жилого дома по ул. Пластунская , 181.</t>
  </si>
  <si>
    <t>за 2 полугодие2012г.</t>
  </si>
  <si>
    <t>подряд.работы (эл.автовышка)</t>
  </si>
  <si>
    <t xml:space="preserve">                       за 2 полугодие  2012 г. жилого дома по ул.Пластунская , 181а</t>
  </si>
  <si>
    <t>за 2 полугодие  2012г.</t>
  </si>
  <si>
    <t xml:space="preserve">                       за  2 полугодие 2012 г. жилого дома по ул. Пластунская , 183.</t>
  </si>
  <si>
    <t>Прочистка канализации</t>
  </si>
  <si>
    <t xml:space="preserve">                       за 2 полугодие  2012 г. жилого дома по ул. Пластунская , 185.</t>
  </si>
  <si>
    <t xml:space="preserve">                       за 2 полугодие   2012 г. жилого дома по ул. Пластунская , 187.</t>
  </si>
  <si>
    <t xml:space="preserve">                       за 2 полугодие  2012 г. жилого дома по ул. Пластунская , 191.</t>
  </si>
  <si>
    <t>Общеэксплуатационные расходы (24%)</t>
  </si>
  <si>
    <t>Расход по текущему ремонту (вкл.6%)</t>
  </si>
  <si>
    <t>Остаток по текущему ремонту</t>
  </si>
  <si>
    <t>Остаток на тек.ремонт</t>
  </si>
  <si>
    <t>оплата труда работников службы эксплуат.</t>
  </si>
  <si>
    <t xml:space="preserve">                       за  2012 г. жилого дома по ул. Вишневая , 16.</t>
  </si>
  <si>
    <t xml:space="preserve">            2012г.</t>
  </si>
  <si>
    <t>Хознужды</t>
  </si>
  <si>
    <t>оплата труда работников службы экспл.</t>
  </si>
  <si>
    <t>Финансовый результат за 2012г.</t>
  </si>
  <si>
    <t>Расход текущего ремонта</t>
  </si>
  <si>
    <t>Остаток текущего ремонта</t>
  </si>
  <si>
    <t>Расход прочих доходов</t>
  </si>
  <si>
    <t>Остаток прочих доходов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</si>
</sst>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0_ ;\-#,##0.00\ "/>
    <numFmt numFmtId="170" formatCode="0.000"/>
    <numFmt numFmtId="171" formatCode="0.0000"/>
    <numFmt numFmtId="172" formatCode="#,##0.00&quot;р.&quot;"/>
    <numFmt numFmtId="173" formatCode="0.00000"/>
    <numFmt numFmtId="174" formatCode="#,##0.00_р_."/>
  </numFmts>
  <fonts count="40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1" fillId="0" borderId="0" xfId="69">
      <alignment/>
      <protection/>
    </xf>
    <xf numFmtId="0" fontId="2" fillId="0" borderId="0" xfId="69" applyFont="1">
      <alignment/>
      <protection/>
    </xf>
    <xf numFmtId="0" fontId="1" fillId="0" borderId="0" xfId="69" applyBorder="1">
      <alignment/>
      <protection/>
    </xf>
    <xf numFmtId="0" fontId="1" fillId="0" borderId="10" xfId="69" applyBorder="1" applyAlignment="1">
      <alignment horizontal="center"/>
      <protection/>
    </xf>
    <xf numFmtId="0" fontId="1" fillId="0" borderId="10" xfId="69" applyBorder="1">
      <alignment/>
      <protection/>
    </xf>
    <xf numFmtId="0" fontId="1" fillId="0" borderId="11" xfId="69" applyBorder="1">
      <alignment/>
      <protection/>
    </xf>
    <xf numFmtId="0" fontId="1" fillId="0" borderId="12" xfId="69" applyBorder="1">
      <alignment/>
      <protection/>
    </xf>
    <xf numFmtId="0" fontId="2" fillId="0" borderId="11" xfId="69" applyFont="1" applyBorder="1" applyAlignment="1">
      <alignment horizontal="center"/>
      <protection/>
    </xf>
    <xf numFmtId="0" fontId="3" fillId="0" borderId="11" xfId="69" applyFont="1" applyBorder="1" applyAlignment="1">
      <alignment horizontal="center"/>
      <protection/>
    </xf>
    <xf numFmtId="0" fontId="1" fillId="0" borderId="11" xfId="69" applyFont="1" applyBorder="1">
      <alignment/>
      <protection/>
    </xf>
    <xf numFmtId="0" fontId="1" fillId="0" borderId="13" xfId="69" applyBorder="1">
      <alignment/>
      <protection/>
    </xf>
    <xf numFmtId="0" fontId="1" fillId="0" borderId="14" xfId="69" applyBorder="1">
      <alignment/>
      <protection/>
    </xf>
    <xf numFmtId="0" fontId="1" fillId="0" borderId="15" xfId="69" applyBorder="1">
      <alignment/>
      <protection/>
    </xf>
    <xf numFmtId="0" fontId="1" fillId="0" borderId="16" xfId="69" applyBorder="1">
      <alignment/>
      <protection/>
    </xf>
    <xf numFmtId="0" fontId="1" fillId="0" borderId="16" xfId="69" applyBorder="1" applyAlignment="1">
      <alignment horizontal="center"/>
      <protection/>
    </xf>
    <xf numFmtId="0" fontId="3" fillId="0" borderId="16" xfId="69" applyFont="1" applyBorder="1" applyAlignment="1">
      <alignment horizontal="center"/>
      <protection/>
    </xf>
    <xf numFmtId="0" fontId="2" fillId="0" borderId="16" xfId="69" applyFont="1" applyBorder="1" applyAlignment="1">
      <alignment horizontal="center"/>
      <protection/>
    </xf>
    <xf numFmtId="2" fontId="1" fillId="0" borderId="16" xfId="69" applyNumberFormat="1" applyBorder="1">
      <alignment/>
      <protection/>
    </xf>
    <xf numFmtId="2" fontId="3" fillId="0" borderId="16" xfId="69" applyNumberFormat="1" applyFont="1" applyBorder="1">
      <alignment/>
      <protection/>
    </xf>
    <xf numFmtId="0" fontId="3" fillId="0" borderId="16" xfId="69" applyFont="1" applyBorder="1">
      <alignment/>
      <protection/>
    </xf>
    <xf numFmtId="2" fontId="1" fillId="0" borderId="16" xfId="69" applyNumberFormat="1" applyFont="1" applyBorder="1">
      <alignment/>
      <protection/>
    </xf>
    <xf numFmtId="0" fontId="1" fillId="0" borderId="16" xfId="69" applyFont="1" applyBorder="1">
      <alignment/>
      <protection/>
    </xf>
    <xf numFmtId="0" fontId="1" fillId="0" borderId="10" xfId="55" applyBorder="1" applyAlignment="1">
      <alignment horizontal="center"/>
      <protection/>
    </xf>
    <xf numFmtId="0" fontId="1" fillId="0" borderId="0" xfId="71">
      <alignment/>
      <protection/>
    </xf>
    <xf numFmtId="0" fontId="2" fillId="0" borderId="0" xfId="71" applyFont="1">
      <alignment/>
      <protection/>
    </xf>
    <xf numFmtId="0" fontId="1" fillId="0" borderId="11" xfId="71" applyBorder="1">
      <alignment/>
      <protection/>
    </xf>
    <xf numFmtId="0" fontId="1" fillId="0" borderId="17" xfId="71" applyBorder="1">
      <alignment/>
      <protection/>
    </xf>
    <xf numFmtId="0" fontId="2" fillId="0" borderId="11" xfId="71" applyFont="1" applyBorder="1" applyAlignment="1">
      <alignment horizontal="center"/>
      <protection/>
    </xf>
    <xf numFmtId="0" fontId="3" fillId="0" borderId="11" xfId="71" applyFont="1" applyBorder="1" applyAlignment="1">
      <alignment horizontal="center"/>
      <protection/>
    </xf>
    <xf numFmtId="0" fontId="1" fillId="0" borderId="11" xfId="71" applyFont="1" applyBorder="1">
      <alignment/>
      <protection/>
    </xf>
    <xf numFmtId="0" fontId="1" fillId="0" borderId="13" xfId="71" applyBorder="1">
      <alignment/>
      <protection/>
    </xf>
    <xf numFmtId="0" fontId="1" fillId="0" borderId="14" xfId="71" applyBorder="1">
      <alignment/>
      <protection/>
    </xf>
    <xf numFmtId="0" fontId="1" fillId="0" borderId="15" xfId="71" applyBorder="1">
      <alignment/>
      <protection/>
    </xf>
    <xf numFmtId="0" fontId="1" fillId="0" borderId="16" xfId="71" applyBorder="1">
      <alignment/>
      <protection/>
    </xf>
    <xf numFmtId="0" fontId="1" fillId="0" borderId="16" xfId="71" applyBorder="1" applyAlignment="1">
      <alignment horizontal="center"/>
      <protection/>
    </xf>
    <xf numFmtId="0" fontId="3" fillId="0" borderId="16" xfId="71" applyFont="1" applyBorder="1" applyAlignment="1">
      <alignment horizontal="center"/>
      <protection/>
    </xf>
    <xf numFmtId="0" fontId="2" fillId="0" borderId="16" xfId="71" applyFont="1" applyBorder="1" applyAlignment="1">
      <alignment horizontal="center"/>
      <protection/>
    </xf>
    <xf numFmtId="0" fontId="3" fillId="0" borderId="16" xfId="71" applyFont="1" applyBorder="1">
      <alignment/>
      <protection/>
    </xf>
    <xf numFmtId="0" fontId="1" fillId="0" borderId="0" xfId="72">
      <alignment/>
      <protection/>
    </xf>
    <xf numFmtId="0" fontId="2" fillId="0" borderId="0" xfId="72" applyFont="1">
      <alignment/>
      <protection/>
    </xf>
    <xf numFmtId="0" fontId="1" fillId="0" borderId="10" xfId="72" applyBorder="1">
      <alignment/>
      <protection/>
    </xf>
    <xf numFmtId="0" fontId="1" fillId="0" borderId="11" xfId="72" applyBorder="1">
      <alignment/>
      <protection/>
    </xf>
    <xf numFmtId="0" fontId="1" fillId="0" borderId="17" xfId="72" applyBorder="1">
      <alignment/>
      <protection/>
    </xf>
    <xf numFmtId="0" fontId="1" fillId="0" borderId="12" xfId="72" applyBorder="1">
      <alignment/>
      <protection/>
    </xf>
    <xf numFmtId="0" fontId="2" fillId="0" borderId="11" xfId="72" applyFont="1" applyBorder="1" applyAlignment="1">
      <alignment horizontal="center"/>
      <protection/>
    </xf>
    <xf numFmtId="0" fontId="3" fillId="0" borderId="11" xfId="72" applyFont="1" applyBorder="1" applyAlignment="1">
      <alignment horizontal="center"/>
      <protection/>
    </xf>
    <xf numFmtId="0" fontId="1" fillId="0" borderId="11" xfId="72" applyFont="1" applyBorder="1">
      <alignment/>
      <protection/>
    </xf>
    <xf numFmtId="0" fontId="1" fillId="0" borderId="13" xfId="72" applyBorder="1">
      <alignment/>
      <protection/>
    </xf>
    <xf numFmtId="0" fontId="1" fillId="0" borderId="14" xfId="72" applyBorder="1">
      <alignment/>
      <protection/>
    </xf>
    <xf numFmtId="0" fontId="1" fillId="0" borderId="15" xfId="72" applyBorder="1">
      <alignment/>
      <protection/>
    </xf>
    <xf numFmtId="0" fontId="1" fillId="0" borderId="16" xfId="72" applyBorder="1">
      <alignment/>
      <protection/>
    </xf>
    <xf numFmtId="0" fontId="1" fillId="0" borderId="16" xfId="72" applyBorder="1" applyAlignment="1">
      <alignment horizontal="center"/>
      <protection/>
    </xf>
    <xf numFmtId="0" fontId="3" fillId="0" borderId="16" xfId="72" applyFont="1" applyBorder="1" applyAlignment="1">
      <alignment horizontal="center"/>
      <protection/>
    </xf>
    <xf numFmtId="0" fontId="2" fillId="0" borderId="16" xfId="72" applyFont="1" applyBorder="1" applyAlignment="1">
      <alignment horizontal="center"/>
      <protection/>
    </xf>
    <xf numFmtId="0" fontId="3" fillId="0" borderId="16" xfId="72" applyFont="1" applyBorder="1">
      <alignment/>
      <protection/>
    </xf>
    <xf numFmtId="0" fontId="1" fillId="0" borderId="10" xfId="54" applyBorder="1" applyAlignment="1">
      <alignment horizontal="center"/>
      <protection/>
    </xf>
    <xf numFmtId="0" fontId="1" fillId="0" borderId="0" xfId="70">
      <alignment/>
      <protection/>
    </xf>
    <xf numFmtId="0" fontId="2" fillId="0" borderId="0" xfId="70" applyFont="1">
      <alignment/>
      <protection/>
    </xf>
    <xf numFmtId="0" fontId="1" fillId="0" borderId="10" xfId="70" applyBorder="1" applyAlignment="1">
      <alignment horizontal="center"/>
      <protection/>
    </xf>
    <xf numFmtId="0" fontId="1" fillId="0" borderId="10" xfId="70" applyBorder="1">
      <alignment/>
      <protection/>
    </xf>
    <xf numFmtId="0" fontId="1" fillId="0" borderId="11" xfId="70" applyBorder="1">
      <alignment/>
      <protection/>
    </xf>
    <xf numFmtId="0" fontId="1" fillId="0" borderId="17" xfId="70" applyBorder="1">
      <alignment/>
      <protection/>
    </xf>
    <xf numFmtId="0" fontId="1" fillId="0" borderId="12" xfId="70" applyBorder="1">
      <alignment/>
      <protection/>
    </xf>
    <xf numFmtId="0" fontId="2" fillId="0" borderId="11" xfId="70" applyFont="1" applyBorder="1" applyAlignment="1">
      <alignment horizontal="center"/>
      <protection/>
    </xf>
    <xf numFmtId="0" fontId="3" fillId="0" borderId="11" xfId="70" applyFont="1" applyBorder="1" applyAlignment="1">
      <alignment horizontal="center"/>
      <protection/>
    </xf>
    <xf numFmtId="0" fontId="1" fillId="0" borderId="11" xfId="70" applyFont="1" applyBorder="1">
      <alignment/>
      <protection/>
    </xf>
    <xf numFmtId="0" fontId="1" fillId="0" borderId="13" xfId="70" applyBorder="1">
      <alignment/>
      <protection/>
    </xf>
    <xf numFmtId="0" fontId="1" fillId="0" borderId="14" xfId="70" applyBorder="1">
      <alignment/>
      <protection/>
    </xf>
    <xf numFmtId="0" fontId="1" fillId="0" borderId="15" xfId="70" applyBorder="1">
      <alignment/>
      <protection/>
    </xf>
    <xf numFmtId="0" fontId="1" fillId="0" borderId="16" xfId="70" applyBorder="1">
      <alignment/>
      <protection/>
    </xf>
    <xf numFmtId="0" fontId="1" fillId="0" borderId="16" xfId="70" applyBorder="1" applyAlignment="1">
      <alignment horizontal="center"/>
      <protection/>
    </xf>
    <xf numFmtId="0" fontId="3" fillId="0" borderId="16" xfId="70" applyFont="1" applyBorder="1" applyAlignment="1">
      <alignment horizontal="center"/>
      <protection/>
    </xf>
    <xf numFmtId="0" fontId="2" fillId="0" borderId="16" xfId="70" applyFont="1" applyBorder="1" applyAlignment="1">
      <alignment horizontal="center"/>
      <protection/>
    </xf>
    <xf numFmtId="0" fontId="3" fillId="0" borderId="16" xfId="70" applyFont="1" applyBorder="1">
      <alignment/>
      <protection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1" fillId="0" borderId="10" xfId="52" applyBorder="1" applyAlignment="1">
      <alignment horizontal="center"/>
      <protection/>
    </xf>
    <xf numFmtId="0" fontId="1" fillId="0" borderId="10" xfId="52" applyBorder="1">
      <alignment/>
      <protection/>
    </xf>
    <xf numFmtId="0" fontId="1" fillId="0" borderId="11" xfId="52" applyBorder="1">
      <alignment/>
      <protection/>
    </xf>
    <xf numFmtId="0" fontId="1" fillId="0" borderId="17" xfId="52" applyBorder="1">
      <alignment/>
      <protection/>
    </xf>
    <xf numFmtId="0" fontId="1" fillId="0" borderId="12" xfId="52" applyBorder="1">
      <alignment/>
      <protection/>
    </xf>
    <xf numFmtId="0" fontId="2" fillId="0" borderId="11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1" fillId="0" borderId="11" xfId="52" applyFont="1" applyBorder="1">
      <alignment/>
      <protection/>
    </xf>
    <xf numFmtId="0" fontId="1" fillId="0" borderId="13" xfId="52" applyBorder="1">
      <alignment/>
      <protection/>
    </xf>
    <xf numFmtId="0" fontId="1" fillId="0" borderId="14" xfId="52" applyBorder="1">
      <alignment/>
      <protection/>
    </xf>
    <xf numFmtId="0" fontId="1" fillId="0" borderId="15" xfId="52" applyBorder="1">
      <alignment/>
      <protection/>
    </xf>
    <xf numFmtId="0" fontId="1" fillId="0" borderId="16" xfId="52" applyBorder="1">
      <alignment/>
      <protection/>
    </xf>
    <xf numFmtId="0" fontId="1" fillId="0" borderId="16" xfId="52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16" xfId="52" applyFont="1" applyBorder="1">
      <alignment/>
      <protection/>
    </xf>
    <xf numFmtId="0" fontId="2" fillId="0" borderId="16" xfId="52" applyFont="1" applyBorder="1" applyAlignment="1">
      <alignment horizontal="center"/>
      <protection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1" fillId="0" borderId="10" xfId="53" applyBorder="1">
      <alignment/>
      <protection/>
    </xf>
    <xf numFmtId="0" fontId="1" fillId="0" borderId="11" xfId="53" applyBorder="1">
      <alignment/>
      <protection/>
    </xf>
    <xf numFmtId="0" fontId="1" fillId="0" borderId="17" xfId="53" applyBorder="1">
      <alignment/>
      <protection/>
    </xf>
    <xf numFmtId="0" fontId="1" fillId="0" borderId="12" xfId="53" applyBorder="1">
      <alignment/>
      <protection/>
    </xf>
    <xf numFmtId="0" fontId="2" fillId="0" borderId="11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1" fillId="0" borderId="11" xfId="53" applyFont="1" applyBorder="1">
      <alignment/>
      <protection/>
    </xf>
    <xf numFmtId="0" fontId="1" fillId="0" borderId="13" xfId="53" applyBorder="1">
      <alignment/>
      <protection/>
    </xf>
    <xf numFmtId="0" fontId="1" fillId="0" borderId="14" xfId="53" applyBorder="1">
      <alignment/>
      <protection/>
    </xf>
    <xf numFmtId="0" fontId="1" fillId="0" borderId="15" xfId="53" applyBorder="1">
      <alignment/>
      <protection/>
    </xf>
    <xf numFmtId="0" fontId="1" fillId="0" borderId="16" xfId="53" applyBorder="1">
      <alignment/>
      <protection/>
    </xf>
    <xf numFmtId="0" fontId="1" fillId="0" borderId="16" xfId="53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0" fontId="3" fillId="0" borderId="16" xfId="53" applyFont="1" applyBorder="1">
      <alignment/>
      <protection/>
    </xf>
    <xf numFmtId="0" fontId="1" fillId="0" borderId="0" xfId="54">
      <alignment/>
      <protection/>
    </xf>
    <xf numFmtId="0" fontId="2" fillId="0" borderId="0" xfId="54" applyFont="1">
      <alignment/>
      <protection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1" fillId="0" borderId="17" xfId="54" applyBorder="1">
      <alignment/>
      <protection/>
    </xf>
    <xf numFmtId="0" fontId="1" fillId="0" borderId="12" xfId="54" applyBorder="1">
      <alignment/>
      <protection/>
    </xf>
    <xf numFmtId="0" fontId="2" fillId="0" borderId="11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1" fillId="0" borderId="11" xfId="54" applyFont="1" applyBorder="1">
      <alignment/>
      <protection/>
    </xf>
    <xf numFmtId="0" fontId="1" fillId="0" borderId="13" xfId="54" applyBorder="1">
      <alignment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1" fillId="0" borderId="16" xfId="54" applyBorder="1">
      <alignment/>
      <protection/>
    </xf>
    <xf numFmtId="0" fontId="1" fillId="0" borderId="16" xfId="54" applyBorder="1" applyAlignment="1">
      <alignment horizontal="center"/>
      <protection/>
    </xf>
    <xf numFmtId="0" fontId="3" fillId="0" borderId="16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3" fillId="0" borderId="16" xfId="54" applyFont="1" applyBorder="1">
      <alignment/>
      <protection/>
    </xf>
    <xf numFmtId="0" fontId="1" fillId="0" borderId="0" xfId="55">
      <alignment/>
      <protection/>
    </xf>
    <xf numFmtId="0" fontId="2" fillId="0" borderId="0" xfId="55" applyFont="1">
      <alignment/>
      <protection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1" fillId="0" borderId="17" xfId="55" applyBorder="1">
      <alignment/>
      <protection/>
    </xf>
    <xf numFmtId="0" fontId="1" fillId="0" borderId="12" xfId="55" applyBorder="1">
      <alignment/>
      <protection/>
    </xf>
    <xf numFmtId="0" fontId="2" fillId="0" borderId="11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1" fillId="0" borderId="11" xfId="55" applyFont="1" applyBorder="1">
      <alignment/>
      <protection/>
    </xf>
    <xf numFmtId="0" fontId="1" fillId="0" borderId="13" xfId="55" applyBorder="1">
      <alignment/>
      <protection/>
    </xf>
    <xf numFmtId="0" fontId="1" fillId="0" borderId="14" xfId="55" applyBorder="1">
      <alignment/>
      <protection/>
    </xf>
    <xf numFmtId="0" fontId="1" fillId="0" borderId="15" xfId="55" applyBorder="1">
      <alignment/>
      <protection/>
    </xf>
    <xf numFmtId="0" fontId="1" fillId="0" borderId="16" xfId="55" applyBorder="1">
      <alignment/>
      <protection/>
    </xf>
    <xf numFmtId="0" fontId="1" fillId="0" borderId="16" xfId="55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2" fillId="0" borderId="16" xfId="55" applyFont="1" applyBorder="1" applyAlignment="1">
      <alignment horizontal="center"/>
      <protection/>
    </xf>
    <xf numFmtId="0" fontId="3" fillId="0" borderId="16" xfId="55" applyFont="1" applyBorder="1">
      <alignment/>
      <protection/>
    </xf>
    <xf numFmtId="2" fontId="3" fillId="0" borderId="16" xfId="55" applyNumberFormat="1" applyFont="1" applyBorder="1">
      <alignment/>
      <protection/>
    </xf>
    <xf numFmtId="0" fontId="1" fillId="0" borderId="0" xfId="56">
      <alignment/>
      <protection/>
    </xf>
    <xf numFmtId="0" fontId="2" fillId="0" borderId="0" xfId="56" applyFont="1">
      <alignment/>
      <protection/>
    </xf>
    <xf numFmtId="0" fontId="1" fillId="0" borderId="10" xfId="56" applyBorder="1" applyAlignment="1">
      <alignment horizontal="center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" fillId="0" borderId="17" xfId="56" applyBorder="1">
      <alignment/>
      <protection/>
    </xf>
    <xf numFmtId="0" fontId="1" fillId="0" borderId="12" xfId="56" applyBorder="1">
      <alignment/>
      <protection/>
    </xf>
    <xf numFmtId="0" fontId="2" fillId="0" borderId="11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1" fillId="0" borderId="11" xfId="56" applyFont="1" applyBorder="1">
      <alignment/>
      <protection/>
    </xf>
    <xf numFmtId="0" fontId="1" fillId="0" borderId="13" xfId="56" applyBorder="1">
      <alignment/>
      <protection/>
    </xf>
    <xf numFmtId="0" fontId="1" fillId="0" borderId="14" xfId="56" applyBorder="1">
      <alignment/>
      <protection/>
    </xf>
    <xf numFmtId="0" fontId="1" fillId="0" borderId="15" xfId="56" applyBorder="1">
      <alignment/>
      <protection/>
    </xf>
    <xf numFmtId="0" fontId="1" fillId="0" borderId="16" xfId="56" applyBorder="1">
      <alignment/>
      <protection/>
    </xf>
    <xf numFmtId="0" fontId="1" fillId="0" borderId="16" xfId="56" applyBorder="1" applyAlignment="1">
      <alignment horizontal="center"/>
      <protection/>
    </xf>
    <xf numFmtId="0" fontId="3" fillId="0" borderId="16" xfId="56" applyFont="1" applyBorder="1" applyAlignment="1">
      <alignment horizontal="center"/>
      <protection/>
    </xf>
    <xf numFmtId="0" fontId="2" fillId="0" borderId="16" xfId="56" applyFont="1" applyBorder="1" applyAlignment="1">
      <alignment horizontal="center"/>
      <protection/>
    </xf>
    <xf numFmtId="0" fontId="3" fillId="0" borderId="16" xfId="56" applyFont="1" applyBorder="1">
      <alignment/>
      <protection/>
    </xf>
    <xf numFmtId="0" fontId="1" fillId="0" borderId="0" xfId="57">
      <alignment/>
      <protection/>
    </xf>
    <xf numFmtId="0" fontId="2" fillId="0" borderId="0" xfId="57" applyFont="1">
      <alignment/>
      <protection/>
    </xf>
    <xf numFmtId="0" fontId="1" fillId="0" borderId="0" xfId="57" applyBorder="1">
      <alignment/>
      <protection/>
    </xf>
    <xf numFmtId="0" fontId="1" fillId="0" borderId="11" xfId="57" applyBorder="1">
      <alignment/>
      <protection/>
    </xf>
    <xf numFmtId="0" fontId="1" fillId="0" borderId="17" xfId="57" applyBorder="1">
      <alignment/>
      <protection/>
    </xf>
    <xf numFmtId="0" fontId="1" fillId="0" borderId="18" xfId="57" applyBorder="1">
      <alignment/>
      <protection/>
    </xf>
    <xf numFmtId="0" fontId="2" fillId="0" borderId="11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1" fillId="0" borderId="11" xfId="57" applyFont="1" applyBorder="1">
      <alignment/>
      <protection/>
    </xf>
    <xf numFmtId="0" fontId="1" fillId="0" borderId="13" xfId="57" applyBorder="1">
      <alignment/>
      <protection/>
    </xf>
    <xf numFmtId="0" fontId="1" fillId="0" borderId="14" xfId="57" applyBorder="1">
      <alignment/>
      <protection/>
    </xf>
    <xf numFmtId="0" fontId="1" fillId="0" borderId="15" xfId="57" applyBorder="1">
      <alignment/>
      <protection/>
    </xf>
    <xf numFmtId="0" fontId="1" fillId="0" borderId="16" xfId="57" applyBorder="1">
      <alignment/>
      <protection/>
    </xf>
    <xf numFmtId="0" fontId="1" fillId="0" borderId="16" xfId="57" applyBorder="1" applyAlignment="1">
      <alignment horizontal="center"/>
      <protection/>
    </xf>
    <xf numFmtId="0" fontId="3" fillId="0" borderId="16" xfId="57" applyFont="1" applyBorder="1" applyAlignment="1">
      <alignment horizontal="center"/>
      <protection/>
    </xf>
    <xf numFmtId="0" fontId="2" fillId="0" borderId="16" xfId="57" applyFont="1" applyBorder="1" applyAlignment="1">
      <alignment horizontal="center"/>
      <protection/>
    </xf>
    <xf numFmtId="0" fontId="3" fillId="0" borderId="16" xfId="57" applyFont="1" applyBorder="1">
      <alignment/>
      <protection/>
    </xf>
    <xf numFmtId="2" fontId="3" fillId="0" borderId="16" xfId="57" applyNumberFormat="1" applyFont="1" applyBorder="1">
      <alignment/>
      <protection/>
    </xf>
    <xf numFmtId="2" fontId="1" fillId="0" borderId="16" xfId="57" applyNumberFormat="1" applyBorder="1">
      <alignment/>
      <protection/>
    </xf>
    <xf numFmtId="0" fontId="1" fillId="0" borderId="0" xfId="58">
      <alignment/>
      <protection/>
    </xf>
    <xf numFmtId="0" fontId="2" fillId="0" borderId="0" xfId="58" applyFont="1">
      <alignment/>
      <protection/>
    </xf>
    <xf numFmtId="0" fontId="1" fillId="0" borderId="11" xfId="58" applyBorder="1">
      <alignment/>
      <protection/>
    </xf>
    <xf numFmtId="0" fontId="1" fillId="0" borderId="17" xfId="58" applyBorder="1">
      <alignment/>
      <protection/>
    </xf>
    <xf numFmtId="0" fontId="1" fillId="0" borderId="18" xfId="58" applyBorder="1">
      <alignment/>
      <protection/>
    </xf>
    <xf numFmtId="0" fontId="2" fillId="0" borderId="11" xfId="58" applyFont="1" applyBorder="1" applyAlignment="1">
      <alignment horizontal="center"/>
      <protection/>
    </xf>
    <xf numFmtId="0" fontId="3" fillId="0" borderId="11" xfId="58" applyFont="1" applyBorder="1" applyAlignment="1">
      <alignment horizontal="center"/>
      <protection/>
    </xf>
    <xf numFmtId="0" fontId="1" fillId="0" borderId="11" xfId="58" applyFont="1" applyBorder="1">
      <alignment/>
      <protection/>
    </xf>
    <xf numFmtId="0" fontId="1" fillId="0" borderId="13" xfId="58" applyBorder="1">
      <alignment/>
      <protection/>
    </xf>
    <xf numFmtId="0" fontId="1" fillId="0" borderId="14" xfId="58" applyBorder="1">
      <alignment/>
      <protection/>
    </xf>
    <xf numFmtId="0" fontId="1" fillId="0" borderId="15" xfId="58" applyBorder="1">
      <alignment/>
      <protection/>
    </xf>
    <xf numFmtId="0" fontId="1" fillId="0" borderId="16" xfId="58" applyBorder="1">
      <alignment/>
      <protection/>
    </xf>
    <xf numFmtId="0" fontId="1" fillId="0" borderId="16" xfId="58" applyBorder="1" applyAlignment="1">
      <alignment horizontal="center"/>
      <protection/>
    </xf>
    <xf numFmtId="0" fontId="3" fillId="0" borderId="16" xfId="58" applyFont="1" applyBorder="1" applyAlignment="1">
      <alignment horizontal="center"/>
      <protection/>
    </xf>
    <xf numFmtId="0" fontId="2" fillId="0" borderId="16" xfId="58" applyFont="1" applyBorder="1" applyAlignment="1">
      <alignment horizontal="center"/>
      <protection/>
    </xf>
    <xf numFmtId="0" fontId="3" fillId="0" borderId="16" xfId="58" applyFont="1" applyBorder="1">
      <alignment/>
      <protection/>
    </xf>
    <xf numFmtId="0" fontId="1" fillId="0" borderId="0" xfId="59">
      <alignment/>
      <protection/>
    </xf>
    <xf numFmtId="0" fontId="2" fillId="0" borderId="0" xfId="59" applyFont="1">
      <alignment/>
      <protection/>
    </xf>
    <xf numFmtId="0" fontId="1" fillId="0" borderId="11" xfId="59" applyBorder="1">
      <alignment/>
      <protection/>
    </xf>
    <xf numFmtId="0" fontId="1" fillId="0" borderId="17" xfId="59" applyBorder="1">
      <alignment/>
      <protection/>
    </xf>
    <xf numFmtId="0" fontId="1" fillId="0" borderId="18" xfId="59" applyBorder="1">
      <alignment/>
      <protection/>
    </xf>
    <xf numFmtId="0" fontId="2" fillId="0" borderId="11" xfId="59" applyFont="1" applyBorder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1" fillId="0" borderId="11" xfId="59" applyFont="1" applyBorder="1">
      <alignment/>
      <protection/>
    </xf>
    <xf numFmtId="0" fontId="1" fillId="0" borderId="13" xfId="59" applyBorder="1">
      <alignment/>
      <protection/>
    </xf>
    <xf numFmtId="0" fontId="1" fillId="0" borderId="14" xfId="59" applyBorder="1">
      <alignment/>
      <protection/>
    </xf>
    <xf numFmtId="0" fontId="1" fillId="0" borderId="15" xfId="59" applyBorder="1">
      <alignment/>
      <protection/>
    </xf>
    <xf numFmtId="0" fontId="1" fillId="0" borderId="16" xfId="59" applyBorder="1">
      <alignment/>
      <protection/>
    </xf>
    <xf numFmtId="0" fontId="1" fillId="0" borderId="16" xfId="59" applyBorder="1" applyAlignment="1">
      <alignment horizontal="center"/>
      <protection/>
    </xf>
    <xf numFmtId="0" fontId="3" fillId="0" borderId="16" xfId="59" applyFont="1" applyBorder="1" applyAlignment="1">
      <alignment horizontal="center"/>
      <protection/>
    </xf>
    <xf numFmtId="0" fontId="2" fillId="0" borderId="16" xfId="59" applyFont="1" applyBorder="1" applyAlignment="1">
      <alignment horizontal="center"/>
      <protection/>
    </xf>
    <xf numFmtId="0" fontId="3" fillId="0" borderId="16" xfId="59" applyFont="1" applyBorder="1">
      <alignment/>
      <protection/>
    </xf>
    <xf numFmtId="0" fontId="1" fillId="0" borderId="0" xfId="60">
      <alignment/>
      <protection/>
    </xf>
    <xf numFmtId="0" fontId="2" fillId="0" borderId="0" xfId="60" applyFont="1">
      <alignment/>
      <protection/>
    </xf>
    <xf numFmtId="0" fontId="2" fillId="0" borderId="11" xfId="60" applyFont="1" applyBorder="1" applyAlignment="1">
      <alignment horizontal="center"/>
      <protection/>
    </xf>
    <xf numFmtId="0" fontId="3" fillId="0" borderId="11" xfId="60" applyFont="1" applyBorder="1" applyAlignment="1">
      <alignment horizontal="center"/>
      <protection/>
    </xf>
    <xf numFmtId="0" fontId="1" fillId="0" borderId="11" xfId="60" applyFont="1" applyBorder="1">
      <alignment/>
      <protection/>
    </xf>
    <xf numFmtId="0" fontId="1" fillId="0" borderId="16" xfId="60" applyBorder="1">
      <alignment/>
      <protection/>
    </xf>
    <xf numFmtId="0" fontId="1" fillId="0" borderId="16" xfId="60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2" fillId="0" borderId="16" xfId="60" applyFont="1" applyBorder="1" applyAlignment="1">
      <alignment horizontal="center"/>
      <protection/>
    </xf>
    <xf numFmtId="0" fontId="3" fillId="0" borderId="16" xfId="60" applyFont="1" applyBorder="1">
      <alignment/>
      <protection/>
    </xf>
    <xf numFmtId="0" fontId="1" fillId="0" borderId="0" xfId="61">
      <alignment/>
      <protection/>
    </xf>
    <xf numFmtId="0" fontId="2" fillId="0" borderId="0" xfId="61" applyFont="1">
      <alignment/>
      <protection/>
    </xf>
    <xf numFmtId="0" fontId="1" fillId="0" borderId="0" xfId="61" applyBorder="1">
      <alignment/>
      <protection/>
    </xf>
    <xf numFmtId="0" fontId="1" fillId="0" borderId="10" xfId="61" applyBorder="1" applyAlignment="1">
      <alignment horizontal="center"/>
      <protection/>
    </xf>
    <xf numFmtId="0" fontId="1" fillId="0" borderId="10" xfId="61" applyBorder="1">
      <alignment/>
      <protection/>
    </xf>
    <xf numFmtId="0" fontId="1" fillId="0" borderId="11" xfId="61" applyBorder="1">
      <alignment/>
      <protection/>
    </xf>
    <xf numFmtId="0" fontId="1" fillId="0" borderId="17" xfId="61" applyBorder="1">
      <alignment/>
      <protection/>
    </xf>
    <xf numFmtId="0" fontId="1" fillId="0" borderId="12" xfId="61" applyBorder="1">
      <alignment/>
      <protection/>
    </xf>
    <xf numFmtId="0" fontId="2" fillId="0" borderId="11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0" fontId="1" fillId="0" borderId="11" xfId="61" applyFont="1" applyBorder="1">
      <alignment/>
      <protection/>
    </xf>
    <xf numFmtId="0" fontId="1" fillId="0" borderId="13" xfId="61" applyBorder="1">
      <alignment/>
      <protection/>
    </xf>
    <xf numFmtId="0" fontId="1" fillId="0" borderId="14" xfId="61" applyBorder="1">
      <alignment/>
      <protection/>
    </xf>
    <xf numFmtId="0" fontId="1" fillId="0" borderId="15" xfId="61" applyBorder="1">
      <alignment/>
      <protection/>
    </xf>
    <xf numFmtId="0" fontId="1" fillId="0" borderId="16" xfId="61" applyBorder="1">
      <alignment/>
      <protection/>
    </xf>
    <xf numFmtId="0" fontId="1" fillId="0" borderId="16" xfId="61" applyBorder="1" applyAlignment="1">
      <alignment horizontal="center"/>
      <protection/>
    </xf>
    <xf numFmtId="0" fontId="3" fillId="0" borderId="16" xfId="61" applyFont="1" applyBorder="1" applyAlignment="1">
      <alignment horizontal="center"/>
      <protection/>
    </xf>
    <xf numFmtId="0" fontId="3" fillId="0" borderId="16" xfId="61" applyFont="1" applyBorder="1">
      <alignment/>
      <protection/>
    </xf>
    <xf numFmtId="0" fontId="2" fillId="0" borderId="16" xfId="61" applyFont="1" applyBorder="1" applyAlignment="1">
      <alignment horizontal="center"/>
      <protection/>
    </xf>
    <xf numFmtId="2" fontId="3" fillId="0" borderId="16" xfId="61" applyNumberFormat="1" applyFont="1" applyBorder="1">
      <alignment/>
      <protection/>
    </xf>
    <xf numFmtId="2" fontId="1" fillId="0" borderId="16" xfId="61" applyNumberFormat="1" applyBorder="1">
      <alignment/>
      <protection/>
    </xf>
    <xf numFmtId="0" fontId="1" fillId="0" borderId="0" xfId="62">
      <alignment/>
      <protection/>
    </xf>
    <xf numFmtId="0" fontId="2" fillId="0" borderId="0" xfId="62" applyFont="1">
      <alignment/>
      <protection/>
    </xf>
    <xf numFmtId="0" fontId="1" fillId="0" borderId="11" xfId="62" applyBorder="1">
      <alignment/>
      <protection/>
    </xf>
    <xf numFmtId="0" fontId="1" fillId="0" borderId="17" xfId="62" applyBorder="1">
      <alignment/>
      <protection/>
    </xf>
    <xf numFmtId="0" fontId="2" fillId="0" borderId="11" xfId="62" applyFont="1" applyBorder="1" applyAlignment="1">
      <alignment horizontal="center"/>
      <protection/>
    </xf>
    <xf numFmtId="0" fontId="3" fillId="0" borderId="11" xfId="62" applyFont="1" applyBorder="1" applyAlignment="1">
      <alignment horizontal="center"/>
      <protection/>
    </xf>
    <xf numFmtId="0" fontId="1" fillId="0" borderId="11" xfId="62" applyFont="1" applyBorder="1">
      <alignment/>
      <protection/>
    </xf>
    <xf numFmtId="0" fontId="1" fillId="0" borderId="13" xfId="62" applyBorder="1">
      <alignment/>
      <protection/>
    </xf>
    <xf numFmtId="0" fontId="1" fillId="0" borderId="14" xfId="62" applyBorder="1">
      <alignment/>
      <protection/>
    </xf>
    <xf numFmtId="0" fontId="1" fillId="0" borderId="15" xfId="62" applyBorder="1">
      <alignment/>
      <protection/>
    </xf>
    <xf numFmtId="0" fontId="1" fillId="0" borderId="16" xfId="62" applyBorder="1">
      <alignment/>
      <protection/>
    </xf>
    <xf numFmtId="0" fontId="1" fillId="0" borderId="16" xfId="62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0" fontId="3" fillId="0" borderId="16" xfId="62" applyFont="1" applyBorder="1">
      <alignment/>
      <protection/>
    </xf>
    <xf numFmtId="0" fontId="2" fillId="0" borderId="16" xfId="62" applyFont="1" applyBorder="1" applyAlignment="1">
      <alignment horizontal="center"/>
      <protection/>
    </xf>
    <xf numFmtId="0" fontId="1" fillId="0" borderId="0" xfId="63">
      <alignment/>
      <protection/>
    </xf>
    <xf numFmtId="0" fontId="2" fillId="0" borderId="0" xfId="63" applyFont="1">
      <alignment/>
      <protection/>
    </xf>
    <xf numFmtId="0" fontId="1" fillId="0" borderId="11" xfId="63" applyBorder="1">
      <alignment/>
      <protection/>
    </xf>
    <xf numFmtId="0" fontId="1" fillId="0" borderId="17" xfId="63" applyBorder="1">
      <alignment/>
      <protection/>
    </xf>
    <xf numFmtId="0" fontId="2" fillId="0" borderId="11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"/>
      <protection/>
    </xf>
    <xf numFmtId="0" fontId="1" fillId="0" borderId="11" xfId="63" applyFont="1" applyBorder="1">
      <alignment/>
      <protection/>
    </xf>
    <xf numFmtId="0" fontId="1" fillId="0" borderId="13" xfId="63" applyBorder="1">
      <alignment/>
      <protection/>
    </xf>
    <xf numFmtId="0" fontId="1" fillId="0" borderId="14" xfId="63" applyBorder="1">
      <alignment/>
      <protection/>
    </xf>
    <xf numFmtId="0" fontId="1" fillId="0" borderId="15" xfId="63" applyBorder="1">
      <alignment/>
      <protection/>
    </xf>
    <xf numFmtId="0" fontId="1" fillId="0" borderId="16" xfId="63" applyBorder="1">
      <alignment/>
      <protection/>
    </xf>
    <xf numFmtId="0" fontId="1" fillId="0" borderId="16" xfId="63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0" fontId="3" fillId="0" borderId="16" xfId="63" applyFont="1" applyBorder="1">
      <alignment/>
      <protection/>
    </xf>
    <xf numFmtId="0" fontId="2" fillId="0" borderId="16" xfId="63" applyFont="1" applyBorder="1" applyAlignment="1">
      <alignment horizontal="center"/>
      <protection/>
    </xf>
    <xf numFmtId="0" fontId="1" fillId="0" borderId="0" xfId="64">
      <alignment/>
      <protection/>
    </xf>
    <xf numFmtId="0" fontId="2" fillId="0" borderId="0" xfId="64" applyFont="1">
      <alignment/>
      <protection/>
    </xf>
    <xf numFmtId="0" fontId="1" fillId="0" borderId="11" xfId="64" applyBorder="1">
      <alignment/>
      <protection/>
    </xf>
    <xf numFmtId="0" fontId="1" fillId="0" borderId="17" xfId="64" applyBorder="1">
      <alignment/>
      <protection/>
    </xf>
    <xf numFmtId="0" fontId="2" fillId="0" borderId="11" xfId="64" applyFont="1" applyBorder="1" applyAlignment="1">
      <alignment horizontal="center"/>
      <protection/>
    </xf>
    <xf numFmtId="0" fontId="3" fillId="0" borderId="11" xfId="64" applyFont="1" applyBorder="1" applyAlignment="1">
      <alignment horizontal="center"/>
      <protection/>
    </xf>
    <xf numFmtId="0" fontId="1" fillId="0" borderId="11" xfId="64" applyFont="1" applyBorder="1">
      <alignment/>
      <protection/>
    </xf>
    <xf numFmtId="0" fontId="1" fillId="0" borderId="13" xfId="64" applyBorder="1">
      <alignment/>
      <protection/>
    </xf>
    <xf numFmtId="0" fontId="1" fillId="0" borderId="14" xfId="64" applyBorder="1">
      <alignment/>
      <protection/>
    </xf>
    <xf numFmtId="0" fontId="1" fillId="0" borderId="15" xfId="64" applyBorder="1">
      <alignment/>
      <protection/>
    </xf>
    <xf numFmtId="0" fontId="1" fillId="0" borderId="16" xfId="64" applyBorder="1">
      <alignment/>
      <protection/>
    </xf>
    <xf numFmtId="0" fontId="1" fillId="0" borderId="16" xfId="64" applyBorder="1" applyAlignment="1">
      <alignment horizontal="center"/>
      <protection/>
    </xf>
    <xf numFmtId="0" fontId="3" fillId="0" borderId="16" xfId="64" applyFont="1" applyBorder="1" applyAlignment="1">
      <alignment horizontal="center"/>
      <protection/>
    </xf>
    <xf numFmtId="0" fontId="3" fillId="0" borderId="16" xfId="64" applyFont="1" applyBorder="1">
      <alignment/>
      <protection/>
    </xf>
    <xf numFmtId="0" fontId="2" fillId="0" borderId="16" xfId="64" applyFont="1" applyBorder="1" applyAlignment="1">
      <alignment horizontal="center"/>
      <protection/>
    </xf>
    <xf numFmtId="0" fontId="1" fillId="0" borderId="0" xfId="65">
      <alignment/>
      <protection/>
    </xf>
    <xf numFmtId="0" fontId="2" fillId="0" borderId="0" xfId="65" applyFont="1">
      <alignment/>
      <protection/>
    </xf>
    <xf numFmtId="0" fontId="1" fillId="0" borderId="11" xfId="65" applyBorder="1">
      <alignment/>
      <protection/>
    </xf>
    <xf numFmtId="0" fontId="1" fillId="0" borderId="17" xfId="65" applyBorder="1">
      <alignment/>
      <protection/>
    </xf>
    <xf numFmtId="0" fontId="2" fillId="0" borderId="11" xfId="65" applyFont="1" applyBorder="1" applyAlignment="1">
      <alignment horizontal="center"/>
      <protection/>
    </xf>
    <xf numFmtId="0" fontId="3" fillId="0" borderId="11" xfId="65" applyFont="1" applyBorder="1" applyAlignment="1">
      <alignment horizontal="center"/>
      <protection/>
    </xf>
    <xf numFmtId="0" fontId="1" fillId="0" borderId="11" xfId="65" applyFont="1" applyBorder="1">
      <alignment/>
      <protection/>
    </xf>
    <xf numFmtId="0" fontId="1" fillId="0" borderId="13" xfId="65" applyBorder="1">
      <alignment/>
      <protection/>
    </xf>
    <xf numFmtId="0" fontId="1" fillId="0" borderId="14" xfId="65" applyBorder="1">
      <alignment/>
      <protection/>
    </xf>
    <xf numFmtId="0" fontId="1" fillId="0" borderId="15" xfId="65" applyBorder="1">
      <alignment/>
      <protection/>
    </xf>
    <xf numFmtId="0" fontId="1" fillId="0" borderId="16" xfId="65" applyBorder="1">
      <alignment/>
      <protection/>
    </xf>
    <xf numFmtId="0" fontId="1" fillId="0" borderId="16" xfId="65" applyBorder="1" applyAlignment="1">
      <alignment horizontal="center"/>
      <protection/>
    </xf>
    <xf numFmtId="0" fontId="3" fillId="0" borderId="16" xfId="65" applyFont="1" applyBorder="1" applyAlignment="1">
      <alignment horizontal="center"/>
      <protection/>
    </xf>
    <xf numFmtId="0" fontId="3" fillId="0" borderId="16" xfId="65" applyFont="1" applyBorder="1">
      <alignment/>
      <protection/>
    </xf>
    <xf numFmtId="0" fontId="2" fillId="0" borderId="16" xfId="65" applyFont="1" applyBorder="1" applyAlignment="1">
      <alignment horizontal="center"/>
      <protection/>
    </xf>
    <xf numFmtId="0" fontId="1" fillId="0" borderId="0" xfId="66">
      <alignment/>
      <protection/>
    </xf>
    <xf numFmtId="0" fontId="2" fillId="0" borderId="0" xfId="66" applyFont="1">
      <alignment/>
      <protection/>
    </xf>
    <xf numFmtId="0" fontId="1" fillId="0" borderId="10" xfId="66" applyBorder="1" applyAlignment="1">
      <alignment horizontal="center"/>
      <protection/>
    </xf>
    <xf numFmtId="0" fontId="1" fillId="0" borderId="10" xfId="66" applyBorder="1">
      <alignment/>
      <protection/>
    </xf>
    <xf numFmtId="0" fontId="1" fillId="0" borderId="11" xfId="66" applyBorder="1">
      <alignment/>
      <protection/>
    </xf>
    <xf numFmtId="0" fontId="1" fillId="0" borderId="17" xfId="66" applyBorder="1">
      <alignment/>
      <protection/>
    </xf>
    <xf numFmtId="0" fontId="1" fillId="0" borderId="12" xfId="66" applyBorder="1">
      <alignment/>
      <protection/>
    </xf>
    <xf numFmtId="0" fontId="2" fillId="0" borderId="11" xfId="66" applyFont="1" applyBorder="1" applyAlignment="1">
      <alignment horizontal="center"/>
      <protection/>
    </xf>
    <xf numFmtId="0" fontId="3" fillId="0" borderId="11" xfId="66" applyFont="1" applyBorder="1" applyAlignment="1">
      <alignment horizontal="center"/>
      <protection/>
    </xf>
    <xf numFmtId="0" fontId="1" fillId="0" borderId="11" xfId="66" applyFont="1" applyBorder="1">
      <alignment/>
      <protection/>
    </xf>
    <xf numFmtId="0" fontId="1" fillId="0" borderId="13" xfId="66" applyBorder="1">
      <alignment/>
      <protection/>
    </xf>
    <xf numFmtId="0" fontId="1" fillId="0" borderId="14" xfId="66" applyBorder="1">
      <alignment/>
      <protection/>
    </xf>
    <xf numFmtId="0" fontId="1" fillId="0" borderId="15" xfId="66" applyBorder="1">
      <alignment/>
      <protection/>
    </xf>
    <xf numFmtId="0" fontId="1" fillId="0" borderId="16" xfId="66" applyBorder="1">
      <alignment/>
      <protection/>
    </xf>
    <xf numFmtId="0" fontId="1" fillId="0" borderId="16" xfId="66" applyBorder="1" applyAlignment="1">
      <alignment horizontal="center"/>
      <protection/>
    </xf>
    <xf numFmtId="0" fontId="3" fillId="0" borderId="16" xfId="66" applyFont="1" applyBorder="1" applyAlignment="1">
      <alignment horizontal="center"/>
      <protection/>
    </xf>
    <xf numFmtId="0" fontId="3" fillId="0" borderId="16" xfId="66" applyFont="1" applyBorder="1">
      <alignment/>
      <protection/>
    </xf>
    <xf numFmtId="0" fontId="2" fillId="0" borderId="16" xfId="66" applyFont="1" applyBorder="1" applyAlignment="1">
      <alignment horizontal="center"/>
      <protection/>
    </xf>
    <xf numFmtId="0" fontId="1" fillId="0" borderId="0" xfId="67">
      <alignment/>
      <protection/>
    </xf>
    <xf numFmtId="0" fontId="2" fillId="0" borderId="0" xfId="67" applyFont="1">
      <alignment/>
      <protection/>
    </xf>
    <xf numFmtId="0" fontId="1" fillId="0" borderId="10" xfId="67" applyBorder="1" applyAlignment="1">
      <alignment horizontal="center"/>
      <protection/>
    </xf>
    <xf numFmtId="0" fontId="1" fillId="0" borderId="10" xfId="67" applyBorder="1">
      <alignment/>
      <protection/>
    </xf>
    <xf numFmtId="0" fontId="1" fillId="0" borderId="11" xfId="67" applyBorder="1">
      <alignment/>
      <protection/>
    </xf>
    <xf numFmtId="0" fontId="1" fillId="0" borderId="17" xfId="67" applyBorder="1">
      <alignment/>
      <protection/>
    </xf>
    <xf numFmtId="0" fontId="1" fillId="0" borderId="12" xfId="67" applyBorder="1">
      <alignment/>
      <protection/>
    </xf>
    <xf numFmtId="0" fontId="2" fillId="0" borderId="11" xfId="67" applyFont="1" applyBorder="1" applyAlignment="1">
      <alignment horizontal="center"/>
      <protection/>
    </xf>
    <xf numFmtId="0" fontId="3" fillId="0" borderId="11" xfId="67" applyFont="1" applyBorder="1" applyAlignment="1">
      <alignment horizontal="center"/>
      <protection/>
    </xf>
    <xf numFmtId="0" fontId="1" fillId="0" borderId="11" xfId="67" applyFont="1" applyBorder="1">
      <alignment/>
      <protection/>
    </xf>
    <xf numFmtId="0" fontId="1" fillId="0" borderId="13" xfId="67" applyBorder="1">
      <alignment/>
      <protection/>
    </xf>
    <xf numFmtId="0" fontId="1" fillId="0" borderId="14" xfId="67" applyBorder="1">
      <alignment/>
      <protection/>
    </xf>
    <xf numFmtId="0" fontId="1" fillId="0" borderId="15" xfId="67" applyBorder="1">
      <alignment/>
      <protection/>
    </xf>
    <xf numFmtId="0" fontId="1" fillId="0" borderId="16" xfId="67" applyBorder="1">
      <alignment/>
      <protection/>
    </xf>
    <xf numFmtId="0" fontId="1" fillId="0" borderId="16" xfId="67" applyBorder="1" applyAlignment="1">
      <alignment horizontal="center"/>
      <protection/>
    </xf>
    <xf numFmtId="0" fontId="3" fillId="0" borderId="16" xfId="67" applyFont="1" applyBorder="1" applyAlignment="1">
      <alignment horizontal="center"/>
      <protection/>
    </xf>
    <xf numFmtId="0" fontId="3" fillId="0" borderId="16" xfId="67" applyFont="1" applyBorder="1">
      <alignment/>
      <protection/>
    </xf>
    <xf numFmtId="0" fontId="2" fillId="0" borderId="16" xfId="67" applyFont="1" applyBorder="1" applyAlignment="1">
      <alignment horizontal="center"/>
      <protection/>
    </xf>
    <xf numFmtId="0" fontId="1" fillId="0" borderId="0" xfId="68">
      <alignment/>
      <protection/>
    </xf>
    <xf numFmtId="0" fontId="2" fillId="0" borderId="0" xfId="68" applyFont="1">
      <alignment/>
      <protection/>
    </xf>
    <xf numFmtId="0" fontId="1" fillId="0" borderId="10" xfId="68" applyBorder="1" applyAlignment="1">
      <alignment horizontal="center"/>
      <protection/>
    </xf>
    <xf numFmtId="0" fontId="1" fillId="0" borderId="10" xfId="68" applyBorder="1">
      <alignment/>
      <protection/>
    </xf>
    <xf numFmtId="0" fontId="2" fillId="0" borderId="11" xfId="68" applyFont="1" applyBorder="1" applyAlignment="1">
      <alignment horizontal="center"/>
      <protection/>
    </xf>
    <xf numFmtId="0" fontId="3" fillId="0" borderId="11" xfId="68" applyFont="1" applyBorder="1" applyAlignment="1">
      <alignment horizontal="center"/>
      <protection/>
    </xf>
    <xf numFmtId="0" fontId="1" fillId="0" borderId="11" xfId="68" applyFont="1" applyBorder="1">
      <alignment/>
      <protection/>
    </xf>
    <xf numFmtId="0" fontId="1" fillId="0" borderId="13" xfId="68" applyBorder="1">
      <alignment/>
      <protection/>
    </xf>
    <xf numFmtId="0" fontId="1" fillId="0" borderId="14" xfId="68" applyBorder="1">
      <alignment/>
      <protection/>
    </xf>
    <xf numFmtId="0" fontId="1" fillId="0" borderId="15" xfId="68" applyBorder="1">
      <alignment/>
      <protection/>
    </xf>
    <xf numFmtId="0" fontId="1" fillId="0" borderId="16" xfId="68" applyBorder="1">
      <alignment/>
      <protection/>
    </xf>
    <xf numFmtId="0" fontId="1" fillId="0" borderId="16" xfId="68" applyBorder="1" applyAlignment="1">
      <alignment horizontal="center"/>
      <protection/>
    </xf>
    <xf numFmtId="0" fontId="3" fillId="0" borderId="16" xfId="68" applyFont="1" applyBorder="1" applyAlignment="1">
      <alignment horizontal="center"/>
      <protection/>
    </xf>
    <xf numFmtId="0" fontId="3" fillId="0" borderId="16" xfId="68" applyFont="1" applyBorder="1">
      <alignment/>
      <protection/>
    </xf>
    <xf numFmtId="0" fontId="2" fillId="0" borderId="16" xfId="68" applyFont="1" applyBorder="1" applyAlignment="1">
      <alignment horizontal="center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0" xfId="69" applyFont="1">
      <alignment/>
      <protection/>
    </xf>
    <xf numFmtId="0" fontId="1" fillId="0" borderId="0" xfId="72" applyBorder="1" applyAlignment="1">
      <alignment horizontal="center"/>
      <protection/>
    </xf>
    <xf numFmtId="0" fontId="1" fillId="0" borderId="20" xfId="69" applyBorder="1">
      <alignment/>
      <protection/>
    </xf>
    <xf numFmtId="0" fontId="1" fillId="0" borderId="0" xfId="58" applyFont="1">
      <alignment/>
      <protection/>
    </xf>
    <xf numFmtId="0" fontId="1" fillId="0" borderId="0" xfId="61" applyFont="1">
      <alignment/>
      <protection/>
    </xf>
    <xf numFmtId="0" fontId="1" fillId="0" borderId="0" xfId="67" applyFont="1">
      <alignment/>
      <protection/>
    </xf>
    <xf numFmtId="0" fontId="1" fillId="0" borderId="0" xfId="68" applyFont="1">
      <alignment/>
      <protection/>
    </xf>
    <xf numFmtId="0" fontId="1" fillId="0" borderId="20" xfId="72" applyBorder="1">
      <alignment/>
      <protection/>
    </xf>
    <xf numFmtId="0" fontId="1" fillId="0" borderId="0" xfId="53" applyBorder="1" applyAlignment="1">
      <alignment horizontal="center"/>
      <protection/>
    </xf>
    <xf numFmtId="0" fontId="1" fillId="0" borderId="20" xfId="53" applyBorder="1">
      <alignment/>
      <protection/>
    </xf>
    <xf numFmtId="0" fontId="0" fillId="0" borderId="18" xfId="0" applyBorder="1" applyAlignment="1">
      <alignment/>
    </xf>
    <xf numFmtId="0" fontId="1" fillId="0" borderId="16" xfId="69" applyFont="1" applyBorder="1">
      <alignment/>
      <protection/>
    </xf>
    <xf numFmtId="2" fontId="1" fillId="0" borderId="16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3" fillId="0" borderId="13" xfId="69" applyFont="1" applyBorder="1" applyAlignment="1">
      <alignment horizontal="center"/>
      <protection/>
    </xf>
    <xf numFmtId="0" fontId="1" fillId="0" borderId="16" xfId="69" applyFont="1" applyBorder="1" applyAlignment="1">
      <alignment horizontal="center"/>
      <protection/>
    </xf>
    <xf numFmtId="0" fontId="3" fillId="0" borderId="16" xfId="69" applyFont="1" applyBorder="1" applyAlignment="1">
      <alignment horizontal="left"/>
      <protection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5" fillId="0" borderId="16" xfId="0" applyNumberFormat="1" applyFont="1" applyBorder="1" applyAlignment="1">
      <alignment/>
    </xf>
    <xf numFmtId="0" fontId="1" fillId="0" borderId="13" xfId="71" applyBorder="1" applyAlignment="1">
      <alignment horizontal="center"/>
      <protection/>
    </xf>
    <xf numFmtId="0" fontId="1" fillId="0" borderId="13" xfId="72" applyBorder="1" applyAlignment="1">
      <alignment horizontal="center"/>
      <protection/>
    </xf>
    <xf numFmtId="0" fontId="1" fillId="0" borderId="13" xfId="70" applyBorder="1" applyAlignment="1">
      <alignment horizontal="center"/>
      <protection/>
    </xf>
    <xf numFmtId="0" fontId="1" fillId="0" borderId="13" xfId="53" applyBorder="1" applyAlignment="1">
      <alignment horizontal="center"/>
      <protection/>
    </xf>
    <xf numFmtId="0" fontId="1" fillId="0" borderId="13" xfId="54" applyBorder="1" applyAlignment="1">
      <alignment horizontal="center"/>
      <protection/>
    </xf>
    <xf numFmtId="0" fontId="1" fillId="0" borderId="13" xfId="55" applyBorder="1" applyAlignment="1">
      <alignment horizontal="center"/>
      <protection/>
    </xf>
    <xf numFmtId="0" fontId="1" fillId="0" borderId="13" xfId="56" applyBorder="1" applyAlignment="1">
      <alignment horizontal="center"/>
      <protection/>
    </xf>
    <xf numFmtId="0" fontId="1" fillId="0" borderId="13" xfId="57" applyBorder="1" applyAlignment="1">
      <alignment horizontal="center"/>
      <protection/>
    </xf>
    <xf numFmtId="0" fontId="1" fillId="0" borderId="13" xfId="58" applyBorder="1" applyAlignment="1">
      <alignment horizontal="center"/>
      <protection/>
    </xf>
    <xf numFmtId="0" fontId="1" fillId="0" borderId="13" xfId="59" applyBorder="1" applyAlignment="1">
      <alignment horizontal="center"/>
      <protection/>
    </xf>
    <xf numFmtId="0" fontId="1" fillId="0" borderId="13" xfId="61" applyBorder="1" applyAlignment="1">
      <alignment horizontal="center"/>
      <protection/>
    </xf>
    <xf numFmtId="0" fontId="1" fillId="0" borderId="13" xfId="62" applyBorder="1" applyAlignment="1">
      <alignment horizontal="center"/>
      <protection/>
    </xf>
    <xf numFmtId="0" fontId="1" fillId="0" borderId="13" xfId="63" applyBorder="1" applyAlignment="1">
      <alignment horizontal="center"/>
      <protection/>
    </xf>
    <xf numFmtId="0" fontId="1" fillId="0" borderId="13" xfId="64" applyBorder="1" applyAlignment="1">
      <alignment horizontal="center"/>
      <protection/>
    </xf>
    <xf numFmtId="0" fontId="1" fillId="0" borderId="13" xfId="65" applyBorder="1" applyAlignment="1">
      <alignment horizontal="center"/>
      <protection/>
    </xf>
    <xf numFmtId="0" fontId="1" fillId="0" borderId="13" xfId="66" applyBorder="1" applyAlignment="1">
      <alignment horizontal="center"/>
      <protection/>
    </xf>
    <xf numFmtId="0" fontId="1" fillId="0" borderId="13" xfId="67" applyBorder="1" applyAlignment="1">
      <alignment horizontal="center"/>
      <protection/>
    </xf>
    <xf numFmtId="0" fontId="1" fillId="0" borderId="20" xfId="71" applyBorder="1">
      <alignment/>
      <protection/>
    </xf>
    <xf numFmtId="0" fontId="1" fillId="0" borderId="21" xfId="71" applyBorder="1">
      <alignment/>
      <protection/>
    </xf>
    <xf numFmtId="0" fontId="1" fillId="0" borderId="0" xfId="59" applyFont="1">
      <alignment/>
      <protection/>
    </xf>
    <xf numFmtId="0" fontId="3" fillId="0" borderId="0" xfId="69" applyFont="1" applyBorder="1">
      <alignment/>
      <protection/>
    </xf>
    <xf numFmtId="0" fontId="1" fillId="0" borderId="0" xfId="69" applyFont="1">
      <alignment/>
      <protection/>
    </xf>
    <xf numFmtId="2" fontId="1" fillId="0" borderId="0" xfId="69" applyNumberFormat="1">
      <alignment/>
      <protection/>
    </xf>
    <xf numFmtId="2" fontId="3" fillId="0" borderId="0" xfId="69" applyNumberFormat="1" applyFont="1" applyBorder="1">
      <alignment/>
      <protection/>
    </xf>
    <xf numFmtId="0" fontId="1" fillId="0" borderId="0" xfId="72" applyFont="1">
      <alignment/>
      <protection/>
    </xf>
    <xf numFmtId="2" fontId="0" fillId="0" borderId="0" xfId="0" applyNumberFormat="1" applyAlignment="1">
      <alignment/>
    </xf>
    <xf numFmtId="0" fontId="1" fillId="0" borderId="20" xfId="57" applyBorder="1">
      <alignment/>
      <protection/>
    </xf>
    <xf numFmtId="0" fontId="1" fillId="0" borderId="21" xfId="57" applyBorder="1">
      <alignment/>
      <protection/>
    </xf>
    <xf numFmtId="0" fontId="1" fillId="0" borderId="21" xfId="58" applyBorder="1">
      <alignment/>
      <protection/>
    </xf>
    <xf numFmtId="0" fontId="1" fillId="0" borderId="20" xfId="58" applyBorder="1">
      <alignment/>
      <protection/>
    </xf>
    <xf numFmtId="0" fontId="1" fillId="0" borderId="20" xfId="59" applyBorder="1">
      <alignment/>
      <protection/>
    </xf>
    <xf numFmtId="0" fontId="1" fillId="0" borderId="21" xfId="59" applyBorder="1">
      <alignment/>
      <protection/>
    </xf>
    <xf numFmtId="0" fontId="1" fillId="0" borderId="20" xfId="60" applyBorder="1">
      <alignment/>
      <protection/>
    </xf>
    <xf numFmtId="0" fontId="1" fillId="0" borderId="20" xfId="62" applyBorder="1">
      <alignment/>
      <protection/>
    </xf>
    <xf numFmtId="0" fontId="1" fillId="0" borderId="21" xfId="62" applyBorder="1">
      <alignment/>
      <protection/>
    </xf>
    <xf numFmtId="0" fontId="1" fillId="0" borderId="20" xfId="63" applyBorder="1">
      <alignment/>
      <protection/>
    </xf>
    <xf numFmtId="0" fontId="1" fillId="0" borderId="21" xfId="63" applyBorder="1">
      <alignment/>
      <protection/>
    </xf>
    <xf numFmtId="0" fontId="1" fillId="0" borderId="20" xfId="64" applyBorder="1">
      <alignment/>
      <protection/>
    </xf>
    <xf numFmtId="0" fontId="1" fillId="0" borderId="21" xfId="64" applyBorder="1">
      <alignment/>
      <protection/>
    </xf>
    <xf numFmtId="0" fontId="1" fillId="0" borderId="20" xfId="65" applyBorder="1">
      <alignment/>
      <protection/>
    </xf>
    <xf numFmtId="0" fontId="1" fillId="0" borderId="21" xfId="65" applyBorder="1">
      <alignment/>
      <protection/>
    </xf>
    <xf numFmtId="0" fontId="1" fillId="0" borderId="0" xfId="69" applyFont="1" applyBorder="1">
      <alignment/>
      <protection/>
    </xf>
    <xf numFmtId="2" fontId="1" fillId="0" borderId="0" xfId="69" applyNumberFormat="1" applyFont="1" applyBorder="1">
      <alignment/>
      <protection/>
    </xf>
    <xf numFmtId="0" fontId="1" fillId="0" borderId="0" xfId="71" applyFont="1">
      <alignment/>
      <protection/>
    </xf>
    <xf numFmtId="0" fontId="1" fillId="0" borderId="0" xfId="70" applyFont="1">
      <alignment/>
      <protection/>
    </xf>
    <xf numFmtId="0" fontId="1" fillId="0" borderId="0" xfId="53" applyFont="1">
      <alignment/>
      <protection/>
    </xf>
    <xf numFmtId="0" fontId="1" fillId="0" borderId="0" xfId="54" applyFont="1">
      <alignment/>
      <protection/>
    </xf>
    <xf numFmtId="0" fontId="1" fillId="0" borderId="0" xfId="55" applyFont="1">
      <alignment/>
      <protection/>
    </xf>
    <xf numFmtId="0" fontId="1" fillId="0" borderId="0" xfId="56" applyFont="1">
      <alignment/>
      <protection/>
    </xf>
    <xf numFmtId="0" fontId="1" fillId="0" borderId="0" xfId="57" applyFont="1">
      <alignment/>
      <protection/>
    </xf>
    <xf numFmtId="0" fontId="1" fillId="0" borderId="0" xfId="58" applyFont="1">
      <alignment/>
      <protection/>
    </xf>
    <xf numFmtId="0" fontId="1" fillId="0" borderId="0" xfId="60" applyFont="1">
      <alignment/>
      <protection/>
    </xf>
    <xf numFmtId="0" fontId="1" fillId="0" borderId="0" xfId="61" applyFont="1">
      <alignment/>
      <protection/>
    </xf>
    <xf numFmtId="0" fontId="1" fillId="0" borderId="0" xfId="62" applyFont="1">
      <alignment/>
      <protection/>
    </xf>
    <xf numFmtId="0" fontId="1" fillId="0" borderId="0" xfId="63" applyFont="1">
      <alignment/>
      <protection/>
    </xf>
    <xf numFmtId="0" fontId="1" fillId="0" borderId="0" xfId="64" applyFont="1">
      <alignment/>
      <protection/>
    </xf>
    <xf numFmtId="0" fontId="1" fillId="0" borderId="0" xfId="65" applyFont="1">
      <alignment/>
      <protection/>
    </xf>
    <xf numFmtId="0" fontId="1" fillId="0" borderId="0" xfId="66" applyFont="1">
      <alignment/>
      <protection/>
    </xf>
    <xf numFmtId="0" fontId="1" fillId="0" borderId="0" xfId="52" applyFont="1">
      <alignment/>
      <protection/>
    </xf>
    <xf numFmtId="2" fontId="1" fillId="0" borderId="14" xfId="61" applyNumberFormat="1" applyBorder="1">
      <alignment/>
      <protection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69" applyFont="1" applyBorder="1" applyAlignment="1">
      <alignment horizontal="center"/>
      <protection/>
    </xf>
    <xf numFmtId="0" fontId="1" fillId="0" borderId="22" xfId="60" applyBorder="1">
      <alignment/>
      <protection/>
    </xf>
    <xf numFmtId="0" fontId="1" fillId="0" borderId="19" xfId="60" applyBorder="1">
      <alignment/>
      <protection/>
    </xf>
    <xf numFmtId="0" fontId="2" fillId="0" borderId="20" xfId="60" applyFont="1" applyBorder="1" applyAlignment="1">
      <alignment horizontal="center"/>
      <protection/>
    </xf>
    <xf numFmtId="0" fontId="3" fillId="0" borderId="20" xfId="60" applyFont="1" applyBorder="1" applyAlignment="1">
      <alignment horizontal="center"/>
      <protection/>
    </xf>
    <xf numFmtId="0" fontId="1" fillId="0" borderId="20" xfId="68" applyBorder="1">
      <alignment/>
      <protection/>
    </xf>
    <xf numFmtId="0" fontId="2" fillId="0" borderId="20" xfId="68" applyFont="1" applyBorder="1" applyAlignment="1">
      <alignment horizontal="center"/>
      <protection/>
    </xf>
    <xf numFmtId="0" fontId="3" fillId="0" borderId="20" xfId="68" applyFont="1" applyBorder="1" applyAlignment="1">
      <alignment horizontal="center"/>
      <protection/>
    </xf>
    <xf numFmtId="0" fontId="1" fillId="0" borderId="22" xfId="68" applyBorder="1">
      <alignment/>
      <protection/>
    </xf>
    <xf numFmtId="0" fontId="1" fillId="0" borderId="19" xfId="68" applyBorder="1">
      <alignment/>
      <protection/>
    </xf>
    <xf numFmtId="10" fontId="3" fillId="0" borderId="0" xfId="69" applyNumberFormat="1" applyFont="1" applyBorder="1">
      <alignment/>
      <protection/>
    </xf>
    <xf numFmtId="0" fontId="3" fillId="0" borderId="18" xfId="69" applyFont="1" applyBorder="1" applyAlignment="1">
      <alignment horizontal="center"/>
      <protection/>
    </xf>
    <xf numFmtId="0" fontId="3" fillId="0" borderId="12" xfId="69" applyFont="1" applyBorder="1" applyAlignment="1">
      <alignment horizontal="center"/>
      <protection/>
    </xf>
    <xf numFmtId="0" fontId="1" fillId="0" borderId="10" xfId="69" applyBorder="1" applyAlignment="1">
      <alignment horizontal="center"/>
      <protection/>
    </xf>
    <xf numFmtId="0" fontId="2" fillId="0" borderId="18" xfId="69" applyFont="1" applyBorder="1" applyAlignment="1">
      <alignment horizontal="center"/>
      <protection/>
    </xf>
    <xf numFmtId="0" fontId="2" fillId="0" borderId="12" xfId="69" applyFont="1" applyBorder="1" applyAlignment="1">
      <alignment horizontal="center"/>
      <protection/>
    </xf>
    <xf numFmtId="0" fontId="2" fillId="0" borderId="18" xfId="71" applyFont="1" applyBorder="1" applyAlignment="1">
      <alignment horizontal="center"/>
      <protection/>
    </xf>
    <xf numFmtId="0" fontId="2" fillId="0" borderId="12" xfId="71" applyFont="1" applyBorder="1" applyAlignment="1">
      <alignment horizontal="center"/>
      <protection/>
    </xf>
    <xf numFmtId="0" fontId="3" fillId="0" borderId="18" xfId="71" applyFont="1" applyBorder="1" applyAlignment="1">
      <alignment horizontal="center"/>
      <protection/>
    </xf>
    <xf numFmtId="0" fontId="3" fillId="0" borderId="12" xfId="71" applyFont="1" applyBorder="1" applyAlignment="1">
      <alignment horizontal="center"/>
      <protection/>
    </xf>
    <xf numFmtId="0" fontId="1" fillId="0" borderId="0" xfId="72" applyBorder="1" applyAlignment="1">
      <alignment horizontal="center"/>
      <protection/>
    </xf>
    <xf numFmtId="0" fontId="2" fillId="0" borderId="18" xfId="72" applyFont="1" applyBorder="1" applyAlignment="1">
      <alignment horizontal="center"/>
      <protection/>
    </xf>
    <xf numFmtId="0" fontId="2" fillId="0" borderId="12" xfId="72" applyFont="1" applyBorder="1" applyAlignment="1">
      <alignment horizontal="center"/>
      <protection/>
    </xf>
    <xf numFmtId="0" fontId="3" fillId="0" borderId="18" xfId="72" applyFont="1" applyBorder="1" applyAlignment="1">
      <alignment horizontal="center"/>
      <protection/>
    </xf>
    <xf numFmtId="0" fontId="3" fillId="0" borderId="12" xfId="72" applyFont="1" applyBorder="1" applyAlignment="1">
      <alignment horizontal="center"/>
      <protection/>
    </xf>
    <xf numFmtId="0" fontId="1" fillId="0" borderId="10" xfId="70" applyBorder="1" applyAlignment="1">
      <alignment horizontal="center"/>
      <protection/>
    </xf>
    <xf numFmtId="0" fontId="2" fillId="0" borderId="18" xfId="70" applyFont="1" applyBorder="1" applyAlignment="1">
      <alignment horizontal="center"/>
      <protection/>
    </xf>
    <xf numFmtId="0" fontId="2" fillId="0" borderId="12" xfId="70" applyFont="1" applyBorder="1" applyAlignment="1">
      <alignment horizontal="center"/>
      <protection/>
    </xf>
    <xf numFmtId="0" fontId="3" fillId="0" borderId="18" xfId="70" applyFont="1" applyBorder="1" applyAlignment="1">
      <alignment horizontal="center"/>
      <protection/>
    </xf>
    <xf numFmtId="0" fontId="3" fillId="0" borderId="12" xfId="70" applyFont="1" applyBorder="1" applyAlignment="1">
      <alignment horizontal="center"/>
      <protection/>
    </xf>
    <xf numFmtId="0" fontId="1" fillId="0" borderId="10" xfId="52" applyBorder="1" applyAlignment="1">
      <alignment horizontal="center"/>
      <protection/>
    </xf>
    <xf numFmtId="0" fontId="2" fillId="0" borderId="18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3" fillId="0" borderId="18" xfId="52" applyFont="1" applyBorder="1" applyAlignment="1">
      <alignment/>
      <protection/>
    </xf>
    <xf numFmtId="0" fontId="3" fillId="0" borderId="12" xfId="52" applyFont="1" applyBorder="1" applyAlignment="1">
      <alignment/>
      <protection/>
    </xf>
    <xf numFmtId="0" fontId="1" fillId="0" borderId="0" xfId="53" applyBorder="1" applyAlignment="1">
      <alignment horizontal="center"/>
      <protection/>
    </xf>
    <xf numFmtId="0" fontId="2" fillId="0" borderId="18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3" fillId="0" borderId="18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1" fillId="0" borderId="10" xfId="54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3" fillId="0" borderId="18" xfId="54" applyFont="1" applyBorder="1" applyAlignment="1">
      <alignment horizontal="center"/>
      <protection/>
    </xf>
    <xf numFmtId="0" fontId="3" fillId="0" borderId="12" xfId="54" applyFont="1" applyBorder="1" applyAlignment="1">
      <alignment horizontal="center"/>
      <protection/>
    </xf>
    <xf numFmtId="0" fontId="1" fillId="0" borderId="10" xfId="55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1" fillId="0" borderId="10" xfId="56" applyBorder="1" applyAlignment="1">
      <alignment horizontal="center"/>
      <protection/>
    </xf>
    <xf numFmtId="0" fontId="2" fillId="0" borderId="18" xfId="56" applyFont="1" applyBorder="1" applyAlignment="1">
      <alignment horizontal="center"/>
      <protection/>
    </xf>
    <xf numFmtId="0" fontId="2" fillId="0" borderId="12" xfId="56" applyFont="1" applyBorder="1" applyAlignment="1">
      <alignment horizontal="center"/>
      <protection/>
    </xf>
    <xf numFmtId="0" fontId="3" fillId="0" borderId="18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3" fillId="0" borderId="18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2" fillId="0" borderId="18" xfId="57" applyFont="1" applyBorder="1" applyAlignment="1">
      <alignment horizontal="center"/>
      <protection/>
    </xf>
    <xf numFmtId="0" fontId="2" fillId="0" borderId="12" xfId="57" applyFont="1" applyBorder="1" applyAlignment="1">
      <alignment horizontal="center"/>
      <protection/>
    </xf>
    <xf numFmtId="0" fontId="2" fillId="0" borderId="18" xfId="58" applyFont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3" fillId="0" borderId="18" xfId="58" applyFont="1" applyBorder="1" applyAlignment="1">
      <alignment horizontal="center"/>
      <protection/>
    </xf>
    <xf numFmtId="0" fontId="3" fillId="0" borderId="12" xfId="58" applyFont="1" applyBorder="1" applyAlignment="1">
      <alignment horizontal="center"/>
      <protection/>
    </xf>
    <xf numFmtId="0" fontId="3" fillId="0" borderId="18" xfId="59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0" fontId="2" fillId="0" borderId="18" xfId="59" applyFont="1" applyBorder="1" applyAlignment="1">
      <alignment horizontal="center"/>
      <protection/>
    </xf>
    <xf numFmtId="0" fontId="2" fillId="0" borderId="12" xfId="59" applyFont="1" applyBorder="1" applyAlignment="1">
      <alignment horizontal="center"/>
      <protection/>
    </xf>
    <xf numFmtId="0" fontId="3" fillId="0" borderId="18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2" fillId="0" borderId="17" xfId="60" applyFont="1" applyBorder="1" applyAlignment="1">
      <alignment horizontal="center"/>
      <protection/>
    </xf>
    <xf numFmtId="0" fontId="2" fillId="0" borderId="21" xfId="60" applyFont="1" applyBorder="1" applyAlignment="1">
      <alignment horizontal="center"/>
      <protection/>
    </xf>
    <xf numFmtId="0" fontId="1" fillId="0" borderId="10" xfId="61" applyBorder="1" applyAlignment="1">
      <alignment horizontal="center"/>
      <protection/>
    </xf>
    <xf numFmtId="0" fontId="2" fillId="0" borderId="18" xfId="61" applyFont="1" applyBorder="1" applyAlignment="1">
      <alignment horizontal="center"/>
      <protection/>
    </xf>
    <xf numFmtId="0" fontId="2" fillId="0" borderId="12" xfId="61" applyFont="1" applyBorder="1" applyAlignment="1">
      <alignment horizontal="center"/>
      <protection/>
    </xf>
    <xf numFmtId="0" fontId="3" fillId="0" borderId="18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2" fillId="0" borderId="18" xfId="62" applyFont="1" applyBorder="1" applyAlignment="1">
      <alignment horizontal="center"/>
      <protection/>
    </xf>
    <xf numFmtId="0" fontId="2" fillId="0" borderId="12" xfId="62" applyFont="1" applyBorder="1" applyAlignment="1">
      <alignment horizontal="center"/>
      <protection/>
    </xf>
    <xf numFmtId="0" fontId="3" fillId="0" borderId="18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2" fillId="0" borderId="18" xfId="63" applyFont="1" applyBorder="1" applyAlignment="1">
      <alignment horizontal="center"/>
      <protection/>
    </xf>
    <xf numFmtId="0" fontId="2" fillId="0" borderId="12" xfId="63" applyFont="1" applyBorder="1" applyAlignment="1">
      <alignment horizontal="center"/>
      <protection/>
    </xf>
    <xf numFmtId="0" fontId="3" fillId="0" borderId="18" xfId="64" applyFont="1" applyBorder="1" applyAlignment="1">
      <alignment horizontal="center"/>
      <protection/>
    </xf>
    <xf numFmtId="0" fontId="3" fillId="0" borderId="12" xfId="64" applyFont="1" applyBorder="1" applyAlignment="1">
      <alignment horizontal="center"/>
      <protection/>
    </xf>
    <xf numFmtId="0" fontId="2" fillId="0" borderId="18" xfId="64" applyFont="1" applyBorder="1" applyAlignment="1">
      <alignment horizontal="center"/>
      <protection/>
    </xf>
    <xf numFmtId="0" fontId="2" fillId="0" borderId="12" xfId="64" applyFont="1" applyBorder="1" applyAlignment="1">
      <alignment horizontal="center"/>
      <protection/>
    </xf>
    <xf numFmtId="0" fontId="3" fillId="0" borderId="18" xfId="65" applyFont="1" applyBorder="1" applyAlignment="1">
      <alignment horizontal="center"/>
      <protection/>
    </xf>
    <xf numFmtId="0" fontId="3" fillId="0" borderId="12" xfId="65" applyFont="1" applyBorder="1" applyAlignment="1">
      <alignment horizontal="center"/>
      <protection/>
    </xf>
    <xf numFmtId="0" fontId="2" fillId="0" borderId="18" xfId="65" applyFont="1" applyBorder="1" applyAlignment="1">
      <alignment horizontal="center"/>
      <protection/>
    </xf>
    <xf numFmtId="0" fontId="2" fillId="0" borderId="12" xfId="65" applyFont="1" applyBorder="1" applyAlignment="1">
      <alignment horizontal="center"/>
      <protection/>
    </xf>
    <xf numFmtId="0" fontId="3" fillId="0" borderId="18" xfId="66" applyFont="1" applyBorder="1" applyAlignment="1">
      <alignment horizontal="center"/>
      <protection/>
    </xf>
    <xf numFmtId="0" fontId="3" fillId="0" borderId="12" xfId="66" applyFont="1" applyBorder="1" applyAlignment="1">
      <alignment horizontal="center"/>
      <protection/>
    </xf>
    <xf numFmtId="0" fontId="1" fillId="0" borderId="10" xfId="66" applyBorder="1" applyAlignment="1">
      <alignment horizontal="center"/>
      <protection/>
    </xf>
    <xf numFmtId="0" fontId="2" fillId="0" borderId="18" xfId="66" applyFont="1" applyBorder="1" applyAlignment="1">
      <alignment horizontal="center"/>
      <protection/>
    </xf>
    <xf numFmtId="0" fontId="2" fillId="0" borderId="12" xfId="66" applyFont="1" applyBorder="1" applyAlignment="1">
      <alignment horizontal="center"/>
      <protection/>
    </xf>
    <xf numFmtId="0" fontId="3" fillId="0" borderId="18" xfId="67" applyFont="1" applyBorder="1" applyAlignment="1">
      <alignment horizontal="center"/>
      <protection/>
    </xf>
    <xf numFmtId="0" fontId="3" fillId="0" borderId="12" xfId="67" applyFont="1" applyBorder="1" applyAlignment="1">
      <alignment horizontal="center"/>
      <protection/>
    </xf>
    <xf numFmtId="0" fontId="1" fillId="0" borderId="10" xfId="67" applyBorder="1" applyAlignment="1">
      <alignment horizontal="center"/>
      <protection/>
    </xf>
    <xf numFmtId="0" fontId="2" fillId="0" borderId="18" xfId="67" applyFont="1" applyBorder="1" applyAlignment="1">
      <alignment horizontal="center"/>
      <protection/>
    </xf>
    <xf numFmtId="0" fontId="2" fillId="0" borderId="12" xfId="67" applyFont="1" applyBorder="1" applyAlignment="1">
      <alignment horizontal="center"/>
      <protection/>
    </xf>
    <xf numFmtId="0" fontId="3" fillId="0" borderId="18" xfId="68" applyFont="1" applyBorder="1" applyAlignment="1">
      <alignment horizontal="center"/>
      <protection/>
    </xf>
    <xf numFmtId="0" fontId="3" fillId="0" borderId="12" xfId="68" applyFont="1" applyBorder="1" applyAlignment="1">
      <alignment horizontal="center"/>
      <protection/>
    </xf>
    <xf numFmtId="0" fontId="1" fillId="0" borderId="10" xfId="68" applyBorder="1" applyAlignment="1">
      <alignment horizontal="center"/>
      <protection/>
    </xf>
    <xf numFmtId="0" fontId="2" fillId="0" borderId="17" xfId="68" applyFont="1" applyBorder="1" applyAlignment="1">
      <alignment horizontal="center"/>
      <protection/>
    </xf>
    <xf numFmtId="0" fontId="2" fillId="0" borderId="21" xfId="68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15" xfId="52"/>
    <cellStyle name="Обычный_В17" xfId="53"/>
    <cellStyle name="Обычный_В18" xfId="54"/>
    <cellStyle name="Обычный_В19" xfId="55"/>
    <cellStyle name="Обычный_В20" xfId="56"/>
    <cellStyle name="Обычный_В21" xfId="57"/>
    <cellStyle name="Обычный_В22" xfId="58"/>
    <cellStyle name="Обычный_В23" xfId="59"/>
    <cellStyle name="Обычный_В24" xfId="60"/>
    <cellStyle name="Обычный_В25" xfId="61"/>
    <cellStyle name="Обычный_В26" xfId="62"/>
    <cellStyle name="Обычный_В27" xfId="63"/>
    <cellStyle name="Обычный_В28" xfId="64"/>
    <cellStyle name="Обычный_В30" xfId="65"/>
    <cellStyle name="Обычный_В32" xfId="66"/>
    <cellStyle name="Обычный_В34" xfId="67"/>
    <cellStyle name="Обычный_В36" xfId="68"/>
    <cellStyle name="Обычный_Лист1" xfId="69"/>
    <cellStyle name="Обычный_Лист12" xfId="70"/>
    <cellStyle name="Обычный_Лист3" xfId="71"/>
    <cellStyle name="Обычный_Лист5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zoomScaleSheetLayoutView="100" zoomScalePageLayoutView="0" workbookViewId="0" topLeftCell="A5">
      <selection activeCell="E5" sqref="E5"/>
    </sheetView>
  </sheetViews>
  <sheetFormatPr defaultColWidth="9.00390625" defaultRowHeight="12.75"/>
  <cols>
    <col min="1" max="1" width="5.875" style="0" customWidth="1"/>
    <col min="2" max="2" width="40.625" style="0" customWidth="1"/>
    <col min="3" max="3" width="7.00390625" style="0" customWidth="1"/>
    <col min="4" max="4" width="12.00390625" style="0" customWidth="1"/>
    <col min="5" max="5" width="11.125" style="0" customWidth="1"/>
    <col min="7" max="7" width="5.375" style="0" customWidth="1"/>
    <col min="8" max="8" width="38.25390625" style="0" customWidth="1"/>
    <col min="10" max="10" width="12.00390625" style="0" customWidth="1"/>
    <col min="12" max="12" width="6.875" style="0" customWidth="1"/>
    <col min="13" max="13" width="4.375" style="0" customWidth="1"/>
    <col min="14" max="14" width="37.125" style="0" customWidth="1"/>
    <col min="16" max="16" width="10.125" style="0" customWidth="1"/>
    <col min="18" max="18" width="15.00390625" style="0" customWidth="1"/>
    <col min="19" max="19" width="8.75390625" style="0" customWidth="1"/>
    <col min="20" max="20" width="42.125" style="0" customWidth="1"/>
    <col min="21" max="21" width="7.125" style="0" customWidth="1"/>
    <col min="22" max="22" width="14.625" style="0" customWidth="1"/>
    <col min="23" max="23" width="13.75390625" style="0" customWidth="1"/>
    <col min="26" max="26" width="36.875" style="0" customWidth="1"/>
    <col min="27" max="27" width="8.875" style="0" customWidth="1"/>
    <col min="28" max="29" width="10.625" style="0" customWidth="1"/>
  </cols>
  <sheetData>
    <row r="1" spans="1:5" ht="15.75">
      <c r="A1" s="1"/>
      <c r="B1" s="2" t="s">
        <v>26</v>
      </c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 t="s">
        <v>81</v>
      </c>
      <c r="C3" s="1"/>
      <c r="D3" s="1"/>
      <c r="E3" s="1"/>
    </row>
    <row r="4" spans="1:5" ht="12.75">
      <c r="A4" s="1"/>
      <c r="B4" s="384" t="s">
        <v>103</v>
      </c>
      <c r="C4" s="1"/>
      <c r="D4" s="1"/>
      <c r="E4" s="1"/>
    </row>
    <row r="5" spans="1:5" ht="12.75">
      <c r="A5" s="1"/>
      <c r="B5" s="1" t="s">
        <v>40</v>
      </c>
      <c r="C5" s="1"/>
      <c r="D5" s="1"/>
      <c r="E5" s="1"/>
    </row>
    <row r="6" spans="1:5" ht="12.75">
      <c r="A6" s="481"/>
      <c r="B6" s="481"/>
      <c r="C6" s="481"/>
      <c r="D6" s="4"/>
      <c r="E6" s="5"/>
    </row>
    <row r="7" spans="1:6" ht="12.75">
      <c r="A7" s="386"/>
      <c r="B7" s="386"/>
      <c r="C7" s="386"/>
      <c r="D7" s="3"/>
      <c r="E7" s="7"/>
      <c r="F7" s="359"/>
    </row>
    <row r="8" spans="1:5" ht="15.75">
      <c r="A8" s="6"/>
      <c r="B8" s="8" t="s">
        <v>1</v>
      </c>
      <c r="C8" s="9" t="s">
        <v>3</v>
      </c>
      <c r="D8" s="482" t="s">
        <v>4</v>
      </c>
      <c r="E8" s="483"/>
    </row>
    <row r="9" spans="1:5" ht="15.75">
      <c r="A9" s="10"/>
      <c r="B9" s="8" t="s">
        <v>2</v>
      </c>
      <c r="C9" s="9" t="s">
        <v>35</v>
      </c>
      <c r="D9" s="479" t="s">
        <v>102</v>
      </c>
      <c r="E9" s="480"/>
    </row>
    <row r="10" spans="1:5" ht="12.75">
      <c r="A10" s="11"/>
      <c r="B10" s="11"/>
      <c r="C10" s="11"/>
      <c r="D10" s="12"/>
      <c r="E10" s="13"/>
    </row>
    <row r="11" spans="1:5" ht="12.75">
      <c r="A11" s="11"/>
      <c r="B11" s="400" t="s">
        <v>65</v>
      </c>
      <c r="C11" s="11"/>
      <c r="D11" s="14">
        <v>-403463.5</v>
      </c>
      <c r="E11" s="13"/>
    </row>
    <row r="12" spans="1:5" ht="12.75">
      <c r="A12" s="14"/>
      <c r="B12" s="15" t="s">
        <v>5</v>
      </c>
      <c r="C12" s="14" t="s">
        <v>36</v>
      </c>
      <c r="D12" s="14">
        <v>8134.1</v>
      </c>
      <c r="E12" s="14"/>
    </row>
    <row r="13" spans="1:5" ht="12.75">
      <c r="A13" s="14"/>
      <c r="B13" s="15" t="s">
        <v>6</v>
      </c>
      <c r="C13" s="14" t="s">
        <v>36</v>
      </c>
      <c r="D13" s="14">
        <v>6467.2</v>
      </c>
      <c r="E13" s="14"/>
    </row>
    <row r="14" spans="1:5" ht="12.75">
      <c r="A14" s="14"/>
      <c r="B14" s="16" t="s">
        <v>28</v>
      </c>
      <c r="C14" s="14" t="s">
        <v>9</v>
      </c>
      <c r="D14" s="20">
        <v>268632.12</v>
      </c>
      <c r="E14" s="14"/>
    </row>
    <row r="15" spans="1:5" ht="12.75">
      <c r="A15" s="14"/>
      <c r="B15" s="14"/>
      <c r="C15" s="14"/>
      <c r="D15" s="14"/>
      <c r="E15" s="14"/>
    </row>
    <row r="16" spans="1:5" ht="15.75">
      <c r="A16" s="14"/>
      <c r="B16" s="17" t="s">
        <v>7</v>
      </c>
      <c r="C16" s="14"/>
      <c r="D16" s="14"/>
      <c r="E16" s="14"/>
    </row>
    <row r="17" spans="1:5" ht="12.75">
      <c r="A17" s="14">
        <v>1</v>
      </c>
      <c r="B17" s="14" t="s">
        <v>8</v>
      </c>
      <c r="C17" s="14" t="s">
        <v>9</v>
      </c>
      <c r="D17" s="20">
        <v>268632.12</v>
      </c>
      <c r="E17" s="14"/>
    </row>
    <row r="18" spans="1:5" ht="12.75">
      <c r="A18" s="14">
        <v>2</v>
      </c>
      <c r="B18" s="22" t="s">
        <v>104</v>
      </c>
      <c r="C18" s="14"/>
      <c r="D18" s="20">
        <v>9000</v>
      </c>
      <c r="E18" s="14"/>
    </row>
    <row r="19" spans="1:5" ht="15.75">
      <c r="A19" s="14"/>
      <c r="B19" s="17" t="s">
        <v>10</v>
      </c>
      <c r="C19" s="14"/>
      <c r="D19" s="19">
        <f>D17+D18</f>
        <v>277632.12</v>
      </c>
      <c r="E19" s="14"/>
    </row>
    <row r="20" spans="1:5" ht="15.75">
      <c r="A20" s="14"/>
      <c r="B20" s="17"/>
      <c r="C20" s="14"/>
      <c r="D20" s="19"/>
      <c r="E20" s="14"/>
    </row>
    <row r="21" spans="1:5" ht="15.75">
      <c r="A21" s="14"/>
      <c r="B21" s="17" t="s">
        <v>66</v>
      </c>
      <c r="C21" s="14"/>
      <c r="D21" s="20"/>
      <c r="E21" s="21" t="s">
        <v>15</v>
      </c>
    </row>
    <row r="22" spans="1:5" ht="12.75">
      <c r="A22" s="401" t="s">
        <v>67</v>
      </c>
      <c r="B22" s="16" t="s">
        <v>68</v>
      </c>
      <c r="C22" s="14"/>
      <c r="D22" s="19">
        <f>D23+D27</f>
        <v>113083.27</v>
      </c>
      <c r="E22" s="19">
        <f>E23</f>
        <v>22377.875119999997</v>
      </c>
    </row>
    <row r="23" spans="1:5" ht="12.75">
      <c r="A23" s="14">
        <v>1</v>
      </c>
      <c r="B23" s="20" t="s">
        <v>11</v>
      </c>
      <c r="C23" s="395" t="s">
        <v>9</v>
      </c>
      <c r="D23" s="19">
        <f>D24+D25+D26</f>
        <v>110781.56</v>
      </c>
      <c r="E23" s="19">
        <f>E24+E25+E26</f>
        <v>22377.875119999997</v>
      </c>
    </row>
    <row r="24" spans="1:5" ht="12.75">
      <c r="A24" s="14"/>
      <c r="B24" s="14" t="s">
        <v>12</v>
      </c>
      <c r="C24" s="14"/>
      <c r="D24" s="14">
        <v>27763.01</v>
      </c>
      <c r="E24" s="18">
        <f>D24*20.2%</f>
        <v>5608.128019999999</v>
      </c>
    </row>
    <row r="25" spans="1:5" ht="12.75">
      <c r="A25" s="14"/>
      <c r="B25" s="14" t="s">
        <v>13</v>
      </c>
      <c r="C25" s="14"/>
      <c r="D25" s="396">
        <v>48740.12</v>
      </c>
      <c r="E25" s="18">
        <f>D25*20.2%</f>
        <v>9845.50424</v>
      </c>
    </row>
    <row r="26" spans="1:5" ht="12.75">
      <c r="A26" s="14"/>
      <c r="B26" s="14" t="s">
        <v>14</v>
      </c>
      <c r="C26" s="14"/>
      <c r="D26" s="14">
        <v>34278.43</v>
      </c>
      <c r="E26" s="18">
        <f>D26*20.2%</f>
        <v>6924.242859999999</v>
      </c>
    </row>
    <row r="27" spans="1:5" ht="12.75">
      <c r="A27" s="14">
        <v>2</v>
      </c>
      <c r="B27" s="395" t="s">
        <v>16</v>
      </c>
      <c r="C27" s="14"/>
      <c r="D27" s="14">
        <v>2301.71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66776.25</v>
      </c>
      <c r="E28" s="19">
        <f>E29</f>
        <v>12046.904279999999</v>
      </c>
    </row>
    <row r="29" spans="1:5" ht="12.75">
      <c r="A29" s="14">
        <v>1</v>
      </c>
      <c r="B29" s="22" t="s">
        <v>70</v>
      </c>
      <c r="C29" s="14"/>
      <c r="D29" s="22">
        <v>59638.14</v>
      </c>
      <c r="E29" s="18">
        <f>D29*20.2%</f>
        <v>12046.904279999999</v>
      </c>
    </row>
    <row r="30" spans="1:5" ht="12.75">
      <c r="A30" s="14">
        <v>2</v>
      </c>
      <c r="B30" s="22" t="s">
        <v>16</v>
      </c>
      <c r="C30" s="14"/>
      <c r="D30" s="22">
        <v>7138.11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D32+D33+D34+D35+D36+D37+D38+D39+D40+D41</f>
        <v>61624.17964</v>
      </c>
      <c r="E31" s="19"/>
    </row>
    <row r="32" spans="1:5" ht="12.75">
      <c r="A32" s="14"/>
      <c r="B32" s="14" t="s">
        <v>18</v>
      </c>
      <c r="C32" s="14"/>
      <c r="D32" s="18">
        <f>D19*4.7%</f>
        <v>13048.70964</v>
      </c>
      <c r="E32" s="14"/>
    </row>
    <row r="33" spans="1:5" ht="12.75">
      <c r="A33" s="14"/>
      <c r="B33" s="14" t="s">
        <v>19</v>
      </c>
      <c r="C33" s="14"/>
      <c r="D33" s="14">
        <v>1299.68</v>
      </c>
      <c r="E33" s="14"/>
    </row>
    <row r="34" spans="1:5" ht="12.75">
      <c r="A34" s="14"/>
      <c r="B34" s="395" t="s">
        <v>20</v>
      </c>
      <c r="C34" s="14"/>
      <c r="D34" s="14">
        <v>11552</v>
      </c>
      <c r="E34" s="14"/>
    </row>
    <row r="35" spans="1:5" ht="12.75">
      <c r="A35" s="14"/>
      <c r="B35" s="14" t="s">
        <v>21</v>
      </c>
      <c r="C35" s="14"/>
      <c r="D35" s="18">
        <f>8946.88+1807.27</f>
        <v>10754.15</v>
      </c>
      <c r="E35" s="18"/>
    </row>
    <row r="36" spans="1:5" ht="12.75">
      <c r="A36" s="14"/>
      <c r="B36" s="395" t="s">
        <v>29</v>
      </c>
      <c r="C36" s="14"/>
      <c r="D36" s="14">
        <f>390.44+38.95</f>
        <v>429.39</v>
      </c>
      <c r="E36" s="14"/>
    </row>
    <row r="37" spans="1:5" ht="12.75">
      <c r="A37" s="14"/>
      <c r="B37" s="395" t="s">
        <v>61</v>
      </c>
      <c r="C37" s="14"/>
      <c r="D37" s="14">
        <v>7635.2</v>
      </c>
      <c r="E37" s="14"/>
    </row>
    <row r="38" spans="1:5" ht="12.75">
      <c r="A38" s="14"/>
      <c r="B38" s="395" t="s">
        <v>105</v>
      </c>
      <c r="C38" s="14"/>
      <c r="D38" s="14">
        <v>9000</v>
      </c>
      <c r="E38" s="14"/>
    </row>
    <row r="39" spans="1:5" ht="12.75">
      <c r="A39" s="14"/>
      <c r="B39" s="395" t="s">
        <v>34</v>
      </c>
      <c r="C39" s="14"/>
      <c r="D39" s="14">
        <v>1026</v>
      </c>
      <c r="E39" s="14"/>
    </row>
    <row r="40" spans="1:5" ht="12.75">
      <c r="A40" s="14"/>
      <c r="B40" s="395" t="s">
        <v>62</v>
      </c>
      <c r="C40" s="14"/>
      <c r="D40" s="14">
        <v>2549.89</v>
      </c>
      <c r="E40" s="14"/>
    </row>
    <row r="41" spans="1:5" ht="12.75">
      <c r="A41" s="14"/>
      <c r="B41" s="14" t="s">
        <v>22</v>
      </c>
      <c r="C41" s="14"/>
      <c r="D41" s="14">
        <v>4329.16</v>
      </c>
      <c r="E41" s="14"/>
    </row>
    <row r="42" spans="1:5" ht="12.75">
      <c r="A42" s="14">
        <v>4</v>
      </c>
      <c r="B42" s="20" t="s">
        <v>199</v>
      </c>
      <c r="C42" s="14"/>
      <c r="D42" s="19">
        <v>58751.44</v>
      </c>
      <c r="E42" s="19"/>
    </row>
    <row r="43" spans="1:5" ht="12.75">
      <c r="A43" s="14">
        <v>5</v>
      </c>
      <c r="B43" s="20" t="s">
        <v>24</v>
      </c>
      <c r="C43" s="14"/>
      <c r="D43" s="19">
        <f>D22+E22+D28+E28+D31+E31+D42+E42</f>
        <v>334659.91904</v>
      </c>
      <c r="E43" s="14"/>
    </row>
    <row r="44" spans="1:5" ht="12.75">
      <c r="A44" s="14">
        <v>6</v>
      </c>
      <c r="B44" s="14" t="s">
        <v>33</v>
      </c>
      <c r="C44" s="14"/>
      <c r="D44" s="19">
        <f>D19*6%</f>
        <v>16657.9272</v>
      </c>
      <c r="E44" s="14"/>
    </row>
    <row r="45" spans="1:5" ht="12.75">
      <c r="A45" s="14">
        <v>7</v>
      </c>
      <c r="B45" s="20" t="s">
        <v>25</v>
      </c>
      <c r="C45" s="14"/>
      <c r="D45" s="19">
        <f>D43+D44</f>
        <v>351317.84624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>
        <v>8</v>
      </c>
      <c r="B47" s="20" t="s">
        <v>87</v>
      </c>
      <c r="C47" s="14"/>
      <c r="D47" s="19">
        <f>D19-D45</f>
        <v>-73685.72623999999</v>
      </c>
      <c r="E47" s="14"/>
    </row>
    <row r="48" spans="1:5" ht="12.75">
      <c r="A48" s="14">
        <v>9</v>
      </c>
      <c r="B48" s="20" t="s">
        <v>47</v>
      </c>
      <c r="C48" s="14"/>
      <c r="D48" s="19">
        <f>D11+D47</f>
        <v>-477149.22624</v>
      </c>
      <c r="E48" s="14"/>
    </row>
    <row r="49" spans="1:5" ht="12.75">
      <c r="A49" s="3"/>
      <c r="B49" s="426"/>
      <c r="C49" s="3"/>
      <c r="D49" s="429"/>
      <c r="E49" s="3"/>
    </row>
    <row r="50" spans="1:5" ht="12.75">
      <c r="A50" s="1"/>
      <c r="B50" s="1" t="s">
        <v>31</v>
      </c>
      <c r="C50" s="1"/>
      <c r="D50" s="1" t="s">
        <v>0</v>
      </c>
      <c r="E50" s="1"/>
    </row>
    <row r="51" spans="1:5" ht="12.75">
      <c r="A51" s="1"/>
      <c r="B51" s="1" t="s">
        <v>32</v>
      </c>
      <c r="C51" s="1"/>
      <c r="D51" s="1" t="s">
        <v>27</v>
      </c>
      <c r="E51" s="1"/>
    </row>
    <row r="55" spans="7:10" ht="12.75">
      <c r="G55" s="1"/>
      <c r="H55" s="1"/>
      <c r="I55" s="1"/>
      <c r="J55" s="1"/>
    </row>
    <row r="56" spans="13:17" ht="12.75">
      <c r="M56" s="1"/>
      <c r="N56" s="1"/>
      <c r="O56" s="1"/>
      <c r="P56" s="1"/>
      <c r="Q56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1" spans="3:5" ht="12.75">
      <c r="C61" s="1"/>
      <c r="E61" s="1"/>
    </row>
  </sheetData>
  <sheetProtection/>
  <mergeCells count="3">
    <mergeCell ref="D9:E9"/>
    <mergeCell ref="A6:C6"/>
    <mergeCell ref="D8:E8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zoomScalePageLayoutView="0" workbookViewId="0" topLeftCell="A1">
      <selection activeCell="A51" sqref="A1:IV51"/>
    </sheetView>
  </sheetViews>
  <sheetFormatPr defaultColWidth="9.00390625" defaultRowHeight="12.75"/>
  <cols>
    <col min="1" max="1" width="7.625" style="0" customWidth="1"/>
    <col min="2" max="2" width="42.375" style="0" customWidth="1"/>
    <col min="3" max="3" width="7.00390625" style="0" customWidth="1"/>
    <col min="4" max="4" width="10.625" style="0" customWidth="1"/>
    <col min="5" max="5" width="9.75390625" style="0" customWidth="1"/>
    <col min="7" max="7" width="5.625" style="0" customWidth="1"/>
    <col min="8" max="8" width="41.25390625" style="0" customWidth="1"/>
    <col min="10" max="10" width="12.00390625" style="0" customWidth="1"/>
    <col min="11" max="11" width="10.00390625" style="0" customWidth="1"/>
    <col min="13" max="13" width="6.125" style="0" customWidth="1"/>
    <col min="14" max="14" width="39.00390625" style="0" customWidth="1"/>
    <col min="16" max="16" width="10.625" style="0" customWidth="1"/>
    <col min="17" max="17" width="10.75390625" style="0" customWidth="1"/>
    <col min="19" max="19" width="4.75390625" style="0" customWidth="1"/>
    <col min="20" max="20" width="39.375" style="0" customWidth="1"/>
    <col min="22" max="22" width="12.00390625" style="0" customWidth="1"/>
    <col min="23" max="23" width="11.00390625" style="0" customWidth="1"/>
  </cols>
  <sheetData>
    <row r="1" spans="1:5" ht="15.75">
      <c r="A1" s="127"/>
      <c r="B1" s="128" t="s">
        <v>26</v>
      </c>
      <c r="C1" s="127"/>
      <c r="D1" s="127"/>
      <c r="E1" s="127"/>
    </row>
    <row r="2" spans="1:5" ht="12.75">
      <c r="A2" s="127"/>
      <c r="B2" s="127"/>
      <c r="C2" s="127"/>
      <c r="D2" s="127"/>
      <c r="E2" s="127"/>
    </row>
    <row r="3" spans="1:5" ht="12.75">
      <c r="A3" s="127"/>
      <c r="B3" s="127" t="s">
        <v>30</v>
      </c>
      <c r="C3" s="127"/>
      <c r="D3" s="127"/>
      <c r="E3" s="127"/>
    </row>
    <row r="4" spans="1:5" ht="12.75">
      <c r="A4" s="127"/>
      <c r="B4" s="453" t="s">
        <v>123</v>
      </c>
      <c r="C4" s="127"/>
      <c r="D4" s="127"/>
      <c r="E4" s="127"/>
    </row>
    <row r="5" spans="1:5" ht="12.75">
      <c r="A5" s="127"/>
      <c r="B5" s="127" t="s">
        <v>42</v>
      </c>
      <c r="C5" s="127"/>
      <c r="D5" s="127"/>
      <c r="E5" s="127"/>
    </row>
    <row r="6" spans="1:5" ht="12.75">
      <c r="A6" s="513"/>
      <c r="B6" s="513"/>
      <c r="C6" s="513"/>
      <c r="D6" s="23"/>
      <c r="E6" s="129"/>
    </row>
    <row r="7" spans="1:5" ht="12.75">
      <c r="A7" s="130"/>
      <c r="B7" s="130"/>
      <c r="C7" s="130"/>
      <c r="D7" s="131"/>
      <c r="E7" s="132"/>
    </row>
    <row r="8" spans="1:5" ht="15.75">
      <c r="A8" s="130"/>
      <c r="B8" s="133" t="s">
        <v>1</v>
      </c>
      <c r="C8" s="134" t="s">
        <v>3</v>
      </c>
      <c r="D8" s="514" t="s">
        <v>4</v>
      </c>
      <c r="E8" s="515"/>
    </row>
    <row r="9" spans="1:5" ht="15.75">
      <c r="A9" s="135"/>
      <c r="B9" s="133" t="s">
        <v>2</v>
      </c>
      <c r="C9" s="134" t="s">
        <v>35</v>
      </c>
      <c r="D9" s="516" t="s">
        <v>124</v>
      </c>
      <c r="E9" s="517"/>
    </row>
    <row r="10" spans="1:5" ht="12.75">
      <c r="A10" s="136"/>
      <c r="B10" s="136"/>
      <c r="C10" s="136"/>
      <c r="D10" s="137"/>
      <c r="E10" s="138"/>
    </row>
    <row r="11" spans="1:5" ht="12.75">
      <c r="A11" s="136"/>
      <c r="B11" s="411" t="s">
        <v>84</v>
      </c>
      <c r="C11" s="136"/>
      <c r="D11" s="137">
        <v>113839.17</v>
      </c>
      <c r="E11" s="138"/>
    </row>
    <row r="12" spans="1:5" ht="12.75">
      <c r="A12" s="139"/>
      <c r="B12" s="140" t="s">
        <v>5</v>
      </c>
      <c r="C12" s="139" t="s">
        <v>36</v>
      </c>
      <c r="D12" s="139">
        <v>4036</v>
      </c>
      <c r="E12" s="139"/>
    </row>
    <row r="13" spans="1:5" ht="12.75">
      <c r="A13" s="139"/>
      <c r="B13" s="140" t="s">
        <v>6</v>
      </c>
      <c r="C13" s="139" t="s">
        <v>36</v>
      </c>
      <c r="D13" s="139">
        <v>2430.8</v>
      </c>
      <c r="E13" s="139"/>
    </row>
    <row r="14" spans="1:5" ht="12.75">
      <c r="A14" s="139"/>
      <c r="B14" s="141" t="s">
        <v>28</v>
      </c>
      <c r="C14" s="139" t="s">
        <v>9</v>
      </c>
      <c r="D14" s="139">
        <v>92427.93</v>
      </c>
      <c r="E14" s="139"/>
    </row>
    <row r="15" spans="1:5" ht="12.75">
      <c r="A15" s="139"/>
      <c r="B15" s="139"/>
      <c r="C15" s="139"/>
      <c r="D15" s="139"/>
      <c r="E15" s="139"/>
    </row>
    <row r="16" spans="1:5" ht="15.75">
      <c r="A16" s="139"/>
      <c r="B16" s="142" t="s">
        <v>7</v>
      </c>
      <c r="C16" s="139"/>
      <c r="D16" s="139"/>
      <c r="E16" s="139"/>
    </row>
    <row r="17" spans="1:5" ht="12.75">
      <c r="A17" s="139">
        <v>1</v>
      </c>
      <c r="B17" s="139" t="s">
        <v>8</v>
      </c>
      <c r="C17" s="139" t="s">
        <v>9</v>
      </c>
      <c r="D17" s="139">
        <v>85555.98</v>
      </c>
      <c r="E17" s="139"/>
    </row>
    <row r="18" spans="1:5" ht="12.75">
      <c r="A18" s="139">
        <v>2</v>
      </c>
      <c r="B18" s="368" t="s">
        <v>63</v>
      </c>
      <c r="C18" s="139"/>
      <c r="D18" s="139">
        <v>156000</v>
      </c>
      <c r="E18" s="139"/>
    </row>
    <row r="19" spans="1:5" ht="15.75">
      <c r="A19" s="139"/>
      <c r="B19" s="142" t="s">
        <v>10</v>
      </c>
      <c r="C19" s="139"/>
      <c r="D19" s="144">
        <f>D17+D18</f>
        <v>241555.97999999998</v>
      </c>
      <c r="E19" s="139"/>
    </row>
    <row r="20" spans="1:5" ht="15.75">
      <c r="A20" s="139"/>
      <c r="B20" s="142"/>
      <c r="C20" s="139"/>
      <c r="D20" s="143"/>
      <c r="E20" s="139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20">
        <f>D23+D27</f>
        <v>15192.59</v>
      </c>
      <c r="E22" s="19">
        <f>E23</f>
        <v>2894.1469199999997</v>
      </c>
    </row>
    <row r="23" spans="1:5" ht="12.75">
      <c r="A23" s="14">
        <v>1</v>
      </c>
      <c r="B23" s="20" t="s">
        <v>11</v>
      </c>
      <c r="C23" s="395" t="s">
        <v>9</v>
      </c>
      <c r="D23" s="20">
        <f>D24+D26</f>
        <v>14327.460000000001</v>
      </c>
      <c r="E23" s="19">
        <f>E24+E25+E26</f>
        <v>2894.1469199999997</v>
      </c>
    </row>
    <row r="24" spans="1:5" ht="12.75">
      <c r="A24" s="14"/>
      <c r="B24" s="14" t="s">
        <v>12</v>
      </c>
      <c r="C24" s="14"/>
      <c r="D24" s="14">
        <v>13540.52</v>
      </c>
      <c r="E24" s="18">
        <f>D24*20.2%</f>
        <v>2735.18504</v>
      </c>
    </row>
    <row r="25" spans="1:5" ht="12.75">
      <c r="A25" s="14"/>
      <c r="B25" s="14" t="s">
        <v>13</v>
      </c>
      <c r="C25" s="14"/>
      <c r="D25" s="396"/>
      <c r="E25" s="18">
        <f>D25*20.2%</f>
        <v>0</v>
      </c>
    </row>
    <row r="26" spans="1:5" ht="12.75">
      <c r="A26" s="14"/>
      <c r="B26" s="22" t="s">
        <v>112</v>
      </c>
      <c r="C26" s="14"/>
      <c r="D26" s="14">
        <v>786.94</v>
      </c>
      <c r="E26" s="18">
        <f>D26*20.2%</f>
        <v>158.96188</v>
      </c>
    </row>
    <row r="27" spans="1:5" ht="12.75">
      <c r="A27" s="14">
        <v>2</v>
      </c>
      <c r="B27" s="395" t="s">
        <v>16</v>
      </c>
      <c r="C27" s="14"/>
      <c r="D27" s="14">
        <v>865.13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D29+D30+D31</f>
        <v>51892.94</v>
      </c>
      <c r="E28" s="19">
        <f>E29</f>
        <v>4528.01988</v>
      </c>
    </row>
    <row r="29" spans="1:5" ht="12.75">
      <c r="A29" s="14">
        <v>1</v>
      </c>
      <c r="B29" s="22" t="s">
        <v>70</v>
      </c>
      <c r="C29" s="14"/>
      <c r="D29" s="22">
        <v>22415.94</v>
      </c>
      <c r="E29" s="18">
        <f>D29*20.2%</f>
        <v>4528.01988</v>
      </c>
    </row>
    <row r="30" spans="1:5" ht="12.75">
      <c r="A30" s="14">
        <v>2</v>
      </c>
      <c r="B30" s="22" t="s">
        <v>16</v>
      </c>
      <c r="C30" s="14"/>
      <c r="D30" s="22">
        <f>17099.1+2877.9</f>
        <v>19977</v>
      </c>
      <c r="E30" s="14"/>
    </row>
    <row r="31" spans="1:5" ht="12.75">
      <c r="A31" s="14">
        <v>3</v>
      </c>
      <c r="B31" s="22" t="s">
        <v>107</v>
      </c>
      <c r="C31" s="14"/>
      <c r="D31" s="22">
        <v>9500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D33+D34+D35+D36+D37+D38+D39+D40</f>
        <v>25234.898999999998</v>
      </c>
      <c r="E32" s="19">
        <f>E36</f>
        <v>679.29166</v>
      </c>
    </row>
    <row r="33" spans="1:5" ht="12.75">
      <c r="A33" s="14"/>
      <c r="B33" s="14" t="s">
        <v>18</v>
      </c>
      <c r="C33" s="14"/>
      <c r="D33" s="18">
        <f>D19*5%</f>
        <v>12077.798999999999</v>
      </c>
      <c r="E33" s="14"/>
    </row>
    <row r="34" spans="1:5" ht="12.75">
      <c r="A34" s="14"/>
      <c r="B34" s="14" t="s">
        <v>19</v>
      </c>
      <c r="C34" s="14"/>
      <c r="D34" s="14">
        <v>466.5</v>
      </c>
      <c r="E34" s="14"/>
    </row>
    <row r="35" spans="1:5" ht="12.75">
      <c r="A35" s="14"/>
      <c r="B35" s="22" t="s">
        <v>20</v>
      </c>
      <c r="C35" s="14"/>
      <c r="D35" s="14">
        <v>5776</v>
      </c>
      <c r="E35" s="14"/>
    </row>
    <row r="36" spans="1:5" ht="12.75">
      <c r="A36" s="14"/>
      <c r="B36" s="14" t="s">
        <v>21</v>
      </c>
      <c r="C36" s="14"/>
      <c r="D36" s="18">
        <v>3362.83</v>
      </c>
      <c r="E36" s="18">
        <f>D36*20.2%</f>
        <v>679.29166</v>
      </c>
    </row>
    <row r="37" spans="1:5" ht="12.75">
      <c r="A37" s="14"/>
      <c r="B37" s="22" t="s">
        <v>29</v>
      </c>
      <c r="C37" s="14"/>
      <c r="D37" s="14">
        <f>195.22+38.95</f>
        <v>234.17000000000002</v>
      </c>
      <c r="E37" s="14"/>
    </row>
    <row r="38" spans="1:5" ht="12.75">
      <c r="A38" s="14"/>
      <c r="B38" s="395" t="s">
        <v>62</v>
      </c>
      <c r="C38" s="14"/>
      <c r="D38" s="14">
        <v>958.42</v>
      </c>
      <c r="E38" s="14"/>
    </row>
    <row r="39" spans="1:5" ht="12.75">
      <c r="A39" s="14"/>
      <c r="B39" s="14" t="s">
        <v>22</v>
      </c>
      <c r="C39" s="14"/>
      <c r="D39" s="14">
        <v>1627.18</v>
      </c>
      <c r="E39" s="14"/>
    </row>
    <row r="40" spans="1:5" ht="12.75">
      <c r="A40" s="14"/>
      <c r="B40" s="22" t="s">
        <v>34</v>
      </c>
      <c r="C40" s="14"/>
      <c r="D40" s="14">
        <v>732</v>
      </c>
      <c r="E40" s="14"/>
    </row>
    <row r="41" spans="1:5" ht="12.75">
      <c r="A41" s="14">
        <v>4</v>
      </c>
      <c r="B41" s="20" t="s">
        <v>199</v>
      </c>
      <c r="C41" s="14"/>
      <c r="D41" s="19">
        <v>27831.03</v>
      </c>
      <c r="E41" s="19"/>
    </row>
    <row r="42" spans="1:5" ht="12.75">
      <c r="A42" s="14">
        <v>5</v>
      </c>
      <c r="B42" s="20" t="s">
        <v>24</v>
      </c>
      <c r="C42" s="14"/>
      <c r="D42" s="19">
        <f>D22+E22+D28+E28+D32+E32+D41+E41</f>
        <v>128252.91746000001</v>
      </c>
      <c r="E42" s="14"/>
    </row>
    <row r="43" spans="1:5" ht="12.75">
      <c r="A43" s="14">
        <v>6</v>
      </c>
      <c r="B43" s="14" t="s">
        <v>33</v>
      </c>
      <c r="C43" s="14"/>
      <c r="D43" s="19">
        <f>D19*6%</f>
        <v>14493.358799999998</v>
      </c>
      <c r="E43" s="14"/>
    </row>
    <row r="44" spans="1:5" ht="12.75">
      <c r="A44" s="14">
        <v>7</v>
      </c>
      <c r="B44" s="20" t="s">
        <v>25</v>
      </c>
      <c r="C44" s="14"/>
      <c r="D44" s="19">
        <f>D42+D43</f>
        <v>142746.27626</v>
      </c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>
        <v>8</v>
      </c>
      <c r="B46" s="20" t="s">
        <v>87</v>
      </c>
      <c r="C46" s="14"/>
      <c r="D46" s="19">
        <f>D19-D44</f>
        <v>98809.70373999997</v>
      </c>
      <c r="E46" s="14"/>
    </row>
    <row r="47" spans="1:5" ht="12.75">
      <c r="A47" s="14">
        <v>9</v>
      </c>
      <c r="B47" s="20" t="s">
        <v>47</v>
      </c>
      <c r="C47" s="14"/>
      <c r="D47" s="19">
        <f>D11+D46</f>
        <v>212648.87373999995</v>
      </c>
      <c r="E47" s="14"/>
    </row>
    <row r="48" spans="1:5" ht="12.75">
      <c r="A48" s="3"/>
      <c r="B48" s="426"/>
      <c r="C48" s="3"/>
      <c r="D48" s="429"/>
      <c r="E48" s="3"/>
    </row>
    <row r="49" spans="1:5" ht="12.75">
      <c r="A49" s="1"/>
      <c r="B49" s="1" t="s">
        <v>31</v>
      </c>
      <c r="C49" s="1"/>
      <c r="D49" s="1" t="s">
        <v>0</v>
      </c>
      <c r="E49" s="1"/>
    </row>
    <row r="50" spans="1:5" ht="12.75">
      <c r="A50" s="1"/>
      <c r="B50" s="1" t="s">
        <v>32</v>
      </c>
      <c r="C50" s="1"/>
      <c r="D50" s="1" t="s">
        <v>27</v>
      </c>
      <c r="E50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zoomScalePageLayoutView="0" workbookViewId="0" topLeftCell="A20">
      <selection activeCell="H36" sqref="H36"/>
    </sheetView>
  </sheetViews>
  <sheetFormatPr defaultColWidth="9.00390625" defaultRowHeight="12.75"/>
  <cols>
    <col min="1" max="1" width="6.25390625" style="0" customWidth="1"/>
    <col min="2" max="2" width="42.125" style="0" customWidth="1"/>
    <col min="3" max="3" width="6.625" style="0" customWidth="1"/>
    <col min="4" max="4" width="11.375" style="0" customWidth="1"/>
    <col min="5" max="5" width="9.75390625" style="0" customWidth="1"/>
    <col min="7" max="7" width="3.75390625" style="0" customWidth="1"/>
    <col min="8" max="8" width="41.375" style="0" customWidth="1"/>
    <col min="10" max="10" width="10.625" style="0" customWidth="1"/>
    <col min="13" max="13" width="6.875" style="0" customWidth="1"/>
    <col min="14" max="14" width="38.00390625" style="0" customWidth="1"/>
    <col min="16" max="16" width="11.875" style="0" customWidth="1"/>
    <col min="19" max="19" width="4.875" style="0" customWidth="1"/>
    <col min="20" max="20" width="39.75390625" style="0" customWidth="1"/>
    <col min="22" max="22" width="12.125" style="0" customWidth="1"/>
  </cols>
  <sheetData>
    <row r="1" spans="1:5" ht="15.75">
      <c r="A1" s="145"/>
      <c r="B1" s="146" t="s">
        <v>26</v>
      </c>
      <c r="C1" s="145"/>
      <c r="D1" s="145"/>
      <c r="E1" s="145"/>
    </row>
    <row r="2" spans="1:5" ht="12.75">
      <c r="A2" s="145"/>
      <c r="B2" s="145"/>
      <c r="C2" s="145"/>
      <c r="D2" s="145"/>
      <c r="E2" s="145"/>
    </row>
    <row r="3" spans="1:5" ht="12.75">
      <c r="A3" s="145"/>
      <c r="B3" s="145" t="s">
        <v>30</v>
      </c>
      <c r="C3" s="145"/>
      <c r="D3" s="145"/>
      <c r="E3" s="145"/>
    </row>
    <row r="4" spans="1:5" ht="12.75">
      <c r="A4" s="145"/>
      <c r="B4" s="454" t="s">
        <v>125</v>
      </c>
      <c r="C4" s="145"/>
      <c r="D4" s="145"/>
      <c r="E4" s="145"/>
    </row>
    <row r="5" spans="1:5" ht="12.75">
      <c r="A5" s="145"/>
      <c r="B5" s="145" t="s">
        <v>45</v>
      </c>
      <c r="C5" s="145"/>
      <c r="D5" s="145"/>
      <c r="E5" s="145"/>
    </row>
    <row r="6" spans="1:5" ht="12.75">
      <c r="A6" s="518"/>
      <c r="B6" s="518"/>
      <c r="C6" s="518"/>
      <c r="D6" s="147"/>
      <c r="E6" s="148"/>
    </row>
    <row r="7" spans="1:5" ht="12.75">
      <c r="A7" s="149"/>
      <c r="B7" s="149"/>
      <c r="C7" s="149"/>
      <c r="D7" s="150"/>
      <c r="E7" s="151"/>
    </row>
    <row r="8" spans="1:5" ht="15.75">
      <c r="A8" s="149"/>
      <c r="B8" s="152" t="s">
        <v>1</v>
      </c>
      <c r="C8" s="153" t="s">
        <v>3</v>
      </c>
      <c r="D8" s="519" t="s">
        <v>4</v>
      </c>
      <c r="E8" s="520"/>
    </row>
    <row r="9" spans="1:5" ht="15.75">
      <c r="A9" s="154"/>
      <c r="B9" s="152" t="s">
        <v>2</v>
      </c>
      <c r="C9" s="153" t="s">
        <v>35</v>
      </c>
      <c r="D9" s="521" t="s">
        <v>121</v>
      </c>
      <c r="E9" s="522"/>
    </row>
    <row r="10" spans="1:5" ht="12.75">
      <c r="A10" s="155"/>
      <c r="B10" s="155"/>
      <c r="C10" s="155"/>
      <c r="D10" s="156"/>
      <c r="E10" s="157"/>
    </row>
    <row r="11" spans="1:5" ht="12.75">
      <c r="A11" s="155"/>
      <c r="B11" s="412" t="s">
        <v>80</v>
      </c>
      <c r="C11" s="155"/>
      <c r="D11" s="156">
        <v>-111427.66</v>
      </c>
      <c r="E11" s="157"/>
    </row>
    <row r="12" spans="1:5" ht="12.75">
      <c r="A12" s="158"/>
      <c r="B12" s="159" t="s">
        <v>5</v>
      </c>
      <c r="C12" s="158" t="s">
        <v>36</v>
      </c>
      <c r="D12" s="158">
        <v>8085.8</v>
      </c>
      <c r="E12" s="158"/>
    </row>
    <row r="13" spans="1:5" ht="12.75">
      <c r="A13" s="158"/>
      <c r="B13" s="159" t="s">
        <v>6</v>
      </c>
      <c r="C13" s="158" t="s">
        <v>36</v>
      </c>
      <c r="D13" s="158">
        <v>6343.7</v>
      </c>
      <c r="E13" s="158"/>
    </row>
    <row r="14" spans="1:5" ht="12.75">
      <c r="A14" s="158"/>
      <c r="B14" s="160" t="s">
        <v>28</v>
      </c>
      <c r="C14" s="158" t="s">
        <v>9</v>
      </c>
      <c r="D14" s="158">
        <v>265082.68</v>
      </c>
      <c r="E14" s="158"/>
    </row>
    <row r="15" spans="1:5" ht="12.75">
      <c r="A15" s="158"/>
      <c r="B15" s="158"/>
      <c r="C15" s="158"/>
      <c r="D15" s="158"/>
      <c r="E15" s="158"/>
    </row>
    <row r="16" spans="1:5" ht="15.75">
      <c r="A16" s="158"/>
      <c r="B16" s="161" t="s">
        <v>7</v>
      </c>
      <c r="C16" s="158"/>
      <c r="D16" s="158"/>
      <c r="E16" s="158"/>
    </row>
    <row r="17" spans="1:5" ht="12.75">
      <c r="A17" s="158">
        <v>1</v>
      </c>
      <c r="B17" s="158" t="s">
        <v>8</v>
      </c>
      <c r="C17" s="158" t="s">
        <v>9</v>
      </c>
      <c r="D17" s="158">
        <v>258378.52</v>
      </c>
      <c r="E17" s="158"/>
    </row>
    <row r="18" spans="1:5" ht="12.75">
      <c r="A18" s="158">
        <v>2</v>
      </c>
      <c r="B18" s="158" t="s">
        <v>104</v>
      </c>
      <c r="C18" s="158"/>
      <c r="D18" s="158">
        <v>7200</v>
      </c>
      <c r="E18" s="158"/>
    </row>
    <row r="19" spans="1:5" ht="15.75">
      <c r="A19" s="158"/>
      <c r="B19" s="161" t="s">
        <v>10</v>
      </c>
      <c r="C19" s="158"/>
      <c r="D19" s="162">
        <f>D17+D18</f>
        <v>265578.52</v>
      </c>
      <c r="E19" s="158"/>
    </row>
    <row r="20" spans="1:5" ht="15.75">
      <c r="A20" s="158"/>
      <c r="B20" s="161"/>
      <c r="C20" s="158"/>
      <c r="D20" s="162"/>
      <c r="E20" s="15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19">
        <f>D23+D27</f>
        <v>72799.5</v>
      </c>
      <c r="E22" s="19">
        <f>E23</f>
        <v>14249.43148</v>
      </c>
    </row>
    <row r="23" spans="1:5" ht="12.75">
      <c r="A23" s="14">
        <v>1</v>
      </c>
      <c r="B23" s="20" t="s">
        <v>11</v>
      </c>
      <c r="C23" s="395" t="s">
        <v>9</v>
      </c>
      <c r="D23" s="19">
        <f>D24+D25+D26</f>
        <v>70541.74</v>
      </c>
      <c r="E23" s="19">
        <f>E24+E25+E26</f>
        <v>14249.43148</v>
      </c>
    </row>
    <row r="24" spans="1:5" ht="12.75">
      <c r="A24" s="14"/>
      <c r="B24" s="14" t="s">
        <v>12</v>
      </c>
      <c r="C24" s="14"/>
      <c r="D24" s="14">
        <v>18944.17</v>
      </c>
      <c r="E24" s="18">
        <f>D24*20.2%</f>
        <v>3826.7223399999993</v>
      </c>
    </row>
    <row r="25" spans="1:5" ht="12.75">
      <c r="A25" s="14"/>
      <c r="B25" s="14" t="s">
        <v>13</v>
      </c>
      <c r="C25" s="14"/>
      <c r="D25" s="396">
        <v>25669.8</v>
      </c>
      <c r="E25" s="18">
        <f>D25*20.2%</f>
        <v>5185.299599999999</v>
      </c>
    </row>
    <row r="26" spans="1:5" ht="12.75">
      <c r="A26" s="14"/>
      <c r="B26" s="14" t="s">
        <v>14</v>
      </c>
      <c r="C26" s="14"/>
      <c r="D26" s="14">
        <v>25927.77</v>
      </c>
      <c r="E26" s="18">
        <f>D26*20.2%</f>
        <v>5237.40954</v>
      </c>
    </row>
    <row r="27" spans="1:5" ht="12.75">
      <c r="A27" s="14">
        <v>2</v>
      </c>
      <c r="B27" s="395" t="s">
        <v>16</v>
      </c>
      <c r="C27" s="14"/>
      <c r="D27" s="14">
        <v>2257.76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66983.11</v>
      </c>
      <c r="E28" s="19">
        <f>E29</f>
        <v>11816.852539999998</v>
      </c>
    </row>
    <row r="29" spans="1:5" ht="12.75">
      <c r="A29" s="14">
        <v>1</v>
      </c>
      <c r="B29" s="22" t="s">
        <v>70</v>
      </c>
      <c r="C29" s="14"/>
      <c r="D29" s="22">
        <v>58499.27</v>
      </c>
      <c r="E29" s="18">
        <f>D29*20.2%</f>
        <v>11816.852539999998</v>
      </c>
    </row>
    <row r="30" spans="1:5" ht="12.75">
      <c r="A30" s="14">
        <v>2</v>
      </c>
      <c r="B30" s="22" t="s">
        <v>16</v>
      </c>
      <c r="C30" s="14"/>
      <c r="D30" s="22">
        <v>8483.84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D32+D33+D34+D35+D36+D37+D38+D39</f>
        <v>41508.92599999999</v>
      </c>
      <c r="E31" s="19"/>
    </row>
    <row r="32" spans="1:5" ht="12.75">
      <c r="A32" s="14"/>
      <c r="B32" s="14" t="s">
        <v>18</v>
      </c>
      <c r="C32" s="14"/>
      <c r="D32" s="18">
        <f>D19*5%</f>
        <v>13278.926000000001</v>
      </c>
      <c r="E32" s="14"/>
    </row>
    <row r="33" spans="1:5" ht="12.75">
      <c r="A33" s="14"/>
      <c r="B33" s="14" t="s">
        <v>19</v>
      </c>
      <c r="C33" s="14"/>
      <c r="D33" s="14">
        <v>456.37</v>
      </c>
      <c r="E33" s="14"/>
    </row>
    <row r="34" spans="1:5" ht="12.75">
      <c r="A34" s="14"/>
      <c r="B34" s="22" t="s">
        <v>20</v>
      </c>
      <c r="C34" s="14"/>
      <c r="D34" s="14">
        <v>2888</v>
      </c>
      <c r="E34" s="14"/>
    </row>
    <row r="35" spans="1:5" ht="12.75">
      <c r="A35" s="14"/>
      <c r="B35" s="14" t="s">
        <v>21</v>
      </c>
      <c r="C35" s="14"/>
      <c r="D35" s="18">
        <f>8776.03+1772.76</f>
        <v>10548.79</v>
      </c>
      <c r="E35" s="18"/>
    </row>
    <row r="36" spans="1:5" ht="12.75">
      <c r="A36" s="14"/>
      <c r="B36" s="22" t="s">
        <v>29</v>
      </c>
      <c r="C36" s="14"/>
      <c r="D36" s="14">
        <f>195.22+38.95</f>
        <v>234.17000000000002</v>
      </c>
      <c r="E36" s="14"/>
    </row>
    <row r="37" spans="1:5" ht="12.75">
      <c r="A37" s="14"/>
      <c r="B37" s="395" t="s">
        <v>61</v>
      </c>
      <c r="C37" s="14"/>
      <c r="D37" s="14">
        <v>7354.99</v>
      </c>
      <c r="E37" s="14"/>
    </row>
    <row r="38" spans="1:5" ht="12.75">
      <c r="A38" s="14"/>
      <c r="B38" s="395" t="s">
        <v>62</v>
      </c>
      <c r="C38" s="14"/>
      <c r="D38" s="14">
        <v>2501.2</v>
      </c>
      <c r="E38" s="14"/>
    </row>
    <row r="39" spans="1:5" ht="12.75">
      <c r="A39" s="14"/>
      <c r="B39" s="14" t="s">
        <v>22</v>
      </c>
      <c r="C39" s="14"/>
      <c r="D39" s="14">
        <v>4246.48</v>
      </c>
      <c r="E39" s="14"/>
    </row>
    <row r="40" spans="1:5" ht="12.75">
      <c r="A40" s="14">
        <v>4</v>
      </c>
      <c r="B40" s="20" t="s">
        <v>23</v>
      </c>
      <c r="C40" s="14"/>
      <c r="D40" s="19">
        <f>46902.07+7096.83</f>
        <v>53998.9</v>
      </c>
      <c r="E40" s="19"/>
    </row>
    <row r="41" spans="1:5" ht="12.75">
      <c r="A41" s="14">
        <v>5</v>
      </c>
      <c r="B41" s="20" t="s">
        <v>24</v>
      </c>
      <c r="C41" s="14"/>
      <c r="D41" s="19">
        <f>D22+E22+D28+E28+D31+E31+D40+E40</f>
        <v>261356.72001999998</v>
      </c>
      <c r="E41" s="14"/>
    </row>
    <row r="42" spans="1:5" ht="12.75">
      <c r="A42" s="14">
        <v>6</v>
      </c>
      <c r="B42" s="14" t="s">
        <v>33</v>
      </c>
      <c r="C42" s="14"/>
      <c r="D42" s="19">
        <f>D19*6%</f>
        <v>15934.7112</v>
      </c>
      <c r="E42" s="14"/>
    </row>
    <row r="43" spans="1:5" ht="12.75">
      <c r="A43" s="14">
        <v>7</v>
      </c>
      <c r="B43" s="20" t="s">
        <v>25</v>
      </c>
      <c r="C43" s="14"/>
      <c r="D43" s="19">
        <f>D41+D42</f>
        <v>277291.43121999997</v>
      </c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>
        <v>8</v>
      </c>
      <c r="B45" s="20" t="s">
        <v>87</v>
      </c>
      <c r="C45" s="14"/>
      <c r="D45" s="19">
        <f>D19-D43</f>
        <v>-11712.91121999995</v>
      </c>
      <c r="E45" s="14"/>
    </row>
    <row r="46" spans="1:5" ht="12.75">
      <c r="A46" s="14">
        <v>9</v>
      </c>
      <c r="B46" s="20" t="s">
        <v>47</v>
      </c>
      <c r="C46" s="14"/>
      <c r="D46" s="19">
        <f>D11+D45</f>
        <v>-123140.57121999995</v>
      </c>
      <c r="E46" s="14"/>
    </row>
    <row r="47" spans="1:5" ht="12.75">
      <c r="A47" s="3"/>
      <c r="B47" s="426"/>
      <c r="C47" s="3"/>
      <c r="D47" s="429"/>
      <c r="E47" s="3"/>
    </row>
    <row r="48" spans="1:5" ht="12.75">
      <c r="A48" s="3"/>
      <c r="B48" s="426"/>
      <c r="C48" s="3"/>
      <c r="D48" s="429"/>
      <c r="E48" s="3"/>
    </row>
    <row r="49" spans="1:5" ht="12.75">
      <c r="A49" s="1"/>
      <c r="B49" s="1" t="s">
        <v>31</v>
      </c>
      <c r="C49" s="1"/>
      <c r="D49" s="1" t="s">
        <v>0</v>
      </c>
      <c r="E49" s="1"/>
    </row>
    <row r="50" spans="1:5" ht="12.75">
      <c r="A50" s="1"/>
      <c r="B50" s="1" t="s">
        <v>32</v>
      </c>
      <c r="C50" s="1"/>
      <c r="D50" s="1" t="s">
        <v>27</v>
      </c>
      <c r="E50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zoomScaleSheetLayoutView="100" zoomScalePageLayoutView="0" workbookViewId="0" topLeftCell="A25">
      <selection activeCell="D48" sqref="D48"/>
    </sheetView>
  </sheetViews>
  <sheetFormatPr defaultColWidth="9.00390625" defaultRowHeight="12.75"/>
  <cols>
    <col min="1" max="1" width="6.00390625" style="0" customWidth="1"/>
    <col min="2" max="2" width="41.75390625" style="0" customWidth="1"/>
    <col min="3" max="3" width="6.75390625" style="0" customWidth="1"/>
    <col min="4" max="4" width="10.25390625" style="0" customWidth="1"/>
    <col min="5" max="5" width="10.875" style="0" customWidth="1"/>
    <col min="7" max="7" width="3.75390625" style="0" customWidth="1"/>
    <col min="8" max="8" width="39.00390625" style="0" customWidth="1"/>
    <col min="10" max="10" width="10.625" style="0" customWidth="1"/>
    <col min="13" max="13" width="6.25390625" style="0" customWidth="1"/>
    <col min="14" max="14" width="41.375" style="0" customWidth="1"/>
    <col min="15" max="15" width="8.125" style="0" customWidth="1"/>
    <col min="16" max="16" width="10.375" style="0" customWidth="1"/>
    <col min="19" max="19" width="4.625" style="0" customWidth="1"/>
    <col min="20" max="20" width="39.625" style="0" customWidth="1"/>
    <col min="22" max="22" width="11.625" style="0" customWidth="1"/>
  </cols>
  <sheetData>
    <row r="1" spans="1:6" ht="15.75">
      <c r="A1" s="163"/>
      <c r="B1" s="164" t="s">
        <v>26</v>
      </c>
      <c r="C1" s="163"/>
      <c r="D1" s="163"/>
      <c r="E1" s="163"/>
      <c r="F1" s="163"/>
    </row>
    <row r="2" spans="1:6" ht="12.75">
      <c r="A2" s="163"/>
      <c r="B2" s="163"/>
      <c r="C2" s="163"/>
      <c r="D2" s="163"/>
      <c r="E2" s="163"/>
      <c r="F2" s="163"/>
    </row>
    <row r="3" spans="1:6" ht="12.75">
      <c r="A3" s="163"/>
      <c r="B3" s="163" t="s">
        <v>30</v>
      </c>
      <c r="C3" s="163"/>
      <c r="D3" s="163"/>
      <c r="E3" s="163"/>
      <c r="F3" s="163"/>
    </row>
    <row r="4" spans="1:6" ht="12.75">
      <c r="A4" s="163"/>
      <c r="B4" s="455" t="s">
        <v>126</v>
      </c>
      <c r="C4" s="163"/>
      <c r="D4" s="163"/>
      <c r="E4" s="163"/>
      <c r="F4" s="163"/>
    </row>
    <row r="5" spans="1:6" ht="12.75">
      <c r="A5" s="165"/>
      <c r="B5" s="163" t="s">
        <v>44</v>
      </c>
      <c r="C5" s="163"/>
      <c r="D5" s="163"/>
      <c r="E5" s="163"/>
      <c r="F5" s="163"/>
    </row>
    <row r="6" spans="1:6" ht="12.75">
      <c r="A6" s="432"/>
      <c r="B6" s="432"/>
      <c r="C6" s="432"/>
      <c r="D6" s="167"/>
      <c r="E6" s="433"/>
      <c r="F6" s="168"/>
    </row>
    <row r="7" spans="1:6" ht="15.75">
      <c r="A7" s="166"/>
      <c r="B7" s="169" t="s">
        <v>1</v>
      </c>
      <c r="C7" s="170" t="s">
        <v>3</v>
      </c>
      <c r="D7" s="525" t="s">
        <v>4</v>
      </c>
      <c r="E7" s="526"/>
      <c r="F7" s="163"/>
    </row>
    <row r="8" spans="1:6" ht="15.75">
      <c r="A8" s="171"/>
      <c r="B8" s="169" t="s">
        <v>2</v>
      </c>
      <c r="C8" s="170" t="s">
        <v>35</v>
      </c>
      <c r="D8" s="523" t="s">
        <v>121</v>
      </c>
      <c r="E8" s="524"/>
      <c r="F8" s="163"/>
    </row>
    <row r="9" spans="1:6" ht="12.75">
      <c r="A9" s="172"/>
      <c r="B9" s="172"/>
      <c r="C9" s="172"/>
      <c r="D9" s="173"/>
      <c r="E9" s="174"/>
      <c r="F9" s="163"/>
    </row>
    <row r="10" spans="1:6" ht="12.75">
      <c r="A10" s="172"/>
      <c r="B10" s="413" t="s">
        <v>98</v>
      </c>
      <c r="C10" s="172"/>
      <c r="D10" s="173">
        <v>-199242.54</v>
      </c>
      <c r="E10" s="174"/>
      <c r="F10" s="163"/>
    </row>
    <row r="11" spans="1:6" ht="12.75">
      <c r="A11" s="172"/>
      <c r="B11" s="413" t="s">
        <v>127</v>
      </c>
      <c r="C11" s="172"/>
      <c r="D11" s="173">
        <v>98014.92</v>
      </c>
      <c r="E11" s="174"/>
      <c r="F11" s="163"/>
    </row>
    <row r="12" spans="1:6" ht="12.75">
      <c r="A12" s="175"/>
      <c r="B12" s="176" t="s">
        <v>5</v>
      </c>
      <c r="C12" s="175" t="s">
        <v>36</v>
      </c>
      <c r="D12" s="175">
        <v>3011.34</v>
      </c>
      <c r="E12" s="175"/>
      <c r="F12" s="163"/>
    </row>
    <row r="13" spans="1:6" ht="12.75">
      <c r="A13" s="175"/>
      <c r="B13" s="176" t="s">
        <v>6</v>
      </c>
      <c r="C13" s="175" t="s">
        <v>36</v>
      </c>
      <c r="D13" s="181">
        <v>2135</v>
      </c>
      <c r="E13" s="175"/>
      <c r="F13" s="163"/>
    </row>
    <row r="14" spans="1:6" ht="12.75">
      <c r="A14" s="175"/>
      <c r="B14" s="177" t="s">
        <v>28</v>
      </c>
      <c r="C14" s="175" t="s">
        <v>38</v>
      </c>
      <c r="D14" s="175">
        <v>88887.18</v>
      </c>
      <c r="E14" s="175"/>
      <c r="F14" s="163"/>
    </row>
    <row r="15" spans="1:6" ht="12.75">
      <c r="A15" s="175"/>
      <c r="B15" s="175"/>
      <c r="C15" s="175"/>
      <c r="D15" s="175"/>
      <c r="E15" s="175"/>
      <c r="F15" s="163"/>
    </row>
    <row r="16" spans="1:6" ht="15.75">
      <c r="A16" s="175"/>
      <c r="B16" s="178" t="s">
        <v>7</v>
      </c>
      <c r="C16" s="175"/>
      <c r="D16" s="175"/>
      <c r="E16" s="175"/>
      <c r="F16" s="163"/>
    </row>
    <row r="17" spans="1:6" ht="12.75">
      <c r="A17" s="175">
        <v>1</v>
      </c>
      <c r="B17" s="175" t="s">
        <v>8</v>
      </c>
      <c r="C17" s="175" t="s">
        <v>9</v>
      </c>
      <c r="D17" s="181">
        <v>82597.23</v>
      </c>
      <c r="E17" s="175"/>
      <c r="F17" s="163"/>
    </row>
    <row r="18" spans="1:6" ht="12.75">
      <c r="A18" s="175">
        <v>2</v>
      </c>
      <c r="B18" s="175" t="s">
        <v>88</v>
      </c>
      <c r="C18" s="175"/>
      <c r="D18" s="175">
        <v>38652.7</v>
      </c>
      <c r="E18" s="175"/>
      <c r="F18" s="163"/>
    </row>
    <row r="19" spans="1:6" ht="12.75">
      <c r="A19" s="175">
        <v>3</v>
      </c>
      <c r="B19" s="175" t="s">
        <v>104</v>
      </c>
      <c r="C19" s="175"/>
      <c r="D19" s="175">
        <f>6000+2400</f>
        <v>8400</v>
      </c>
      <c r="E19" s="175"/>
      <c r="F19" s="163"/>
    </row>
    <row r="20" spans="1:6" ht="15.75">
      <c r="A20" s="175"/>
      <c r="B20" s="178" t="s">
        <v>10</v>
      </c>
      <c r="C20" s="175"/>
      <c r="D20" s="180">
        <f>D17+D18+D19</f>
        <v>129649.93</v>
      </c>
      <c r="E20" s="175"/>
      <c r="F20" s="163"/>
    </row>
    <row r="21" spans="1:6" ht="15.75">
      <c r="A21" s="175"/>
      <c r="B21" s="178"/>
      <c r="C21" s="175"/>
      <c r="D21" s="179"/>
      <c r="E21" s="175"/>
      <c r="F21" s="163"/>
    </row>
    <row r="22" spans="1:6" ht="15.75">
      <c r="A22" s="14"/>
      <c r="B22" s="17" t="s">
        <v>66</v>
      </c>
      <c r="C22" s="14"/>
      <c r="D22" s="20"/>
      <c r="E22" s="51" t="s">
        <v>15</v>
      </c>
      <c r="F22" s="163"/>
    </row>
    <row r="23" spans="1:6" ht="12.75">
      <c r="A23" s="401" t="s">
        <v>67</v>
      </c>
      <c r="B23" s="16" t="s">
        <v>68</v>
      </c>
      <c r="C23" s="14"/>
      <c r="D23" s="19">
        <f>D24+D28</f>
        <v>41001.23</v>
      </c>
      <c r="E23" s="19">
        <f>E24</f>
        <v>8128.756739999999</v>
      </c>
      <c r="F23" s="163"/>
    </row>
    <row r="24" spans="1:6" ht="12.75">
      <c r="A24" s="14">
        <v>1</v>
      </c>
      <c r="B24" s="20" t="s">
        <v>11</v>
      </c>
      <c r="C24" s="395" t="s">
        <v>9</v>
      </c>
      <c r="D24" s="19">
        <f>D25+D26+D27</f>
        <v>40241.37</v>
      </c>
      <c r="E24" s="19">
        <f>E25+E26+E27</f>
        <v>8128.756739999999</v>
      </c>
      <c r="F24" s="163"/>
    </row>
    <row r="25" spans="1:6" ht="12.75">
      <c r="A25" s="14"/>
      <c r="B25" s="14" t="s">
        <v>12</v>
      </c>
      <c r="C25" s="14"/>
      <c r="D25" s="14">
        <v>15351.29</v>
      </c>
      <c r="E25" s="18">
        <f>D25*20.2%</f>
        <v>3100.96058</v>
      </c>
      <c r="F25" s="163"/>
    </row>
    <row r="26" spans="1:6" ht="12.75">
      <c r="A26" s="14"/>
      <c r="B26" s="14" t="s">
        <v>13</v>
      </c>
      <c r="C26" s="14"/>
      <c r="D26" s="396">
        <v>13322.3</v>
      </c>
      <c r="E26" s="18">
        <f>D26*20.2%</f>
        <v>2691.1045999999997</v>
      </c>
      <c r="F26" s="163"/>
    </row>
    <row r="27" spans="1:6" ht="12.75">
      <c r="A27" s="14"/>
      <c r="B27" s="14" t="s">
        <v>14</v>
      </c>
      <c r="C27" s="14"/>
      <c r="D27" s="14">
        <v>11567.78</v>
      </c>
      <c r="E27" s="18">
        <f>D27*20.2%</f>
        <v>2336.6915599999998</v>
      </c>
      <c r="F27" s="163"/>
    </row>
    <row r="28" spans="1:6" ht="12.75">
      <c r="A28" s="14">
        <v>2</v>
      </c>
      <c r="B28" s="395" t="s">
        <v>16</v>
      </c>
      <c r="C28" s="14"/>
      <c r="D28" s="14">
        <v>759.86</v>
      </c>
      <c r="E28" s="18"/>
      <c r="F28" s="163"/>
    </row>
    <row r="29" spans="1:6" ht="12.75">
      <c r="A29" s="401" t="s">
        <v>71</v>
      </c>
      <c r="B29" s="402" t="s">
        <v>69</v>
      </c>
      <c r="C29" s="14"/>
      <c r="D29" s="20">
        <f>D30+D31</f>
        <v>23684.23</v>
      </c>
      <c r="E29" s="19">
        <f>E30</f>
        <v>3977.0143799999996</v>
      </c>
      <c r="F29" s="163"/>
    </row>
    <row r="30" spans="1:6" ht="12.75">
      <c r="A30" s="14">
        <v>1</v>
      </c>
      <c r="B30" s="22" t="s">
        <v>70</v>
      </c>
      <c r="C30" s="14"/>
      <c r="D30" s="22">
        <v>19688.19</v>
      </c>
      <c r="E30" s="18">
        <f>D30*20.2%</f>
        <v>3977.0143799999996</v>
      </c>
      <c r="F30" s="163"/>
    </row>
    <row r="31" spans="1:6" ht="12.75">
      <c r="A31" s="14">
        <v>2</v>
      </c>
      <c r="B31" s="22" t="s">
        <v>16</v>
      </c>
      <c r="C31" s="14"/>
      <c r="D31" s="22">
        <v>3996.04</v>
      </c>
      <c r="E31" s="14"/>
      <c r="F31" s="163"/>
    </row>
    <row r="32" spans="1:6" ht="12.75">
      <c r="A32" s="401" t="s">
        <v>72</v>
      </c>
      <c r="B32" s="20" t="s">
        <v>17</v>
      </c>
      <c r="C32" s="14"/>
      <c r="D32" s="19">
        <f>D33+D34+D35+D36+D37+D38+D39</f>
        <v>12817.9065</v>
      </c>
      <c r="E32" s="19">
        <f>E35</f>
        <v>596.62922</v>
      </c>
      <c r="F32" s="163"/>
    </row>
    <row r="33" spans="1:6" ht="12.75">
      <c r="A33" s="14"/>
      <c r="B33" s="14" t="s">
        <v>18</v>
      </c>
      <c r="C33" s="14"/>
      <c r="D33" s="18">
        <f>D20*5%</f>
        <v>6482.4965</v>
      </c>
      <c r="E33" s="14"/>
      <c r="F33" s="163"/>
    </row>
    <row r="34" spans="1:6" ht="12.75">
      <c r="A34" s="14"/>
      <c r="B34" s="14" t="s">
        <v>19</v>
      </c>
      <c r="C34" s="14"/>
      <c r="D34" s="14">
        <v>270.65</v>
      </c>
      <c r="E34" s="14"/>
      <c r="F34" s="163"/>
    </row>
    <row r="35" spans="1:6" ht="12.75">
      <c r="A35" s="14"/>
      <c r="B35" s="14" t="s">
        <v>21</v>
      </c>
      <c r="C35" s="14"/>
      <c r="D35" s="18">
        <v>2953.61</v>
      </c>
      <c r="E35" s="18">
        <f>D35*20.2%</f>
        <v>596.62922</v>
      </c>
      <c r="F35" s="163"/>
    </row>
    <row r="36" spans="1:6" ht="12.75">
      <c r="A36" s="14"/>
      <c r="B36" s="22" t="s">
        <v>29</v>
      </c>
      <c r="C36" s="14"/>
      <c r="D36" s="14">
        <f>390.44+38.95</f>
        <v>429.39</v>
      </c>
      <c r="E36" s="14"/>
      <c r="F36" s="163"/>
    </row>
    <row r="37" spans="1:6" ht="12.75">
      <c r="A37" s="14"/>
      <c r="B37" s="22" t="s">
        <v>34</v>
      </c>
      <c r="C37" s="14"/>
      <c r="D37" s="14">
        <v>410.8</v>
      </c>
      <c r="E37" s="14"/>
      <c r="F37" s="163"/>
    </row>
    <row r="38" spans="1:6" ht="12.75">
      <c r="A38" s="14"/>
      <c r="B38" s="395" t="s">
        <v>62</v>
      </c>
      <c r="C38" s="14"/>
      <c r="D38" s="14">
        <v>841.79</v>
      </c>
      <c r="E38" s="14"/>
      <c r="F38" s="163"/>
    </row>
    <row r="39" spans="1:6" ht="12.75">
      <c r="A39" s="14"/>
      <c r="B39" s="14" t="s">
        <v>22</v>
      </c>
      <c r="C39" s="14"/>
      <c r="D39" s="14">
        <v>1429.17</v>
      </c>
      <c r="E39" s="14"/>
      <c r="F39" s="163"/>
    </row>
    <row r="40" spans="1:6" ht="12.75">
      <c r="A40" s="14">
        <v>4</v>
      </c>
      <c r="B40" s="20" t="s">
        <v>199</v>
      </c>
      <c r="C40" s="14"/>
      <c r="D40" s="19">
        <f>15907.65+2388.47</f>
        <v>18296.12</v>
      </c>
      <c r="E40" s="19"/>
      <c r="F40" s="163"/>
    </row>
    <row r="41" spans="1:6" ht="12.75">
      <c r="A41" s="14">
        <v>5</v>
      </c>
      <c r="B41" s="20" t="s">
        <v>24</v>
      </c>
      <c r="C41" s="14"/>
      <c r="D41" s="19">
        <f>D23+E23+D29+E29+D32+E32+D40+E40</f>
        <v>108501.88683999999</v>
      </c>
      <c r="E41" s="14"/>
      <c r="F41" s="163"/>
    </row>
    <row r="42" spans="1:6" ht="12.75">
      <c r="A42" s="14">
        <v>6</v>
      </c>
      <c r="B42" s="14" t="s">
        <v>33</v>
      </c>
      <c r="C42" s="14"/>
      <c r="D42" s="19">
        <f>D20*6%</f>
        <v>7778.9958</v>
      </c>
      <c r="E42" s="14"/>
      <c r="F42" s="163"/>
    </row>
    <row r="43" spans="1:6" ht="12.75">
      <c r="A43" s="14">
        <v>7</v>
      </c>
      <c r="B43" s="20" t="s">
        <v>25</v>
      </c>
      <c r="C43" s="14"/>
      <c r="D43" s="19">
        <f>D41+D42</f>
        <v>116280.88264</v>
      </c>
      <c r="E43" s="14"/>
      <c r="F43" s="163"/>
    </row>
    <row r="44" spans="1:6" ht="12.75">
      <c r="A44" s="14"/>
      <c r="B44" s="14"/>
      <c r="C44" s="14"/>
      <c r="D44" s="14"/>
      <c r="E44" s="14"/>
      <c r="F44" s="163"/>
    </row>
    <row r="45" spans="1:6" ht="12.75">
      <c r="A45" s="14">
        <v>8</v>
      </c>
      <c r="B45" s="20" t="s">
        <v>87</v>
      </c>
      <c r="C45" s="14"/>
      <c r="D45" s="19">
        <f>(D17+D19)-D43</f>
        <v>-25283.65264</v>
      </c>
      <c r="E45" s="14"/>
      <c r="F45" s="163"/>
    </row>
    <row r="46" spans="1:6" ht="12.75">
      <c r="A46" s="14">
        <v>9</v>
      </c>
      <c r="B46" s="20" t="s">
        <v>47</v>
      </c>
      <c r="C46" s="14"/>
      <c r="D46" s="19">
        <f>D10+D45</f>
        <v>-224526.19264000002</v>
      </c>
      <c r="E46" s="14"/>
      <c r="F46" s="163"/>
    </row>
    <row r="47" spans="1:6" ht="12.75">
      <c r="A47" s="3"/>
      <c r="B47" s="426" t="s">
        <v>88</v>
      </c>
      <c r="C47" s="3"/>
      <c r="D47" s="429">
        <f>D11+D18-2319.16</f>
        <v>134348.46</v>
      </c>
      <c r="E47" s="3"/>
      <c r="F47" s="163"/>
    </row>
    <row r="48" spans="1:6" ht="12.75">
      <c r="A48" s="3"/>
      <c r="B48" s="426" t="s">
        <v>128</v>
      </c>
      <c r="C48" s="3"/>
      <c r="D48" s="429">
        <v>98666.93</v>
      </c>
      <c r="E48" s="3"/>
      <c r="F48" s="163"/>
    </row>
    <row r="49" spans="1:6" ht="12.75">
      <c r="A49" s="3"/>
      <c r="B49" s="426" t="s">
        <v>129</v>
      </c>
      <c r="C49" s="3"/>
      <c r="D49" s="429">
        <f>D47-D48</f>
        <v>35681.53</v>
      </c>
      <c r="E49" s="3"/>
      <c r="F49" s="163"/>
    </row>
    <row r="50" spans="1:6" ht="12.75">
      <c r="A50" s="3"/>
      <c r="B50" s="426"/>
      <c r="C50" s="3"/>
      <c r="D50" s="429"/>
      <c r="E50" s="3"/>
      <c r="F50" s="163"/>
    </row>
    <row r="51" spans="1:6" ht="12.75">
      <c r="A51" s="1"/>
      <c r="B51" s="1" t="s">
        <v>31</v>
      </c>
      <c r="C51" s="1"/>
      <c r="D51" s="1" t="s">
        <v>0</v>
      </c>
      <c r="E51" s="1"/>
      <c r="F51" s="163"/>
    </row>
    <row r="52" spans="1:5" ht="12.75">
      <c r="A52" s="1"/>
      <c r="B52" s="1" t="s">
        <v>32</v>
      </c>
      <c r="C52" s="1"/>
      <c r="D52" s="1" t="s">
        <v>27</v>
      </c>
      <c r="E52" s="1"/>
    </row>
  </sheetData>
  <sheetProtection/>
  <mergeCells count="2">
    <mergeCell ref="D8:E8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2"/>
  <sheetViews>
    <sheetView zoomScaleSheetLayoutView="100" zoomScalePageLayoutView="0" workbookViewId="0" topLeftCell="A23">
      <selection activeCell="H37" sqref="H37"/>
    </sheetView>
  </sheetViews>
  <sheetFormatPr defaultColWidth="9.00390625" defaultRowHeight="12.75"/>
  <cols>
    <col min="1" max="1" width="5.875" style="0" customWidth="1"/>
    <col min="2" max="2" width="42.625" style="0" customWidth="1"/>
    <col min="3" max="3" width="6.375" style="0" customWidth="1"/>
    <col min="4" max="4" width="11.75390625" style="0" customWidth="1"/>
    <col min="5" max="5" width="11.875" style="0" customWidth="1"/>
    <col min="7" max="7" width="5.875" style="0" customWidth="1"/>
    <col min="8" max="8" width="44.00390625" style="0" customWidth="1"/>
    <col min="10" max="10" width="11.125" style="0" customWidth="1"/>
    <col min="11" max="11" width="11.625" style="0" customWidth="1"/>
    <col min="13" max="13" width="5.25390625" style="0" customWidth="1"/>
    <col min="14" max="14" width="40.875" style="0" customWidth="1"/>
    <col min="16" max="16" width="12.125" style="0" customWidth="1"/>
    <col min="17" max="17" width="10.875" style="0" customWidth="1"/>
    <col min="19" max="19" width="6.25390625" style="0" customWidth="1"/>
    <col min="20" max="20" width="7.625" style="0" customWidth="1"/>
    <col min="21" max="21" width="43.125" style="0" customWidth="1"/>
    <col min="23" max="23" width="11.125" style="0" customWidth="1"/>
  </cols>
  <sheetData>
    <row r="1" spans="1:7" ht="15.75">
      <c r="A1" s="182"/>
      <c r="B1" s="183" t="s">
        <v>26</v>
      </c>
      <c r="C1" s="182"/>
      <c r="D1" s="182"/>
      <c r="E1" s="182"/>
      <c r="F1" s="182"/>
      <c r="G1" s="182"/>
    </row>
    <row r="2" spans="1:7" ht="12.75">
      <c r="A2" s="182"/>
      <c r="B2" s="182"/>
      <c r="C2" s="182"/>
      <c r="D2" s="182"/>
      <c r="E2" s="182"/>
      <c r="F2" s="182"/>
      <c r="G2" s="182"/>
    </row>
    <row r="3" spans="1:7" ht="12.75">
      <c r="A3" s="182"/>
      <c r="B3" s="387" t="s">
        <v>90</v>
      </c>
      <c r="C3" s="182"/>
      <c r="D3" s="182"/>
      <c r="E3" s="182"/>
      <c r="F3" s="182"/>
      <c r="G3" s="182"/>
    </row>
    <row r="4" spans="1:7" ht="12.75">
      <c r="A4" s="182"/>
      <c r="B4" s="456" t="s">
        <v>130</v>
      </c>
      <c r="C4" s="182"/>
      <c r="D4" s="182"/>
      <c r="E4" s="182"/>
      <c r="F4" s="182"/>
      <c r="G4" s="182"/>
    </row>
    <row r="5" spans="1:7" ht="12.75">
      <c r="A5" s="182"/>
      <c r="B5" s="182" t="s">
        <v>42</v>
      </c>
      <c r="C5" s="182"/>
      <c r="D5" s="182"/>
      <c r="E5" s="182"/>
      <c r="F5" s="182"/>
      <c r="G5" s="182"/>
    </row>
    <row r="6" spans="1:7" ht="12.75">
      <c r="A6" s="435"/>
      <c r="B6" s="435"/>
      <c r="C6" s="435"/>
      <c r="D6" s="185"/>
      <c r="E6" s="434"/>
      <c r="F6" s="182"/>
      <c r="G6" s="186"/>
    </row>
    <row r="7" spans="1:7" ht="15.75">
      <c r="A7" s="184"/>
      <c r="B7" s="187" t="s">
        <v>1</v>
      </c>
      <c r="C7" s="188" t="s">
        <v>3</v>
      </c>
      <c r="D7" s="527" t="s">
        <v>4</v>
      </c>
      <c r="E7" s="528"/>
      <c r="F7" s="182"/>
      <c r="G7" s="182"/>
    </row>
    <row r="8" spans="1:7" ht="15.75">
      <c r="A8" s="189"/>
      <c r="B8" s="187" t="s">
        <v>2</v>
      </c>
      <c r="C8" s="188" t="s">
        <v>35</v>
      </c>
      <c r="D8" s="529" t="s">
        <v>121</v>
      </c>
      <c r="E8" s="530"/>
      <c r="F8" s="186"/>
      <c r="G8" s="182"/>
    </row>
    <row r="9" spans="1:7" ht="12.75">
      <c r="A9" s="190"/>
      <c r="B9" s="190"/>
      <c r="C9" s="190"/>
      <c r="D9" s="191"/>
      <c r="E9" s="192"/>
      <c r="F9" s="182"/>
      <c r="G9" s="182"/>
    </row>
    <row r="10" spans="1:7" ht="12.75">
      <c r="A10" s="190"/>
      <c r="B10" s="414" t="s">
        <v>80</v>
      </c>
      <c r="C10" s="190"/>
      <c r="D10" s="191">
        <v>-3625.93</v>
      </c>
      <c r="E10" s="192"/>
      <c r="F10" s="182"/>
      <c r="G10" s="182"/>
    </row>
    <row r="11" spans="1:7" ht="12.75">
      <c r="A11" s="193"/>
      <c r="B11" s="194" t="s">
        <v>5</v>
      </c>
      <c r="C11" s="193" t="s">
        <v>36</v>
      </c>
      <c r="D11" s="193">
        <v>5460.6</v>
      </c>
      <c r="E11" s="193"/>
      <c r="F11" s="182"/>
      <c r="G11" s="182"/>
    </row>
    <row r="12" spans="1:7" ht="12.75">
      <c r="A12" s="193"/>
      <c r="B12" s="194" t="s">
        <v>6</v>
      </c>
      <c r="C12" s="193" t="s">
        <v>36</v>
      </c>
      <c r="D12" s="193">
        <v>4405.1</v>
      </c>
      <c r="E12" s="193"/>
      <c r="F12" s="182"/>
      <c r="G12" s="182"/>
    </row>
    <row r="13" spans="1:7" ht="12.75">
      <c r="A13" s="193"/>
      <c r="B13" s="195" t="s">
        <v>28</v>
      </c>
      <c r="C13" s="193" t="s">
        <v>38</v>
      </c>
      <c r="D13" s="193">
        <v>168233.15</v>
      </c>
      <c r="E13" s="193"/>
      <c r="F13" s="182"/>
      <c r="G13" s="182"/>
    </row>
    <row r="14" spans="1:7" ht="12.75">
      <c r="A14" s="193"/>
      <c r="B14" s="193"/>
      <c r="C14" s="193"/>
      <c r="D14" s="193"/>
      <c r="E14" s="193"/>
      <c r="F14" s="182"/>
      <c r="G14" s="182"/>
    </row>
    <row r="15" spans="1:7" ht="15.75">
      <c r="A15" s="193"/>
      <c r="B15" s="196" t="s">
        <v>7</v>
      </c>
      <c r="C15" s="193"/>
      <c r="D15" s="193"/>
      <c r="E15" s="193"/>
      <c r="F15" s="182"/>
      <c r="G15" s="182"/>
    </row>
    <row r="16" spans="1:7" ht="12.75">
      <c r="A16" s="193">
        <v>1</v>
      </c>
      <c r="B16" s="193" t="s">
        <v>8</v>
      </c>
      <c r="C16" s="193" t="s">
        <v>9</v>
      </c>
      <c r="D16" s="193">
        <v>153755.52</v>
      </c>
      <c r="E16" s="193"/>
      <c r="F16" s="182"/>
      <c r="G16" s="182"/>
    </row>
    <row r="17" spans="1:7" ht="12.75">
      <c r="A17" s="193">
        <v>2</v>
      </c>
      <c r="B17" s="193" t="s">
        <v>104</v>
      </c>
      <c r="C17" s="193"/>
      <c r="D17" s="193">
        <f>643.47+9000+2400</f>
        <v>12043.47</v>
      </c>
      <c r="E17" s="193"/>
      <c r="F17" s="182"/>
      <c r="G17" s="182"/>
    </row>
    <row r="18" spans="1:7" ht="15.75">
      <c r="A18" s="193"/>
      <c r="B18" s="196" t="s">
        <v>10</v>
      </c>
      <c r="C18" s="193"/>
      <c r="D18" s="197">
        <f>D16+D17</f>
        <v>165798.99</v>
      </c>
      <c r="E18" s="193"/>
      <c r="F18" s="182"/>
      <c r="G18" s="182"/>
    </row>
    <row r="19" spans="1:7" ht="15.75">
      <c r="A19" s="193"/>
      <c r="B19" s="196"/>
      <c r="C19" s="193"/>
      <c r="D19" s="197"/>
      <c r="E19" s="193"/>
      <c r="F19" s="182"/>
      <c r="G19" s="182"/>
    </row>
    <row r="20" spans="1:7" ht="15.75">
      <c r="A20" s="14"/>
      <c r="B20" s="17" t="s">
        <v>66</v>
      </c>
      <c r="C20" s="14"/>
      <c r="D20" s="20"/>
      <c r="E20" s="51" t="s">
        <v>15</v>
      </c>
      <c r="F20" s="182"/>
      <c r="G20" s="182"/>
    </row>
    <row r="21" spans="1:7" ht="12.75">
      <c r="A21" s="401" t="s">
        <v>67</v>
      </c>
      <c r="B21" s="16" t="s">
        <v>68</v>
      </c>
      <c r="C21" s="14"/>
      <c r="D21" s="20">
        <f>D22+D26</f>
        <v>12685.949999999999</v>
      </c>
      <c r="E21" s="19">
        <f>E22</f>
        <v>2243.2564599999996</v>
      </c>
      <c r="F21" s="182"/>
      <c r="G21" s="182"/>
    </row>
    <row r="22" spans="1:7" ht="12.75">
      <c r="A22" s="14">
        <v>1</v>
      </c>
      <c r="B22" s="20" t="s">
        <v>11</v>
      </c>
      <c r="C22" s="395" t="s">
        <v>9</v>
      </c>
      <c r="D22" s="20">
        <f>D23</f>
        <v>11105.23</v>
      </c>
      <c r="E22" s="19">
        <f>E23</f>
        <v>2243.2564599999996</v>
      </c>
      <c r="F22" s="182"/>
      <c r="G22" s="182"/>
    </row>
    <row r="23" spans="1:7" ht="12.75">
      <c r="A23" s="14"/>
      <c r="B23" s="14" t="s">
        <v>12</v>
      </c>
      <c r="C23" s="14"/>
      <c r="D23" s="14">
        <v>11105.23</v>
      </c>
      <c r="E23" s="18">
        <f>D23*20.2%</f>
        <v>2243.2564599999996</v>
      </c>
      <c r="F23" s="182"/>
      <c r="G23" s="182"/>
    </row>
    <row r="24" spans="1:7" ht="12.75">
      <c r="A24" s="14"/>
      <c r="B24" s="14" t="s">
        <v>13</v>
      </c>
      <c r="C24" s="14"/>
      <c r="D24" s="396"/>
      <c r="E24" s="18"/>
      <c r="F24" s="182"/>
      <c r="G24" s="182"/>
    </row>
    <row r="25" spans="1:7" ht="12.75">
      <c r="A25" s="14"/>
      <c r="B25" s="14" t="s">
        <v>14</v>
      </c>
      <c r="C25" s="14"/>
      <c r="D25" s="14"/>
      <c r="E25" s="18"/>
      <c r="F25" s="182"/>
      <c r="G25" s="182"/>
    </row>
    <row r="26" spans="1:7" ht="12.75">
      <c r="A26" s="14">
        <v>2</v>
      </c>
      <c r="B26" s="395" t="s">
        <v>16</v>
      </c>
      <c r="C26" s="14"/>
      <c r="D26" s="14">
        <v>1580.72</v>
      </c>
      <c r="E26" s="18"/>
      <c r="F26" s="182"/>
      <c r="G26" s="182"/>
    </row>
    <row r="27" spans="1:7" ht="12.75">
      <c r="A27" s="401" t="s">
        <v>71</v>
      </c>
      <c r="B27" s="402" t="s">
        <v>69</v>
      </c>
      <c r="C27" s="14"/>
      <c r="D27" s="20">
        <f>D28+D29+D30</f>
        <v>51661.02</v>
      </c>
      <c r="E27" s="19">
        <f>E28</f>
        <v>8273.305919999999</v>
      </c>
      <c r="F27" s="182"/>
      <c r="G27" s="182"/>
    </row>
    <row r="28" spans="1:7" ht="12.75">
      <c r="A28" s="14">
        <v>1</v>
      </c>
      <c r="B28" s="22" t="s">
        <v>70</v>
      </c>
      <c r="C28" s="14"/>
      <c r="D28" s="22">
        <v>40956.96</v>
      </c>
      <c r="E28" s="18">
        <f>D28*20.2%</f>
        <v>8273.305919999999</v>
      </c>
      <c r="F28" s="182"/>
      <c r="G28" s="182"/>
    </row>
    <row r="29" spans="1:7" ht="12.75">
      <c r="A29" s="14">
        <v>2</v>
      </c>
      <c r="B29" s="22" t="s">
        <v>16</v>
      </c>
      <c r="C29" s="14"/>
      <c r="D29" s="22">
        <f>1174.41+1813.45</f>
        <v>2987.86</v>
      </c>
      <c r="E29" s="14"/>
      <c r="F29" s="182"/>
      <c r="G29" s="182"/>
    </row>
    <row r="30" spans="1:7" ht="12.75">
      <c r="A30" s="14"/>
      <c r="B30" s="22" t="s">
        <v>107</v>
      </c>
      <c r="C30" s="14"/>
      <c r="D30" s="22">
        <v>7716.2</v>
      </c>
      <c r="E30" s="14"/>
      <c r="F30" s="182"/>
      <c r="G30" s="182"/>
    </row>
    <row r="31" spans="1:7" ht="12.75">
      <c r="A31" s="401" t="s">
        <v>72</v>
      </c>
      <c r="B31" s="20" t="s">
        <v>17</v>
      </c>
      <c r="C31" s="14"/>
      <c r="D31" s="19">
        <f>D32+D33+D34+D35+D36+D37+D38+D39</f>
        <v>30374.319499999998</v>
      </c>
      <c r="E31" s="19"/>
      <c r="F31" s="182"/>
      <c r="G31" s="182"/>
    </row>
    <row r="32" spans="1:7" ht="12.75">
      <c r="A32" s="14"/>
      <c r="B32" s="14" t="s">
        <v>18</v>
      </c>
      <c r="C32" s="14"/>
      <c r="D32" s="18">
        <f>D18*5%</f>
        <v>8289.9495</v>
      </c>
      <c r="E32" s="14"/>
      <c r="F32" s="182"/>
      <c r="G32" s="182"/>
    </row>
    <row r="33" spans="1:7" ht="12.75">
      <c r="A33" s="14"/>
      <c r="B33" s="14" t="s">
        <v>19</v>
      </c>
      <c r="C33" s="14"/>
      <c r="D33" s="14">
        <v>481.69</v>
      </c>
      <c r="E33" s="14"/>
      <c r="F33" s="182"/>
      <c r="G33" s="182"/>
    </row>
    <row r="34" spans="1:7" ht="12.75">
      <c r="A34" s="14"/>
      <c r="B34" s="22" t="s">
        <v>20</v>
      </c>
      <c r="C34" s="14"/>
      <c r="D34" s="14">
        <v>2888</v>
      </c>
      <c r="E34" s="14"/>
      <c r="F34" s="182"/>
      <c r="G34" s="182"/>
    </row>
    <row r="35" spans="1:7" ht="12.75">
      <c r="A35" s="14"/>
      <c r="B35" s="14" t="s">
        <v>21</v>
      </c>
      <c r="C35" s="14"/>
      <c r="D35" s="18">
        <f>6144.34+1241.16</f>
        <v>7385.5</v>
      </c>
      <c r="E35" s="18"/>
      <c r="F35" s="182"/>
      <c r="G35" s="182"/>
    </row>
    <row r="36" spans="1:7" ht="12.75">
      <c r="A36" s="14"/>
      <c r="B36" s="22" t="s">
        <v>29</v>
      </c>
      <c r="C36" s="14"/>
      <c r="D36" s="14">
        <f>195.22+38.95</f>
        <v>234.17000000000002</v>
      </c>
      <c r="E36" s="14"/>
      <c r="F36" s="182"/>
      <c r="G36" s="182"/>
    </row>
    <row r="37" spans="1:7" ht="12.75">
      <c r="A37" s="14"/>
      <c r="B37" s="395" t="s">
        <v>61</v>
      </c>
      <c r="C37" s="14"/>
      <c r="D37" s="14">
        <v>6370.77</v>
      </c>
      <c r="E37" s="14"/>
      <c r="F37" s="182"/>
      <c r="G37" s="182"/>
    </row>
    <row r="38" spans="1:7" ht="12.75">
      <c r="A38" s="14"/>
      <c r="B38" s="395" t="s">
        <v>62</v>
      </c>
      <c r="C38" s="14"/>
      <c r="D38" s="14">
        <v>1751.16</v>
      </c>
      <c r="E38" s="14"/>
      <c r="F38" s="182"/>
      <c r="G38" s="182"/>
    </row>
    <row r="39" spans="1:7" ht="12.75">
      <c r="A39" s="14"/>
      <c r="B39" s="14" t="s">
        <v>22</v>
      </c>
      <c r="C39" s="14"/>
      <c r="D39" s="14">
        <v>2973.08</v>
      </c>
      <c r="E39" s="14"/>
      <c r="F39" s="182"/>
      <c r="G39" s="182"/>
    </row>
    <row r="40" spans="1:7" ht="12.75">
      <c r="A40" s="14">
        <v>4</v>
      </c>
      <c r="B40" s="20" t="s">
        <v>199</v>
      </c>
      <c r="C40" s="14"/>
      <c r="D40" s="19">
        <f>33092.42+4968.69</f>
        <v>38061.11</v>
      </c>
      <c r="E40" s="19"/>
      <c r="F40" s="182"/>
      <c r="G40" s="182"/>
    </row>
    <row r="41" spans="1:7" ht="12.75">
      <c r="A41" s="14">
        <v>5</v>
      </c>
      <c r="B41" s="20" t="s">
        <v>24</v>
      </c>
      <c r="C41" s="14"/>
      <c r="D41" s="19">
        <f>D21+E21+D27+E27+D31+E31+D40+E40</f>
        <v>143298.96188</v>
      </c>
      <c r="E41" s="14"/>
      <c r="F41" s="182"/>
      <c r="G41" s="182"/>
    </row>
    <row r="42" spans="1:7" ht="12.75">
      <c r="A42" s="14">
        <v>6</v>
      </c>
      <c r="B42" s="14" t="s">
        <v>33</v>
      </c>
      <c r="C42" s="14"/>
      <c r="D42" s="19">
        <f>D18*6%</f>
        <v>9947.9394</v>
      </c>
      <c r="E42" s="14"/>
      <c r="F42" s="182"/>
      <c r="G42" s="182"/>
    </row>
    <row r="43" spans="1:7" ht="12.75">
      <c r="A43" s="14">
        <v>7</v>
      </c>
      <c r="B43" s="20" t="s">
        <v>25</v>
      </c>
      <c r="C43" s="14"/>
      <c r="D43" s="19">
        <f>D41+D42</f>
        <v>153246.90128</v>
      </c>
      <c r="E43" s="14"/>
      <c r="F43" s="182"/>
      <c r="G43" s="182"/>
    </row>
    <row r="44" spans="1:7" ht="12.75">
      <c r="A44" s="14"/>
      <c r="B44" s="14"/>
      <c r="C44" s="14"/>
      <c r="D44" s="14"/>
      <c r="E44" s="14"/>
      <c r="F44" s="182"/>
      <c r="G44" s="182"/>
    </row>
    <row r="45" spans="1:7" ht="12.75">
      <c r="A45" s="14">
        <v>8</v>
      </c>
      <c r="B45" s="20" t="s">
        <v>87</v>
      </c>
      <c r="C45" s="14"/>
      <c r="D45" s="19">
        <f>D18-D43</f>
        <v>12552.08872</v>
      </c>
      <c r="E45" s="14"/>
      <c r="F45" s="182"/>
      <c r="G45" s="182"/>
    </row>
    <row r="46" spans="1:7" ht="12.75">
      <c r="A46" s="14">
        <v>9</v>
      </c>
      <c r="B46" s="20" t="s">
        <v>47</v>
      </c>
      <c r="C46" s="14"/>
      <c r="D46" s="19">
        <f>D10+D45</f>
        <v>8926.15872</v>
      </c>
      <c r="E46" s="14"/>
      <c r="F46" s="182"/>
      <c r="G46" s="182"/>
    </row>
    <row r="47" spans="1:7" ht="12.75">
      <c r="A47" s="3"/>
      <c r="B47" s="426"/>
      <c r="C47" s="3"/>
      <c r="D47" s="429"/>
      <c r="E47" s="3"/>
      <c r="F47" s="182"/>
      <c r="G47" s="182"/>
    </row>
    <row r="48" spans="1:7" ht="12.75">
      <c r="A48" s="3"/>
      <c r="B48" s="426"/>
      <c r="C48" s="3"/>
      <c r="D48" s="429"/>
      <c r="E48" s="3"/>
      <c r="F48" s="182"/>
      <c r="G48" s="182"/>
    </row>
    <row r="49" spans="1:7" ht="12.75">
      <c r="A49" s="1"/>
      <c r="B49" s="1" t="s">
        <v>31</v>
      </c>
      <c r="C49" s="1"/>
      <c r="D49" s="1" t="s">
        <v>0</v>
      </c>
      <c r="E49" s="1"/>
      <c r="F49" s="182"/>
      <c r="G49" s="182"/>
    </row>
    <row r="50" spans="1:6" ht="12.75">
      <c r="A50" s="1"/>
      <c r="B50" s="1" t="s">
        <v>32</v>
      </c>
      <c r="C50" s="1"/>
      <c r="D50" s="1" t="s">
        <v>27</v>
      </c>
      <c r="E50" s="1"/>
      <c r="F50" s="182"/>
    </row>
    <row r="51" ht="12.75">
      <c r="F51" s="182"/>
    </row>
    <row r="52" ht="12.75">
      <c r="F52" s="182"/>
    </row>
  </sheetData>
  <sheetProtection/>
  <mergeCells count="2">
    <mergeCell ref="D7:E7"/>
    <mergeCell ref="D8:E8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6"/>
  <sheetViews>
    <sheetView zoomScaleSheetLayoutView="100" zoomScalePageLayoutView="0" workbookViewId="0" topLeftCell="A18">
      <selection activeCell="H27" sqref="H27"/>
    </sheetView>
  </sheetViews>
  <sheetFormatPr defaultColWidth="9.00390625" defaultRowHeight="12.75"/>
  <cols>
    <col min="1" max="1" width="6.25390625" style="0" customWidth="1"/>
    <col min="2" max="2" width="43.125" style="0" customWidth="1"/>
    <col min="3" max="3" width="7.125" style="0" customWidth="1"/>
    <col min="4" max="4" width="10.875" style="0" customWidth="1"/>
    <col min="5" max="5" width="10.25390625" style="0" customWidth="1"/>
    <col min="7" max="7" width="3.75390625" style="0" customWidth="1"/>
    <col min="8" max="8" width="39.00390625" style="0" customWidth="1"/>
    <col min="10" max="10" width="10.125" style="0" bestFit="1" customWidth="1"/>
    <col min="13" max="13" width="4.875" style="0" customWidth="1"/>
    <col min="14" max="14" width="38.375" style="0" customWidth="1"/>
    <col min="16" max="16" width="10.375" style="0" customWidth="1"/>
    <col min="20" max="20" width="39.875" style="0" customWidth="1"/>
    <col min="22" max="22" width="10.75390625" style="0" customWidth="1"/>
    <col min="25" max="25" width="6.375" style="0" customWidth="1"/>
    <col min="26" max="26" width="43.75390625" style="0" customWidth="1"/>
    <col min="28" max="28" width="10.625" style="0" customWidth="1"/>
  </cols>
  <sheetData>
    <row r="1" spans="1:7" ht="15.75">
      <c r="A1" s="198"/>
      <c r="B1" s="199" t="s">
        <v>26</v>
      </c>
      <c r="C1" s="198"/>
      <c r="D1" s="198"/>
      <c r="E1" s="198"/>
      <c r="F1" s="198"/>
      <c r="G1" s="198"/>
    </row>
    <row r="2" spans="1:7" ht="12.75">
      <c r="A2" s="198"/>
      <c r="B2" s="198"/>
      <c r="C2" s="198"/>
      <c r="D2" s="198"/>
      <c r="E2" s="198"/>
      <c r="F2" s="198"/>
      <c r="G2" s="198"/>
    </row>
    <row r="3" spans="1:7" ht="12.75">
      <c r="A3" s="198"/>
      <c r="B3" s="198" t="s">
        <v>30</v>
      </c>
      <c r="C3" s="198"/>
      <c r="D3" s="198"/>
      <c r="E3" s="198"/>
      <c r="F3" s="198"/>
      <c r="G3" s="198"/>
    </row>
    <row r="4" spans="1:7" ht="12.75">
      <c r="A4" s="198"/>
      <c r="B4" s="425" t="s">
        <v>131</v>
      </c>
      <c r="C4" s="198"/>
      <c r="D4" s="198"/>
      <c r="E4" s="198"/>
      <c r="F4" s="198"/>
      <c r="G4" s="198"/>
    </row>
    <row r="5" spans="1:7" ht="12.75">
      <c r="A5" s="198"/>
      <c r="B5" s="198" t="s">
        <v>46</v>
      </c>
      <c r="C5" s="198"/>
      <c r="D5" s="198"/>
      <c r="E5" s="198"/>
      <c r="F5" s="198"/>
      <c r="G5" s="198"/>
    </row>
    <row r="6" spans="1:7" ht="12.75">
      <c r="A6" s="436"/>
      <c r="B6" s="436"/>
      <c r="C6" s="436"/>
      <c r="D6" s="201"/>
      <c r="E6" s="437"/>
      <c r="F6" s="202"/>
      <c r="G6" s="202"/>
    </row>
    <row r="7" spans="1:7" ht="15.75">
      <c r="A7" s="200"/>
      <c r="B7" s="203" t="s">
        <v>1</v>
      </c>
      <c r="C7" s="204" t="s">
        <v>3</v>
      </c>
      <c r="D7" s="533" t="s">
        <v>4</v>
      </c>
      <c r="E7" s="534"/>
      <c r="F7" s="198"/>
      <c r="G7" s="198"/>
    </row>
    <row r="8" spans="1:7" ht="15.75">
      <c r="A8" s="205"/>
      <c r="B8" s="203" t="s">
        <v>2</v>
      </c>
      <c r="C8" s="204" t="s">
        <v>35</v>
      </c>
      <c r="D8" s="531" t="s">
        <v>121</v>
      </c>
      <c r="E8" s="532"/>
      <c r="F8" s="198"/>
      <c r="G8" s="198"/>
    </row>
    <row r="9" spans="1:7" ht="12.75">
      <c r="A9" s="206"/>
      <c r="B9" s="206"/>
      <c r="C9" s="206"/>
      <c r="D9" s="207"/>
      <c r="E9" s="208"/>
      <c r="F9" s="198"/>
      <c r="G9" s="198"/>
    </row>
    <row r="10" spans="1:7" ht="12.75">
      <c r="A10" s="206"/>
      <c r="B10" s="415" t="s">
        <v>80</v>
      </c>
      <c r="C10" s="206"/>
      <c r="D10" s="207">
        <v>-103068.42</v>
      </c>
      <c r="E10" s="208"/>
      <c r="F10" s="198"/>
      <c r="G10" s="198"/>
    </row>
    <row r="11" spans="1:7" ht="12.75">
      <c r="A11" s="209"/>
      <c r="B11" s="210" t="s">
        <v>5</v>
      </c>
      <c r="C11" s="209" t="s">
        <v>36</v>
      </c>
      <c r="D11" s="209">
        <v>4143.2</v>
      </c>
      <c r="E11" s="209"/>
      <c r="F11" s="198"/>
      <c r="G11" s="198"/>
    </row>
    <row r="12" spans="1:7" ht="12.75">
      <c r="A12" s="209"/>
      <c r="B12" s="210" t="s">
        <v>6</v>
      </c>
      <c r="C12" s="209" t="s">
        <v>36</v>
      </c>
      <c r="D12" s="209">
        <v>2538.2</v>
      </c>
      <c r="E12" s="209"/>
      <c r="F12" s="198"/>
      <c r="G12" s="198"/>
    </row>
    <row r="13" spans="1:7" ht="12.75">
      <c r="A13" s="209"/>
      <c r="B13" s="211" t="s">
        <v>28</v>
      </c>
      <c r="C13" s="209" t="s">
        <v>38</v>
      </c>
      <c r="D13" s="209">
        <v>96597.12</v>
      </c>
      <c r="E13" s="209"/>
      <c r="F13" s="198"/>
      <c r="G13" s="198"/>
    </row>
    <row r="14" spans="1:7" ht="12.75">
      <c r="A14" s="209"/>
      <c r="B14" s="209"/>
      <c r="C14" s="209"/>
      <c r="D14" s="209"/>
      <c r="E14" s="209"/>
      <c r="F14" s="198"/>
      <c r="G14" s="198"/>
    </row>
    <row r="15" spans="1:7" ht="15.75">
      <c r="A15" s="209"/>
      <c r="B15" s="212" t="s">
        <v>7</v>
      </c>
      <c r="C15" s="209"/>
      <c r="D15" s="209"/>
      <c r="E15" s="209"/>
      <c r="F15" s="198"/>
      <c r="G15" s="198"/>
    </row>
    <row r="16" spans="1:7" ht="12.75">
      <c r="A16" s="209">
        <v>1</v>
      </c>
      <c r="B16" s="209" t="s">
        <v>8</v>
      </c>
      <c r="C16" s="209" t="s">
        <v>9</v>
      </c>
      <c r="D16" s="209">
        <v>91000.4</v>
      </c>
      <c r="E16" s="209"/>
      <c r="F16" s="198"/>
      <c r="G16" s="198"/>
    </row>
    <row r="17" spans="1:7" ht="12.75">
      <c r="A17" s="209">
        <v>3</v>
      </c>
      <c r="B17" s="209" t="s">
        <v>104</v>
      </c>
      <c r="C17" s="209"/>
      <c r="D17" s="209">
        <f>6000+2400</f>
        <v>8400</v>
      </c>
      <c r="E17" s="209"/>
      <c r="F17" s="198"/>
      <c r="G17" s="198"/>
    </row>
    <row r="18" spans="1:7" ht="15.75">
      <c r="A18" s="209"/>
      <c r="B18" s="212" t="s">
        <v>10</v>
      </c>
      <c r="C18" s="209"/>
      <c r="D18" s="213">
        <f>D16+D17</f>
        <v>99400.4</v>
      </c>
      <c r="E18" s="209"/>
      <c r="F18" s="198"/>
      <c r="G18" s="198"/>
    </row>
    <row r="19" spans="1:7" ht="15.75">
      <c r="A19" s="209"/>
      <c r="B19" s="212"/>
      <c r="C19" s="209"/>
      <c r="D19" s="213"/>
      <c r="E19" s="209"/>
      <c r="F19" s="198"/>
      <c r="G19" s="198"/>
    </row>
    <row r="20" spans="1:7" ht="15.75">
      <c r="A20" s="14"/>
      <c r="B20" s="17" t="s">
        <v>66</v>
      </c>
      <c r="C20" s="14"/>
      <c r="D20" s="20"/>
      <c r="E20" s="51" t="s">
        <v>15</v>
      </c>
      <c r="F20" s="198"/>
      <c r="G20" s="198"/>
    </row>
    <row r="21" spans="1:7" ht="12.75">
      <c r="A21" s="401" t="s">
        <v>67</v>
      </c>
      <c r="B21" s="16" t="s">
        <v>68</v>
      </c>
      <c r="C21" s="14"/>
      <c r="D21" s="20">
        <f>D22+D26</f>
        <v>17081.01</v>
      </c>
      <c r="E21" s="19">
        <f>E22</f>
        <v>3267.8852999999995</v>
      </c>
      <c r="F21" s="198"/>
      <c r="G21" s="198"/>
    </row>
    <row r="22" spans="1:7" ht="12.75">
      <c r="A22" s="14">
        <v>1</v>
      </c>
      <c r="B22" s="20" t="s">
        <v>11</v>
      </c>
      <c r="C22" s="395" t="s">
        <v>9</v>
      </c>
      <c r="D22" s="20">
        <f>D23+D25</f>
        <v>16177.65</v>
      </c>
      <c r="E22" s="19">
        <f>E23+E24+E25</f>
        <v>3267.8852999999995</v>
      </c>
      <c r="F22" s="198"/>
      <c r="G22" s="198"/>
    </row>
    <row r="23" spans="1:7" ht="12.75">
      <c r="A23" s="14"/>
      <c r="B23" s="14" t="s">
        <v>12</v>
      </c>
      <c r="C23" s="14"/>
      <c r="D23" s="14">
        <v>14371.46</v>
      </c>
      <c r="E23" s="18">
        <f>D23*20.2%</f>
        <v>2903.0349199999996</v>
      </c>
      <c r="F23" s="198"/>
      <c r="G23" s="198"/>
    </row>
    <row r="24" spans="1:7" ht="12.75">
      <c r="A24" s="14"/>
      <c r="B24" s="14" t="s">
        <v>13</v>
      </c>
      <c r="C24" s="14"/>
      <c r="D24" s="396">
        <v>0</v>
      </c>
      <c r="E24" s="18">
        <f>D24*20.2%</f>
        <v>0</v>
      </c>
      <c r="F24" s="198"/>
      <c r="G24" s="198"/>
    </row>
    <row r="25" spans="1:7" ht="12.75">
      <c r="A25" s="14"/>
      <c r="B25" s="22" t="s">
        <v>112</v>
      </c>
      <c r="C25" s="14"/>
      <c r="D25" s="14">
        <v>1806.19</v>
      </c>
      <c r="E25" s="18">
        <f>D25*20.2%</f>
        <v>364.85038</v>
      </c>
      <c r="F25" s="198"/>
      <c r="G25" s="198"/>
    </row>
    <row r="26" spans="1:7" ht="12.75">
      <c r="A26" s="14">
        <v>2</v>
      </c>
      <c r="B26" s="395" t="s">
        <v>16</v>
      </c>
      <c r="C26" s="14"/>
      <c r="D26" s="14">
        <v>903.36</v>
      </c>
      <c r="E26" s="18"/>
      <c r="F26" s="198"/>
      <c r="G26" s="198"/>
    </row>
    <row r="27" spans="1:7" ht="12.75">
      <c r="A27" s="401" t="s">
        <v>71</v>
      </c>
      <c r="B27" s="402" t="s">
        <v>69</v>
      </c>
      <c r="C27" s="14"/>
      <c r="D27" s="20">
        <f>D28+D29</f>
        <v>26252.769999999997</v>
      </c>
      <c r="E27" s="19">
        <f>E28</f>
        <v>4728.082699999999</v>
      </c>
      <c r="F27" s="198"/>
      <c r="G27" s="198"/>
    </row>
    <row r="28" spans="1:7" ht="12.75">
      <c r="A28" s="14">
        <v>1</v>
      </c>
      <c r="B28" s="22" t="s">
        <v>70</v>
      </c>
      <c r="C28" s="14"/>
      <c r="D28" s="22">
        <v>23406.35</v>
      </c>
      <c r="E28" s="18">
        <f>D28*20.2%</f>
        <v>4728.082699999999</v>
      </c>
      <c r="F28" s="198"/>
      <c r="G28" s="198"/>
    </row>
    <row r="29" spans="1:7" ht="12.75">
      <c r="A29" s="14">
        <v>2</v>
      </c>
      <c r="B29" s="22" t="s">
        <v>16</v>
      </c>
      <c r="C29" s="14"/>
      <c r="D29" s="22">
        <v>2846.42</v>
      </c>
      <c r="E29" s="14"/>
      <c r="F29" s="198"/>
      <c r="G29" s="198"/>
    </row>
    <row r="30" spans="1:7" ht="12.75">
      <c r="A30" s="401" t="s">
        <v>72</v>
      </c>
      <c r="B30" s="20" t="s">
        <v>17</v>
      </c>
      <c r="C30" s="14"/>
      <c r="D30" s="19">
        <f>D31+D32+D33+D34+D35+D36+D37</f>
        <v>13409.35</v>
      </c>
      <c r="E30" s="19"/>
      <c r="F30" s="198"/>
      <c r="G30" s="198"/>
    </row>
    <row r="31" spans="1:7" ht="12.75">
      <c r="A31" s="14"/>
      <c r="B31" s="14" t="s">
        <v>18</v>
      </c>
      <c r="C31" s="14"/>
      <c r="D31" s="18">
        <f>D18*5%</f>
        <v>4970.02</v>
      </c>
      <c r="E31" s="14"/>
      <c r="F31" s="198"/>
      <c r="G31" s="198"/>
    </row>
    <row r="32" spans="1:7" ht="12.75">
      <c r="A32" s="14"/>
      <c r="B32" s="14" t="s">
        <v>19</v>
      </c>
      <c r="C32" s="14"/>
      <c r="D32" s="14">
        <v>632.61</v>
      </c>
      <c r="E32" s="14"/>
      <c r="F32" s="198"/>
      <c r="G32" s="198"/>
    </row>
    <row r="33" spans="1:7" ht="12.75">
      <c r="A33" s="14"/>
      <c r="B33" s="14" t="s">
        <v>21</v>
      </c>
      <c r="C33" s="14"/>
      <c r="D33" s="18">
        <f>3511.41+709.3</f>
        <v>4220.71</v>
      </c>
      <c r="E33" s="18"/>
      <c r="F33" s="198"/>
      <c r="G33" s="198"/>
    </row>
    <row r="34" spans="1:7" ht="12.75">
      <c r="A34" s="14"/>
      <c r="B34" s="22" t="s">
        <v>29</v>
      </c>
      <c r="C34" s="14"/>
      <c r="D34" s="14">
        <f>195.22+38.95</f>
        <v>234.17000000000002</v>
      </c>
      <c r="E34" s="14"/>
      <c r="F34" s="198"/>
      <c r="G34" s="198"/>
    </row>
    <row r="35" spans="1:7" ht="12.75">
      <c r="A35" s="14"/>
      <c r="B35" s="22" t="s">
        <v>34</v>
      </c>
      <c r="C35" s="14"/>
      <c r="D35" s="14">
        <v>652</v>
      </c>
      <c r="E35" s="14"/>
      <c r="F35" s="198"/>
      <c r="G35" s="198"/>
    </row>
    <row r="36" spans="1:7" ht="12.75">
      <c r="A36" s="14"/>
      <c r="B36" s="395" t="s">
        <v>62</v>
      </c>
      <c r="C36" s="14"/>
      <c r="D36" s="14">
        <v>1000.76</v>
      </c>
      <c r="E36" s="14"/>
      <c r="F36" s="198"/>
      <c r="G36" s="198"/>
    </row>
    <row r="37" spans="1:7" ht="12.75">
      <c r="A37" s="14"/>
      <c r="B37" s="14" t="s">
        <v>22</v>
      </c>
      <c r="C37" s="14"/>
      <c r="D37" s="14">
        <v>1699.08</v>
      </c>
      <c r="E37" s="14"/>
      <c r="F37" s="198"/>
      <c r="G37" s="198"/>
    </row>
    <row r="38" spans="1:7" ht="12.75">
      <c r="A38" s="14">
        <v>4</v>
      </c>
      <c r="B38" s="20" t="s">
        <v>199</v>
      </c>
      <c r="C38" s="14"/>
      <c r="D38" s="19">
        <f>18911.87+2839.54</f>
        <v>21751.41</v>
      </c>
      <c r="E38" s="20"/>
      <c r="F38" s="198"/>
      <c r="G38" s="198"/>
    </row>
    <row r="39" spans="1:7" ht="12.75">
      <c r="A39" s="14">
        <v>5</v>
      </c>
      <c r="B39" s="20" t="s">
        <v>24</v>
      </c>
      <c r="C39" s="14"/>
      <c r="D39" s="19">
        <f>D21+E21+D27+E27+D30+E30+D38+E38</f>
        <v>86490.50799999999</v>
      </c>
      <c r="E39" s="14"/>
      <c r="F39" s="198"/>
      <c r="G39" s="198"/>
    </row>
    <row r="40" spans="1:7" ht="12.75">
      <c r="A40" s="14">
        <v>6</v>
      </c>
      <c r="B40" s="14" t="s">
        <v>33</v>
      </c>
      <c r="C40" s="14"/>
      <c r="D40" s="19">
        <f>D18*6%</f>
        <v>5964.023999999999</v>
      </c>
      <c r="E40" s="14"/>
      <c r="F40" s="198"/>
      <c r="G40" s="198"/>
    </row>
    <row r="41" spans="1:7" ht="12.75">
      <c r="A41" s="14">
        <v>7</v>
      </c>
      <c r="B41" s="20" t="s">
        <v>25</v>
      </c>
      <c r="C41" s="14"/>
      <c r="D41" s="19">
        <f>D39+D40</f>
        <v>92454.53199999999</v>
      </c>
      <c r="E41" s="14"/>
      <c r="F41" s="198"/>
      <c r="G41" s="198"/>
    </row>
    <row r="42" spans="1:7" ht="12.75">
      <c r="A42" s="14"/>
      <c r="B42" s="14"/>
      <c r="C42" s="14"/>
      <c r="D42" s="14"/>
      <c r="E42" s="14"/>
      <c r="F42" s="198"/>
      <c r="G42" s="198"/>
    </row>
    <row r="43" spans="1:7" ht="12.75">
      <c r="A43" s="14">
        <v>8</v>
      </c>
      <c r="B43" s="20" t="s">
        <v>87</v>
      </c>
      <c r="C43" s="14"/>
      <c r="D43" s="19">
        <f>D18-D41</f>
        <v>6945.868000000002</v>
      </c>
      <c r="E43" s="14"/>
      <c r="F43" s="198"/>
      <c r="G43" s="198"/>
    </row>
    <row r="44" spans="1:7" ht="12.75">
      <c r="A44" s="14">
        <v>9</v>
      </c>
      <c r="B44" s="20" t="s">
        <v>47</v>
      </c>
      <c r="C44" s="14"/>
      <c r="D44" s="19">
        <f>D10+D43</f>
        <v>-96122.552</v>
      </c>
      <c r="E44" s="14"/>
      <c r="F44" s="198"/>
      <c r="G44" s="198"/>
    </row>
    <row r="45" spans="1:7" ht="12.75">
      <c r="A45" s="3"/>
      <c r="B45" s="426"/>
      <c r="C45" s="3"/>
      <c r="D45" s="429"/>
      <c r="E45" s="3"/>
      <c r="F45" s="198"/>
      <c r="G45" s="198"/>
    </row>
    <row r="46" spans="1:6" ht="12.75">
      <c r="A46" s="3"/>
      <c r="B46" s="426"/>
      <c r="C46" s="3"/>
      <c r="D46" s="198"/>
      <c r="F46" s="198"/>
    </row>
    <row r="47" spans="1:6" ht="12.75">
      <c r="A47" s="1"/>
      <c r="B47" s="1" t="s">
        <v>31</v>
      </c>
      <c r="C47" s="427" t="s">
        <v>0</v>
      </c>
      <c r="D47" s="198"/>
      <c r="F47" s="198"/>
    </row>
    <row r="48" spans="1:6" ht="12.75">
      <c r="A48" s="1"/>
      <c r="B48" s="1" t="s">
        <v>32</v>
      </c>
      <c r="C48" s="427" t="s">
        <v>27</v>
      </c>
      <c r="D48" s="198"/>
      <c r="F48" s="198"/>
    </row>
    <row r="49" spans="4:6" ht="12.75">
      <c r="D49" s="198"/>
      <c r="F49" s="198"/>
    </row>
    <row r="50" spans="4:7" ht="12.75">
      <c r="D50" s="198"/>
      <c r="F50" s="198"/>
      <c r="G50" s="198"/>
    </row>
    <row r="51" spans="4:6" ht="12.75">
      <c r="D51" s="198"/>
      <c r="F51" s="198"/>
    </row>
    <row r="55" ht="12.75">
      <c r="W55" s="1"/>
    </row>
    <row r="56" ht="12.75">
      <c r="W56" s="1"/>
    </row>
  </sheetData>
  <sheetProtection/>
  <mergeCells count="2">
    <mergeCell ref="D8:E8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19">
      <selection activeCell="B41" sqref="B41"/>
    </sheetView>
  </sheetViews>
  <sheetFormatPr defaultColWidth="9.00390625" defaultRowHeight="12.75"/>
  <cols>
    <col min="1" max="1" width="3.75390625" style="0" customWidth="1"/>
    <col min="2" max="2" width="40.375" style="0" customWidth="1"/>
    <col min="3" max="3" width="7.125" style="0" customWidth="1"/>
    <col min="4" max="4" width="12.625" style="0" customWidth="1"/>
    <col min="5" max="5" width="10.00390625" style="0" customWidth="1"/>
    <col min="7" max="7" width="5.25390625" style="0" customWidth="1"/>
    <col min="8" max="8" width="39.875" style="0" customWidth="1"/>
    <col min="10" max="10" width="10.25390625" style="0" customWidth="1"/>
    <col min="13" max="13" width="5.875" style="0" customWidth="1"/>
    <col min="14" max="14" width="35.625" style="0" customWidth="1"/>
    <col min="16" max="16" width="10.00390625" style="0" customWidth="1"/>
    <col min="20" max="20" width="37.75390625" style="0" customWidth="1"/>
    <col min="22" max="22" width="11.75390625" style="0" customWidth="1"/>
  </cols>
  <sheetData>
    <row r="1" spans="1:5" ht="15.75">
      <c r="A1" s="214"/>
      <c r="B1" s="215" t="s">
        <v>26</v>
      </c>
      <c r="C1" s="214"/>
      <c r="D1" s="214"/>
      <c r="E1" s="214"/>
    </row>
    <row r="2" spans="1:5" ht="12.75">
      <c r="A2" s="214"/>
      <c r="B2" s="214"/>
      <c r="C2" s="214"/>
      <c r="D2" s="214"/>
      <c r="E2" s="214"/>
    </row>
    <row r="3" spans="1:5" ht="12.75">
      <c r="A3" s="214"/>
      <c r="B3" s="214" t="s">
        <v>30</v>
      </c>
      <c r="C3" s="214"/>
      <c r="D3" s="214"/>
      <c r="E3" s="214"/>
    </row>
    <row r="4" spans="1:5" ht="12.75">
      <c r="A4" s="214"/>
      <c r="B4" s="457" t="s">
        <v>132</v>
      </c>
      <c r="C4" s="214"/>
      <c r="D4" s="214"/>
      <c r="E4" s="214"/>
    </row>
    <row r="5" spans="1:5" ht="12.75">
      <c r="A5" s="214"/>
      <c r="B5" s="214" t="s">
        <v>42</v>
      </c>
      <c r="C5" s="214"/>
      <c r="D5" s="214"/>
      <c r="E5" s="214"/>
    </row>
    <row r="6" spans="1:5" ht="15.75">
      <c r="A6" s="438"/>
      <c r="B6" s="471" t="s">
        <v>1</v>
      </c>
      <c r="C6" s="472" t="s">
        <v>3</v>
      </c>
      <c r="D6" s="537" t="s">
        <v>4</v>
      </c>
      <c r="E6" s="538"/>
    </row>
    <row r="7" spans="1:5" ht="15.75">
      <c r="A7" s="218"/>
      <c r="B7" s="216" t="s">
        <v>2</v>
      </c>
      <c r="C7" s="217" t="s">
        <v>35</v>
      </c>
      <c r="D7" s="535" t="s">
        <v>121</v>
      </c>
      <c r="E7" s="536"/>
    </row>
    <row r="8" spans="1:5" ht="12.75">
      <c r="A8" s="219"/>
      <c r="B8" s="220" t="s">
        <v>80</v>
      </c>
      <c r="C8" s="219"/>
      <c r="D8" s="469">
        <v>17181.28</v>
      </c>
      <c r="E8" s="470"/>
    </row>
    <row r="9" spans="1:5" ht="12.75">
      <c r="A9" s="219"/>
      <c r="B9" s="220" t="s">
        <v>5</v>
      </c>
      <c r="C9" s="219" t="s">
        <v>36</v>
      </c>
      <c r="D9" s="219">
        <v>5388.2</v>
      </c>
      <c r="E9" s="219"/>
    </row>
    <row r="10" spans="1:5" ht="12.75">
      <c r="A10" s="219"/>
      <c r="B10" s="220" t="s">
        <v>6</v>
      </c>
      <c r="C10" s="219" t="s">
        <v>36</v>
      </c>
      <c r="D10" s="219">
        <v>4378</v>
      </c>
      <c r="E10" s="219"/>
    </row>
    <row r="11" spans="1:5" ht="12.75">
      <c r="A11" s="219"/>
      <c r="B11" s="221" t="s">
        <v>28</v>
      </c>
      <c r="C11" s="219" t="s">
        <v>38</v>
      </c>
      <c r="D11" s="219">
        <v>165733.44</v>
      </c>
      <c r="E11" s="219"/>
    </row>
    <row r="12" spans="1:5" ht="12.75">
      <c r="A12" s="219"/>
      <c r="B12" s="219"/>
      <c r="C12" s="219"/>
      <c r="D12" s="219"/>
      <c r="E12" s="219"/>
    </row>
    <row r="13" spans="1:5" ht="15.75">
      <c r="A13" s="219"/>
      <c r="B13" s="222" t="s">
        <v>7</v>
      </c>
      <c r="C13" s="219"/>
      <c r="D13" s="219"/>
      <c r="E13" s="219"/>
    </row>
    <row r="14" spans="1:5" ht="12.75">
      <c r="A14" s="219">
        <v>1</v>
      </c>
      <c r="B14" s="219" t="s">
        <v>8</v>
      </c>
      <c r="C14" s="219" t="s">
        <v>9</v>
      </c>
      <c r="D14" s="219">
        <v>157566.27</v>
      </c>
      <c r="E14" s="219"/>
    </row>
    <row r="15" spans="1:5" ht="12.75">
      <c r="A15" s="219">
        <v>2</v>
      </c>
      <c r="B15" s="219" t="s">
        <v>104</v>
      </c>
      <c r="C15" s="219"/>
      <c r="D15" s="219">
        <f>15235.37+6000+2400</f>
        <v>23635.370000000003</v>
      </c>
      <c r="E15" s="219"/>
    </row>
    <row r="16" spans="1:5" ht="15.75">
      <c r="A16" s="219"/>
      <c r="B16" s="222" t="s">
        <v>10</v>
      </c>
      <c r="C16" s="219"/>
      <c r="D16" s="223">
        <f>D14+D15</f>
        <v>181201.63999999998</v>
      </c>
      <c r="E16" s="219"/>
    </row>
    <row r="17" spans="1:5" ht="15.75">
      <c r="A17" s="219"/>
      <c r="B17" s="222"/>
      <c r="C17" s="219"/>
      <c r="D17" s="223"/>
      <c r="E17" s="219"/>
    </row>
    <row r="18" spans="1:5" ht="15.75">
      <c r="A18" s="14"/>
      <c r="B18" s="17" t="s">
        <v>66</v>
      </c>
      <c r="C18" s="14"/>
      <c r="D18" s="20"/>
      <c r="E18" s="51" t="s">
        <v>15</v>
      </c>
    </row>
    <row r="19" spans="1:5" ht="12.75">
      <c r="A19" s="401" t="s">
        <v>67</v>
      </c>
      <c r="B19" s="16" t="s">
        <v>68</v>
      </c>
      <c r="C19" s="14"/>
      <c r="D19" s="20">
        <f>D20+D24</f>
        <v>20502.32</v>
      </c>
      <c r="E19" s="19">
        <f>E20</f>
        <v>4495.435259999999</v>
      </c>
    </row>
    <row r="20" spans="1:5" ht="12.75">
      <c r="A20" s="14">
        <v>1</v>
      </c>
      <c r="B20" s="20" t="s">
        <v>11</v>
      </c>
      <c r="C20" s="395" t="s">
        <v>9</v>
      </c>
      <c r="D20" s="20">
        <f>D21</f>
        <v>18944.17</v>
      </c>
      <c r="E20" s="19">
        <f>E21+E22+E23</f>
        <v>4495.435259999999</v>
      </c>
    </row>
    <row r="21" spans="1:5" ht="12.75">
      <c r="A21" s="14"/>
      <c r="B21" s="14" t="s">
        <v>12</v>
      </c>
      <c r="C21" s="14"/>
      <c r="D21" s="14">
        <v>18944.17</v>
      </c>
      <c r="E21" s="18">
        <f>D21*20.2%</f>
        <v>3826.7223399999993</v>
      </c>
    </row>
    <row r="22" spans="1:5" ht="12.75">
      <c r="A22" s="14"/>
      <c r="B22" s="14" t="s">
        <v>13</v>
      </c>
      <c r="C22" s="14"/>
      <c r="D22" s="396"/>
      <c r="E22" s="18">
        <f>D22*20.2%</f>
        <v>0</v>
      </c>
    </row>
    <row r="23" spans="1:5" ht="12.75">
      <c r="A23" s="14"/>
      <c r="B23" s="22" t="s">
        <v>112</v>
      </c>
      <c r="C23" s="14"/>
      <c r="D23" s="14">
        <v>3310.46</v>
      </c>
      <c r="E23" s="18">
        <f>D23*20.2%</f>
        <v>668.7129199999999</v>
      </c>
    </row>
    <row r="24" spans="1:5" ht="12.75">
      <c r="A24" s="14">
        <v>2</v>
      </c>
      <c r="B24" s="395" t="s">
        <v>16</v>
      </c>
      <c r="C24" s="14"/>
      <c r="D24" s="14">
        <v>1558.15</v>
      </c>
      <c r="E24" s="18"/>
    </row>
    <row r="25" spans="1:5" ht="12.75">
      <c r="A25" s="401" t="s">
        <v>71</v>
      </c>
      <c r="B25" s="402" t="s">
        <v>69</v>
      </c>
      <c r="C25" s="14"/>
      <c r="D25" s="20">
        <f>D26+D27+D28+D29</f>
        <v>55540.899999999994</v>
      </c>
      <c r="E25" s="19">
        <f>E26</f>
        <v>8155.206619999999</v>
      </c>
    </row>
    <row r="26" spans="1:5" ht="12.75">
      <c r="A26" s="14">
        <v>1</v>
      </c>
      <c r="B26" s="22" t="s">
        <v>70</v>
      </c>
      <c r="C26" s="14"/>
      <c r="D26" s="22">
        <v>40372.31</v>
      </c>
      <c r="E26" s="18">
        <f>D26*20.2%</f>
        <v>8155.206619999999</v>
      </c>
    </row>
    <row r="27" spans="1:5" ht="12.75">
      <c r="A27" s="14">
        <v>2</v>
      </c>
      <c r="B27" s="22" t="s">
        <v>16</v>
      </c>
      <c r="C27" s="14"/>
      <c r="D27" s="22">
        <f>283.37+6805.52</f>
        <v>7088.89</v>
      </c>
      <c r="E27" s="14"/>
    </row>
    <row r="28" spans="1:5" ht="12.75">
      <c r="A28" s="14">
        <v>3</v>
      </c>
      <c r="B28" s="22" t="s">
        <v>101</v>
      </c>
      <c r="C28" s="14"/>
      <c r="D28" s="22">
        <v>363.5</v>
      </c>
      <c r="E28" s="14"/>
    </row>
    <row r="29" spans="1:5" ht="12.75">
      <c r="A29" s="14">
        <v>4</v>
      </c>
      <c r="B29" s="22" t="s">
        <v>107</v>
      </c>
      <c r="C29" s="14"/>
      <c r="D29" s="22">
        <v>7716.2</v>
      </c>
      <c r="E29" s="14"/>
    </row>
    <row r="30" spans="1:5" ht="12.75">
      <c r="A30" s="401" t="s">
        <v>72</v>
      </c>
      <c r="B30" s="20" t="s">
        <v>17</v>
      </c>
      <c r="C30" s="14"/>
      <c r="D30" s="19">
        <f>D31+D32+D33+D34+D35+D36+D37+D38+D39</f>
        <v>33493.112</v>
      </c>
      <c r="E30" s="19"/>
    </row>
    <row r="31" spans="1:5" ht="12.75">
      <c r="A31" s="14"/>
      <c r="B31" s="14" t="s">
        <v>18</v>
      </c>
      <c r="C31" s="14"/>
      <c r="D31" s="18">
        <f>D16*5%</f>
        <v>9060.082</v>
      </c>
      <c r="E31" s="14"/>
    </row>
    <row r="32" spans="1:5" ht="12.75">
      <c r="A32" s="14"/>
      <c r="B32" s="14" t="s">
        <v>19</v>
      </c>
      <c r="C32" s="14"/>
      <c r="D32" s="14">
        <v>1073.99</v>
      </c>
      <c r="E32" s="14"/>
    </row>
    <row r="33" spans="1:5" ht="12.75">
      <c r="A33" s="14"/>
      <c r="B33" s="22" t="s">
        <v>20</v>
      </c>
      <c r="C33" s="14"/>
      <c r="D33" s="14">
        <v>2888</v>
      </c>
      <c r="E33" s="14"/>
    </row>
    <row r="34" spans="1:5" ht="12.75">
      <c r="A34" s="14"/>
      <c r="B34" s="14" t="s">
        <v>21</v>
      </c>
      <c r="C34" s="14"/>
      <c r="D34" s="18">
        <f>6056.63+1223.44</f>
        <v>7280.07</v>
      </c>
      <c r="E34" s="18"/>
    </row>
    <row r="35" spans="1:5" ht="12.75">
      <c r="A35" s="14"/>
      <c r="B35" s="22" t="s">
        <v>133</v>
      </c>
      <c r="C35" s="14"/>
      <c r="D35" s="14">
        <v>6000</v>
      </c>
      <c r="E35" s="14"/>
    </row>
    <row r="36" spans="1:5" ht="12.75">
      <c r="A36" s="14"/>
      <c r="B36" s="395" t="s">
        <v>62</v>
      </c>
      <c r="C36" s="14"/>
      <c r="D36" s="14">
        <v>1726.16</v>
      </c>
      <c r="E36" s="14"/>
    </row>
    <row r="37" spans="1:5" ht="12.75">
      <c r="A37" s="14"/>
      <c r="B37" s="22" t="s">
        <v>29</v>
      </c>
      <c r="C37" s="14"/>
      <c r="D37" s="14">
        <f>195.22+38.95</f>
        <v>234.17000000000002</v>
      </c>
      <c r="E37" s="14"/>
    </row>
    <row r="38" spans="1:5" ht="12.75">
      <c r="A38" s="14"/>
      <c r="B38" s="22" t="s">
        <v>134</v>
      </c>
      <c r="C38" s="14"/>
      <c r="D38" s="14">
        <v>2300</v>
      </c>
      <c r="E38" s="14"/>
    </row>
    <row r="39" spans="1:5" ht="12.75">
      <c r="A39" s="14"/>
      <c r="B39" s="14" t="s">
        <v>22</v>
      </c>
      <c r="C39" s="14"/>
      <c r="D39" s="14">
        <v>2930.64</v>
      </c>
      <c r="E39" s="14"/>
    </row>
    <row r="40" spans="1:5" ht="12.75">
      <c r="A40" s="14">
        <v>4</v>
      </c>
      <c r="B40" s="20" t="s">
        <v>199</v>
      </c>
      <c r="C40" s="14"/>
      <c r="D40" s="19">
        <f>32620.01+4897.76</f>
        <v>37517.77</v>
      </c>
      <c r="E40" s="19"/>
    </row>
    <row r="41" spans="1:5" ht="12.75">
      <c r="A41" s="14">
        <v>5</v>
      </c>
      <c r="B41" s="20" t="s">
        <v>24</v>
      </c>
      <c r="C41" s="14"/>
      <c r="D41" s="19">
        <f>D19+E19+D25+E25+D30+E30+D40+E40</f>
        <v>159704.74388</v>
      </c>
      <c r="E41" s="14"/>
    </row>
    <row r="42" spans="1:5" ht="12.75">
      <c r="A42" s="14">
        <v>6</v>
      </c>
      <c r="B42" s="14" t="s">
        <v>33</v>
      </c>
      <c r="C42" s="14"/>
      <c r="D42" s="19">
        <f>D16*6%</f>
        <v>10872.098399999999</v>
      </c>
      <c r="E42" s="14"/>
    </row>
    <row r="43" spans="1:5" ht="12.75">
      <c r="A43" s="14">
        <v>7</v>
      </c>
      <c r="B43" s="20" t="s">
        <v>25</v>
      </c>
      <c r="C43" s="14"/>
      <c r="D43" s="19">
        <f>D41+D42</f>
        <v>170576.84227999998</v>
      </c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>
        <v>8</v>
      </c>
      <c r="B45" s="20" t="s">
        <v>87</v>
      </c>
      <c r="C45" s="14"/>
      <c r="D45" s="19">
        <f>D16-D43</f>
        <v>10624.797720000002</v>
      </c>
      <c r="E45" s="14"/>
    </row>
    <row r="46" spans="1:5" ht="12.75">
      <c r="A46" s="14">
        <v>9</v>
      </c>
      <c r="B46" s="20" t="s">
        <v>47</v>
      </c>
      <c r="C46" s="14"/>
      <c r="D46" s="19">
        <f>D8+D45</f>
        <v>27806.07772</v>
      </c>
      <c r="E46" s="14"/>
    </row>
    <row r="47" spans="1:5" ht="12.75">
      <c r="A47" s="3"/>
      <c r="B47" s="426"/>
      <c r="C47" s="3"/>
      <c r="D47" s="429"/>
      <c r="E47" s="3"/>
    </row>
    <row r="48" spans="1:5" ht="12.75">
      <c r="A48" s="1"/>
      <c r="B48" s="1" t="s">
        <v>31</v>
      </c>
      <c r="C48" s="1"/>
      <c r="D48" s="1" t="s">
        <v>0</v>
      </c>
      <c r="E48" s="1"/>
    </row>
    <row r="49" spans="1:5" ht="12.75">
      <c r="A49" s="1"/>
      <c r="B49" s="1" t="s">
        <v>32</v>
      </c>
      <c r="C49" s="1"/>
      <c r="D49" s="1" t="s">
        <v>27</v>
      </c>
      <c r="E49" s="1"/>
    </row>
  </sheetData>
  <sheetProtection/>
  <mergeCells count="2"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zoomScalePageLayoutView="0" workbookViewId="0" topLeftCell="A24">
      <selection activeCell="H43" sqref="H43"/>
    </sheetView>
  </sheetViews>
  <sheetFormatPr defaultColWidth="9.00390625" defaultRowHeight="12.75"/>
  <cols>
    <col min="1" max="1" width="7.00390625" style="0" customWidth="1"/>
    <col min="2" max="2" width="45.00390625" style="0" customWidth="1"/>
    <col min="3" max="3" width="6.25390625" style="0" customWidth="1"/>
    <col min="4" max="4" width="11.75390625" style="0" customWidth="1"/>
    <col min="5" max="5" width="11.125" style="0" customWidth="1"/>
    <col min="7" max="7" width="3.75390625" style="0" customWidth="1"/>
    <col min="8" max="8" width="40.125" style="0" customWidth="1"/>
    <col min="10" max="10" width="11.125" style="0" customWidth="1"/>
    <col min="13" max="13" width="4.875" style="0" customWidth="1"/>
    <col min="14" max="14" width="40.875" style="0" customWidth="1"/>
    <col min="16" max="16" width="11.375" style="0" customWidth="1"/>
    <col min="20" max="20" width="38.00390625" style="0" customWidth="1"/>
    <col min="22" max="22" width="11.00390625" style="0" customWidth="1"/>
  </cols>
  <sheetData>
    <row r="1" spans="1:5" ht="15.75">
      <c r="A1" s="224"/>
      <c r="B1" s="225" t="s">
        <v>26</v>
      </c>
      <c r="C1" s="224"/>
      <c r="D1" s="224"/>
      <c r="E1" s="224"/>
    </row>
    <row r="2" spans="1:5" ht="12.75">
      <c r="A2" s="224"/>
      <c r="B2" s="224"/>
      <c r="C2" s="224"/>
      <c r="D2" s="224"/>
      <c r="E2" s="224"/>
    </row>
    <row r="3" spans="1:5" ht="12.75">
      <c r="A3" s="224"/>
      <c r="B3" s="388" t="s">
        <v>90</v>
      </c>
      <c r="C3" s="224"/>
      <c r="D3" s="224"/>
      <c r="E3" s="224"/>
    </row>
    <row r="4" spans="1:5" ht="12.75">
      <c r="A4" s="224"/>
      <c r="B4" s="458" t="s">
        <v>135</v>
      </c>
      <c r="C4" s="224"/>
      <c r="D4" s="224"/>
      <c r="E4" s="224"/>
    </row>
    <row r="5" spans="1:5" ht="12.75">
      <c r="A5" s="226"/>
      <c r="B5" s="226"/>
      <c r="C5" s="226"/>
      <c r="D5" s="226"/>
      <c r="E5" s="224"/>
    </row>
    <row r="6" spans="1:5" ht="12.75">
      <c r="A6" s="539"/>
      <c r="B6" s="539"/>
      <c r="C6" s="539"/>
      <c r="D6" s="227"/>
      <c r="E6" s="228"/>
    </row>
    <row r="7" spans="1:5" ht="12.75">
      <c r="A7" s="229"/>
      <c r="B7" s="229"/>
      <c r="C7" s="229"/>
      <c r="D7" s="230"/>
      <c r="E7" s="231"/>
    </row>
    <row r="8" spans="1:5" ht="15.75">
      <c r="A8" s="229"/>
      <c r="B8" s="232" t="s">
        <v>1</v>
      </c>
      <c r="C8" s="233" t="s">
        <v>3</v>
      </c>
      <c r="D8" s="540" t="s">
        <v>4</v>
      </c>
      <c r="E8" s="541"/>
    </row>
    <row r="9" spans="1:5" ht="15.75">
      <c r="A9" s="234"/>
      <c r="B9" s="232" t="s">
        <v>2</v>
      </c>
      <c r="C9" s="233" t="s">
        <v>35</v>
      </c>
      <c r="D9" s="542" t="s">
        <v>124</v>
      </c>
      <c r="E9" s="543"/>
    </row>
    <row r="10" spans="1:5" ht="12.75">
      <c r="A10" s="235"/>
      <c r="B10" s="235"/>
      <c r="C10" s="235"/>
      <c r="D10" s="236"/>
      <c r="E10" s="237"/>
    </row>
    <row r="11" spans="1:5" ht="12.75">
      <c r="A11" s="235"/>
      <c r="B11" s="416" t="s">
        <v>80</v>
      </c>
      <c r="C11" s="235"/>
      <c r="D11" s="465">
        <v>-189284.04</v>
      </c>
      <c r="E11" s="237"/>
    </row>
    <row r="12" spans="1:5" ht="12.75">
      <c r="A12" s="238"/>
      <c r="B12" s="239" t="s">
        <v>5</v>
      </c>
      <c r="C12" s="238" t="s">
        <v>36</v>
      </c>
      <c r="D12" s="238">
        <v>6439.15</v>
      </c>
      <c r="E12" s="238"/>
    </row>
    <row r="13" spans="1:5" ht="12.75">
      <c r="A13" s="238"/>
      <c r="B13" s="239" t="s">
        <v>6</v>
      </c>
      <c r="C13" s="238" t="s">
        <v>36</v>
      </c>
      <c r="D13" s="244">
        <v>4391.3</v>
      </c>
      <c r="E13" s="238"/>
    </row>
    <row r="14" spans="1:5" ht="12.75">
      <c r="A14" s="238"/>
      <c r="B14" s="240" t="s">
        <v>39</v>
      </c>
      <c r="C14" s="238" t="s">
        <v>9</v>
      </c>
      <c r="D14" s="241">
        <v>180418.86</v>
      </c>
      <c r="E14" s="238"/>
    </row>
    <row r="15" spans="1:5" ht="15.75">
      <c r="A15" s="238"/>
      <c r="B15" s="242" t="s">
        <v>7</v>
      </c>
      <c r="C15" s="238"/>
      <c r="D15" s="238"/>
      <c r="E15" s="238"/>
    </row>
    <row r="16" spans="1:5" ht="12.75">
      <c r="A16" s="238">
        <v>1</v>
      </c>
      <c r="B16" s="238" t="s">
        <v>8</v>
      </c>
      <c r="C16" s="238" t="s">
        <v>9</v>
      </c>
      <c r="D16" s="244">
        <v>170040.34</v>
      </c>
      <c r="E16" s="238"/>
    </row>
    <row r="17" spans="1:5" ht="12.75">
      <c r="A17" s="238">
        <v>2</v>
      </c>
      <c r="B17" s="238" t="s">
        <v>104</v>
      </c>
      <c r="C17" s="238"/>
      <c r="D17" s="238">
        <v>4800</v>
      </c>
      <c r="E17" s="238"/>
    </row>
    <row r="18" spans="1:5" ht="15.75">
      <c r="A18" s="238"/>
      <c r="B18" s="242" t="s">
        <v>10</v>
      </c>
      <c r="C18" s="238"/>
      <c r="D18" s="243">
        <f>D16+D17</f>
        <v>174840.34</v>
      </c>
      <c r="E18" s="238"/>
    </row>
    <row r="19" spans="1:5" ht="15.75">
      <c r="A19" s="238"/>
      <c r="B19" s="242"/>
      <c r="C19" s="238"/>
      <c r="D19" s="241"/>
      <c r="E19" s="238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19">
        <f>D22+D27</f>
        <v>64117.41</v>
      </c>
      <c r="E21" s="19">
        <f>E22</f>
        <v>12636.01304</v>
      </c>
    </row>
    <row r="22" spans="1:5" ht="12.75">
      <c r="A22" s="14">
        <v>1</v>
      </c>
      <c r="B22" s="20" t="s">
        <v>11</v>
      </c>
      <c r="C22" s="395" t="s">
        <v>9</v>
      </c>
      <c r="D22" s="19">
        <f>D23+D24+D25+D26</f>
        <v>62554.520000000004</v>
      </c>
      <c r="E22" s="19">
        <f>E23+E24+E25+E26</f>
        <v>12636.01304</v>
      </c>
    </row>
    <row r="23" spans="1:5" ht="12.75">
      <c r="A23" s="14"/>
      <c r="B23" s="14" t="s">
        <v>12</v>
      </c>
      <c r="C23" s="14"/>
      <c r="D23" s="14">
        <v>13540.52</v>
      </c>
      <c r="E23" s="18">
        <f>D23*20.2%</f>
        <v>2735.18504</v>
      </c>
    </row>
    <row r="24" spans="1:5" ht="12.75">
      <c r="A24" s="14"/>
      <c r="B24" s="14" t="s">
        <v>13</v>
      </c>
      <c r="C24" s="14"/>
      <c r="D24" s="396">
        <v>23070.33</v>
      </c>
      <c r="E24" s="18">
        <f>D24*20.2%</f>
        <v>4660.20666</v>
      </c>
    </row>
    <row r="25" spans="1:5" ht="12.75">
      <c r="A25" s="14"/>
      <c r="B25" s="14" t="s">
        <v>14</v>
      </c>
      <c r="C25" s="14"/>
      <c r="D25" s="14">
        <v>25130.07</v>
      </c>
      <c r="E25" s="18">
        <f>D25*20.2%</f>
        <v>5076.2741399999995</v>
      </c>
    </row>
    <row r="26" spans="1:5" ht="12.75">
      <c r="A26" s="14"/>
      <c r="B26" s="22" t="s">
        <v>112</v>
      </c>
      <c r="C26" s="14"/>
      <c r="D26" s="14">
        <v>813.6</v>
      </c>
      <c r="E26" s="18">
        <f>D26*20.2%</f>
        <v>164.3472</v>
      </c>
    </row>
    <row r="27" spans="1:5" ht="12.75">
      <c r="A27" s="14">
        <v>2</v>
      </c>
      <c r="B27" s="395" t="s">
        <v>16</v>
      </c>
      <c r="C27" s="14"/>
      <c r="D27" s="14">
        <v>1562.89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57134.759999999995</v>
      </c>
      <c r="E28" s="19">
        <f>E29</f>
        <v>8179.979899999998</v>
      </c>
    </row>
    <row r="29" spans="1:5" ht="12.75">
      <c r="A29" s="14">
        <v>1</v>
      </c>
      <c r="B29" s="22" t="s">
        <v>70</v>
      </c>
      <c r="C29" s="14"/>
      <c r="D29" s="22">
        <v>40494.95</v>
      </c>
      <c r="E29" s="18">
        <f>D29*20.2%</f>
        <v>8179.979899999998</v>
      </c>
    </row>
    <row r="30" spans="1:5" ht="12.75">
      <c r="A30" s="14">
        <v>2</v>
      </c>
      <c r="B30" s="22" t="s">
        <v>16</v>
      </c>
      <c r="C30" s="14"/>
      <c r="D30" s="22">
        <v>16639.81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D32+D33+D34+D35+D36+D37+D38+D39</f>
        <v>31170.006999999998</v>
      </c>
      <c r="E31" s="19"/>
    </row>
    <row r="32" spans="1:5" ht="12.75">
      <c r="A32" s="14"/>
      <c r="B32" s="14" t="s">
        <v>18</v>
      </c>
      <c r="C32" s="14"/>
      <c r="D32" s="18">
        <f>D18*5%</f>
        <v>8742.017</v>
      </c>
      <c r="E32" s="14"/>
    </row>
    <row r="33" spans="1:5" ht="12.75">
      <c r="A33" s="14"/>
      <c r="B33" s="14" t="s">
        <v>19</v>
      </c>
      <c r="C33" s="14"/>
      <c r="D33" s="14">
        <v>458.26</v>
      </c>
      <c r="E33" s="14"/>
    </row>
    <row r="34" spans="1:5" ht="12.75">
      <c r="A34" s="14"/>
      <c r="B34" s="14" t="s">
        <v>21</v>
      </c>
      <c r="C34" s="14"/>
      <c r="D34" s="18">
        <f>6075.03+1227.16</f>
        <v>7302.19</v>
      </c>
      <c r="E34" s="18"/>
    </row>
    <row r="35" spans="1:5" ht="12.75">
      <c r="A35" s="14"/>
      <c r="B35" s="22" t="s">
        <v>29</v>
      </c>
      <c r="C35" s="14"/>
      <c r="D35" s="14">
        <f>195.22+38.95</f>
        <v>234.17000000000002</v>
      </c>
      <c r="E35" s="14"/>
    </row>
    <row r="36" spans="1:5" ht="12.75">
      <c r="A36" s="14"/>
      <c r="B36" s="395" t="s">
        <v>62</v>
      </c>
      <c r="C36" s="14"/>
      <c r="D36" s="14">
        <v>1731.4</v>
      </c>
      <c r="E36" s="14"/>
    </row>
    <row r="37" spans="1:5" ht="12.75">
      <c r="A37" s="14"/>
      <c r="B37" s="395" t="s">
        <v>61</v>
      </c>
      <c r="C37" s="14"/>
      <c r="D37" s="14">
        <v>9020.83</v>
      </c>
      <c r="E37" s="14"/>
    </row>
    <row r="38" spans="1:5" ht="12.75">
      <c r="A38" s="14"/>
      <c r="B38" s="22" t="s">
        <v>34</v>
      </c>
      <c r="C38" s="14"/>
      <c r="D38" s="14">
        <v>741.6</v>
      </c>
      <c r="E38" s="14"/>
    </row>
    <row r="39" spans="1:5" ht="12.75">
      <c r="A39" s="14"/>
      <c r="B39" s="14" t="s">
        <v>22</v>
      </c>
      <c r="C39" s="14"/>
      <c r="D39" s="14">
        <v>2939.54</v>
      </c>
      <c r="E39" s="14"/>
    </row>
    <row r="40" spans="1:5" ht="12.75">
      <c r="A40" s="14">
        <v>4</v>
      </c>
      <c r="B40" s="20" t="s">
        <v>199</v>
      </c>
      <c r="C40" s="14"/>
      <c r="D40" s="19">
        <f>32719.1+4912.64</f>
        <v>37631.74</v>
      </c>
      <c r="E40" s="19"/>
    </row>
    <row r="41" spans="1:5" ht="12.75">
      <c r="A41" s="14">
        <v>5</v>
      </c>
      <c r="B41" s="20" t="s">
        <v>24</v>
      </c>
      <c r="C41" s="14"/>
      <c r="D41" s="19">
        <f>D21+E21+D28+E28+D31+E31+D40+E40</f>
        <v>210869.90993999998</v>
      </c>
      <c r="E41" s="14"/>
    </row>
    <row r="42" spans="1:5" ht="12.75">
      <c r="A42" s="14">
        <v>6</v>
      </c>
      <c r="B42" s="14" t="s">
        <v>33</v>
      </c>
      <c r="C42" s="14"/>
      <c r="D42" s="19">
        <f>D18*6%</f>
        <v>10490.420399999999</v>
      </c>
      <c r="E42" s="14"/>
    </row>
    <row r="43" spans="1:5" ht="12.75">
      <c r="A43" s="14">
        <v>7</v>
      </c>
      <c r="B43" s="20" t="s">
        <v>25</v>
      </c>
      <c r="C43" s="14"/>
      <c r="D43" s="19">
        <f>D41+D42</f>
        <v>221360.33034</v>
      </c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>
        <v>8</v>
      </c>
      <c r="B45" s="20" t="s">
        <v>87</v>
      </c>
      <c r="C45" s="14"/>
      <c r="D45" s="19">
        <f>D18-D43</f>
        <v>-46519.99033999999</v>
      </c>
      <c r="E45" s="14"/>
    </row>
    <row r="46" spans="1:5" ht="12.75">
      <c r="A46" s="14">
        <v>9</v>
      </c>
      <c r="B46" s="20" t="s">
        <v>47</v>
      </c>
      <c r="C46" s="14"/>
      <c r="D46" s="19">
        <f>D11+D45</f>
        <v>-235804.03034</v>
      </c>
      <c r="E46" s="14"/>
    </row>
    <row r="47" spans="1:5" ht="12.75">
      <c r="A47" s="3"/>
      <c r="B47" s="426"/>
      <c r="C47" s="3"/>
      <c r="D47" s="429"/>
      <c r="E47" s="3"/>
    </row>
    <row r="48" spans="1:5" ht="12.75">
      <c r="A48" s="3"/>
      <c r="B48" s="426"/>
      <c r="C48" s="3"/>
      <c r="D48" s="429"/>
      <c r="E48" s="3"/>
    </row>
    <row r="49" spans="1:5" ht="12.75">
      <c r="A49" s="1"/>
      <c r="B49" s="1" t="s">
        <v>31</v>
      </c>
      <c r="C49" s="1"/>
      <c r="D49" s="1" t="s">
        <v>0</v>
      </c>
      <c r="E49" s="1"/>
    </row>
    <row r="50" spans="1:5" ht="12.75">
      <c r="A50" s="1"/>
      <c r="B50" s="1" t="s">
        <v>32</v>
      </c>
      <c r="C50" s="1"/>
      <c r="D50" s="1" t="s">
        <v>27</v>
      </c>
      <c r="E50" s="1"/>
    </row>
  </sheetData>
  <sheetProtection/>
  <mergeCells count="3">
    <mergeCell ref="A6:C6"/>
    <mergeCell ref="D8:E8"/>
    <mergeCell ref="D9:E9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21">
      <selection activeCell="H37" sqref="H37"/>
    </sheetView>
  </sheetViews>
  <sheetFormatPr defaultColWidth="9.00390625" defaultRowHeight="12.75"/>
  <cols>
    <col min="1" max="1" width="3.75390625" style="0" customWidth="1"/>
    <col min="2" max="2" width="40.375" style="0" customWidth="1"/>
    <col min="3" max="3" width="8.625" style="0" customWidth="1"/>
    <col min="4" max="5" width="11.125" style="0" customWidth="1"/>
    <col min="7" max="7" width="3.75390625" style="0" customWidth="1"/>
    <col min="8" max="8" width="39.375" style="0" customWidth="1"/>
    <col min="10" max="10" width="10.00390625" style="0" customWidth="1"/>
    <col min="13" max="13" width="5.00390625" style="0" customWidth="1"/>
    <col min="14" max="14" width="43.125" style="0" customWidth="1"/>
    <col min="16" max="16" width="10.625" style="0" customWidth="1"/>
    <col min="20" max="20" width="41.00390625" style="0" customWidth="1"/>
    <col min="22" max="22" width="11.375" style="0" customWidth="1"/>
  </cols>
  <sheetData>
    <row r="1" spans="1:5" ht="15.75">
      <c r="A1" s="245"/>
      <c r="B1" s="246" t="s">
        <v>26</v>
      </c>
      <c r="C1" s="245"/>
      <c r="D1" s="245"/>
      <c r="E1" s="245"/>
    </row>
    <row r="2" spans="1:5" ht="12.75">
      <c r="A2" s="245"/>
      <c r="B2" s="245"/>
      <c r="C2" s="245"/>
      <c r="D2" s="245"/>
      <c r="E2" s="245"/>
    </row>
    <row r="3" spans="1:5" ht="12.75">
      <c r="A3" s="245"/>
      <c r="B3" s="245" t="s">
        <v>30</v>
      </c>
      <c r="C3" s="245"/>
      <c r="D3" s="245"/>
      <c r="E3" s="245"/>
    </row>
    <row r="4" spans="1:5" ht="12.75">
      <c r="A4" s="245"/>
      <c r="B4" s="459" t="s">
        <v>136</v>
      </c>
      <c r="C4" s="245"/>
      <c r="D4" s="245"/>
      <c r="E4" s="245"/>
    </row>
    <row r="5" spans="1:5" ht="12.75">
      <c r="A5" s="245"/>
      <c r="B5" s="245" t="s">
        <v>44</v>
      </c>
      <c r="C5" s="245"/>
      <c r="D5" s="245"/>
      <c r="E5" s="245"/>
    </row>
    <row r="6" spans="1:5" ht="12.75">
      <c r="A6" s="439"/>
      <c r="B6" s="439"/>
      <c r="C6" s="439"/>
      <c r="D6" s="248"/>
      <c r="E6" s="440"/>
    </row>
    <row r="7" spans="1:5" ht="15.75">
      <c r="A7" s="247"/>
      <c r="B7" s="249" t="s">
        <v>1</v>
      </c>
      <c r="C7" s="250" t="s">
        <v>3</v>
      </c>
      <c r="D7" s="546" t="s">
        <v>4</v>
      </c>
      <c r="E7" s="547"/>
    </row>
    <row r="8" spans="1:5" ht="15.75">
      <c r="A8" s="251"/>
      <c r="B8" s="249" t="s">
        <v>2</v>
      </c>
      <c r="C8" s="250" t="s">
        <v>35</v>
      </c>
      <c r="D8" s="544" t="s">
        <v>121</v>
      </c>
      <c r="E8" s="545"/>
    </row>
    <row r="9" spans="1:5" ht="12.75">
      <c r="A9" s="252"/>
      <c r="B9" s="252"/>
      <c r="C9" s="252"/>
      <c r="D9" s="253"/>
      <c r="E9" s="254"/>
    </row>
    <row r="10" spans="1:5" ht="12.75">
      <c r="A10" s="252"/>
      <c r="B10" s="417" t="s">
        <v>80</v>
      </c>
      <c r="C10" s="252"/>
      <c r="D10" s="253">
        <v>-953.73</v>
      </c>
      <c r="E10" s="254"/>
    </row>
    <row r="11" spans="1:5" ht="12.75">
      <c r="A11" s="255"/>
      <c r="B11" s="256" t="s">
        <v>5</v>
      </c>
      <c r="C11" s="255" t="s">
        <v>36</v>
      </c>
      <c r="D11" s="255">
        <v>6610.9</v>
      </c>
      <c r="E11" s="255"/>
    </row>
    <row r="12" spans="1:5" ht="12.75">
      <c r="A12" s="255"/>
      <c r="B12" s="256" t="s">
        <v>6</v>
      </c>
      <c r="C12" s="255" t="s">
        <v>36</v>
      </c>
      <c r="D12" s="255">
        <v>5369.9</v>
      </c>
      <c r="E12" s="255"/>
    </row>
    <row r="13" spans="1:5" ht="12.75">
      <c r="A13" s="255"/>
      <c r="B13" s="257" t="s">
        <v>28</v>
      </c>
      <c r="C13" s="255" t="s">
        <v>38</v>
      </c>
      <c r="D13" s="258">
        <v>208469.15</v>
      </c>
      <c r="E13" s="255"/>
    </row>
    <row r="14" spans="1:5" ht="12.75">
      <c r="A14" s="255"/>
      <c r="B14" s="255"/>
      <c r="C14" s="255"/>
      <c r="D14" s="255"/>
      <c r="E14" s="255"/>
    </row>
    <row r="15" spans="1:5" ht="15.75">
      <c r="A15" s="255"/>
      <c r="B15" s="259" t="s">
        <v>7</v>
      </c>
      <c r="C15" s="255"/>
      <c r="D15" s="255"/>
      <c r="E15" s="255"/>
    </row>
    <row r="16" spans="1:5" ht="12.75">
      <c r="A16" s="255">
        <v>1</v>
      </c>
      <c r="B16" s="255" t="s">
        <v>8</v>
      </c>
      <c r="C16" s="255" t="s">
        <v>9</v>
      </c>
      <c r="D16" s="255">
        <v>184217.72</v>
      </c>
      <c r="E16" s="255"/>
    </row>
    <row r="17" spans="1:5" ht="12.75">
      <c r="A17" s="255">
        <v>2</v>
      </c>
      <c r="B17" s="255" t="s">
        <v>104</v>
      </c>
      <c r="C17" s="255"/>
      <c r="D17" s="255">
        <f>6000+2400</f>
        <v>8400</v>
      </c>
      <c r="E17" s="255"/>
    </row>
    <row r="18" spans="1:5" ht="15.75">
      <c r="A18" s="255"/>
      <c r="B18" s="259" t="s">
        <v>10</v>
      </c>
      <c r="C18" s="255"/>
      <c r="D18" s="258">
        <f>D16+D17</f>
        <v>192617.72</v>
      </c>
      <c r="E18" s="255"/>
    </row>
    <row r="19" spans="1:5" ht="15.75">
      <c r="A19" s="255"/>
      <c r="B19" s="259"/>
      <c r="C19" s="255"/>
      <c r="D19" s="258"/>
      <c r="E19" s="255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20">
        <f>D22+D26</f>
        <v>29505.010000000002</v>
      </c>
      <c r="E21" s="19">
        <f>E22</f>
        <v>5573.95568</v>
      </c>
    </row>
    <row r="22" spans="1:5" ht="12.75">
      <c r="A22" s="14">
        <v>1</v>
      </c>
      <c r="B22" s="20" t="s">
        <v>11</v>
      </c>
      <c r="C22" s="395" t="s">
        <v>9</v>
      </c>
      <c r="D22" s="20">
        <f>D23</f>
        <v>27593.84</v>
      </c>
      <c r="E22" s="19">
        <f>E23</f>
        <v>5573.95568</v>
      </c>
    </row>
    <row r="23" spans="1:5" ht="12.75">
      <c r="A23" s="14"/>
      <c r="B23" s="14" t="s">
        <v>12</v>
      </c>
      <c r="C23" s="14"/>
      <c r="D23" s="14">
        <v>27593.84</v>
      </c>
      <c r="E23" s="18">
        <f>D23*20.2%</f>
        <v>5573.95568</v>
      </c>
    </row>
    <row r="24" spans="1:5" ht="12.75">
      <c r="A24" s="14"/>
      <c r="B24" s="14" t="s">
        <v>13</v>
      </c>
      <c r="C24" s="14"/>
      <c r="D24" s="396"/>
      <c r="E24" s="18"/>
    </row>
    <row r="25" spans="1:5" ht="12.75">
      <c r="A25" s="14"/>
      <c r="B25" s="14" t="s">
        <v>14</v>
      </c>
      <c r="C25" s="14"/>
      <c r="D25" s="14"/>
      <c r="E25" s="18"/>
    </row>
    <row r="26" spans="1:5" ht="12.75">
      <c r="A26" s="14">
        <v>2</v>
      </c>
      <c r="B26" s="395" t="s">
        <v>16</v>
      </c>
      <c r="C26" s="14"/>
      <c r="D26" s="14">
        <v>1911.17</v>
      </c>
      <c r="E26" s="18"/>
    </row>
    <row r="27" spans="1:5" ht="12.75">
      <c r="A27" s="401" t="s">
        <v>71</v>
      </c>
      <c r="B27" s="402" t="s">
        <v>69</v>
      </c>
      <c r="C27" s="14"/>
      <c r="D27" s="20">
        <f>D28+D29+D30</f>
        <v>66064.95999999999</v>
      </c>
      <c r="E27" s="19">
        <f>E28</f>
        <v>10002.88648</v>
      </c>
    </row>
    <row r="28" spans="1:5" ht="12.75">
      <c r="A28" s="14">
        <v>1</v>
      </c>
      <c r="B28" s="22" t="s">
        <v>70</v>
      </c>
      <c r="C28" s="14"/>
      <c r="D28" s="22">
        <v>49519.24</v>
      </c>
      <c r="E28" s="18">
        <f>D28*20.2%</f>
        <v>10002.88648</v>
      </c>
    </row>
    <row r="29" spans="1:5" ht="12.75">
      <c r="A29" s="14">
        <v>2</v>
      </c>
      <c r="B29" s="22" t="s">
        <v>16</v>
      </c>
      <c r="C29" s="14"/>
      <c r="D29" s="22">
        <v>8829.52</v>
      </c>
      <c r="E29" s="14"/>
    </row>
    <row r="30" spans="1:5" ht="12.75">
      <c r="A30" s="14">
        <v>3</v>
      </c>
      <c r="B30" s="22" t="s">
        <v>107</v>
      </c>
      <c r="C30" s="14"/>
      <c r="D30" s="22">
        <v>7716.2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D32+D33+D34+D35+D36+D37+D38+D39</f>
        <v>34183.846</v>
      </c>
      <c r="E31" s="19"/>
    </row>
    <row r="32" spans="1:5" ht="12.75">
      <c r="A32" s="14"/>
      <c r="B32" s="14" t="s">
        <v>18</v>
      </c>
      <c r="C32" s="14"/>
      <c r="D32" s="18">
        <f>D18*5%</f>
        <v>9630.886</v>
      </c>
      <c r="E32" s="14"/>
    </row>
    <row r="33" spans="1:5" ht="12.75">
      <c r="A33" s="14"/>
      <c r="B33" s="14" t="s">
        <v>19</v>
      </c>
      <c r="C33" s="14"/>
      <c r="D33" s="14">
        <v>703.07</v>
      </c>
      <c r="E33" s="14"/>
    </row>
    <row r="34" spans="1:5" ht="12.75">
      <c r="A34" s="14"/>
      <c r="B34" s="22" t="s">
        <v>20</v>
      </c>
      <c r="C34" s="14"/>
      <c r="D34" s="14">
        <v>2888</v>
      </c>
      <c r="E34" s="14"/>
    </row>
    <row r="35" spans="1:5" ht="12.75">
      <c r="A35" s="14"/>
      <c r="B35" s="14" t="s">
        <v>21</v>
      </c>
      <c r="C35" s="14"/>
      <c r="D35" s="18">
        <f>7428.85+1500.63</f>
        <v>8929.48</v>
      </c>
      <c r="E35" s="18"/>
    </row>
    <row r="36" spans="1:5" ht="12.75">
      <c r="A36" s="14"/>
      <c r="B36" s="22" t="s">
        <v>29</v>
      </c>
      <c r="C36" s="14"/>
      <c r="D36" s="14">
        <f>195.22+38.95</f>
        <v>234.17000000000002</v>
      </c>
      <c r="E36" s="14"/>
    </row>
    <row r="37" spans="1:5" ht="12.75">
      <c r="A37" s="14"/>
      <c r="B37" s="395" t="s">
        <v>62</v>
      </c>
      <c r="C37" s="14"/>
      <c r="D37" s="14">
        <v>2117.25</v>
      </c>
      <c r="E37" s="14"/>
    </row>
    <row r="38" spans="1:5" ht="12.75">
      <c r="A38" s="14"/>
      <c r="B38" s="395" t="s">
        <v>61</v>
      </c>
      <c r="C38" s="14"/>
      <c r="D38" s="14">
        <v>6086.37</v>
      </c>
      <c r="E38" s="14"/>
    </row>
    <row r="39" spans="1:5" ht="12.75">
      <c r="A39" s="14"/>
      <c r="B39" s="14" t="s">
        <v>22</v>
      </c>
      <c r="C39" s="14"/>
      <c r="D39" s="14">
        <v>3594.62</v>
      </c>
      <c r="E39" s="14"/>
    </row>
    <row r="40" spans="1:5" ht="12.75">
      <c r="A40" s="14">
        <v>4</v>
      </c>
      <c r="B40" s="20" t="s">
        <v>199</v>
      </c>
      <c r="C40" s="14"/>
      <c r="D40" s="19">
        <f>40010.56+6007.42</f>
        <v>46017.979999999996</v>
      </c>
      <c r="E40" s="19"/>
    </row>
    <row r="41" spans="1:5" ht="12.75">
      <c r="A41" s="14">
        <v>5</v>
      </c>
      <c r="B41" s="20" t="s">
        <v>24</v>
      </c>
      <c r="C41" s="14"/>
      <c r="D41" s="19">
        <f>D21+E21+D27+E27+D31+E31+D40+E40</f>
        <v>191348.63815999997</v>
      </c>
      <c r="E41" s="14"/>
    </row>
    <row r="42" spans="1:5" ht="12.75">
      <c r="A42" s="14">
        <v>6</v>
      </c>
      <c r="B42" s="14" t="s">
        <v>33</v>
      </c>
      <c r="C42" s="14"/>
      <c r="D42" s="19">
        <f>D18*6%</f>
        <v>11557.0632</v>
      </c>
      <c r="E42" s="14"/>
    </row>
    <row r="43" spans="1:5" ht="12.75">
      <c r="A43" s="14">
        <v>7</v>
      </c>
      <c r="B43" s="20" t="s">
        <v>25</v>
      </c>
      <c r="C43" s="14"/>
      <c r="D43" s="19">
        <f>D41+D42</f>
        <v>202905.70135999998</v>
      </c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>
        <v>8</v>
      </c>
      <c r="B45" s="20" t="s">
        <v>87</v>
      </c>
      <c r="C45" s="14"/>
      <c r="D45" s="19">
        <f>D18-D43</f>
        <v>-10287.981359999976</v>
      </c>
      <c r="E45" s="14"/>
    </row>
    <row r="46" spans="1:5" ht="12.75">
      <c r="A46" s="14">
        <v>9</v>
      </c>
      <c r="B46" s="20" t="s">
        <v>47</v>
      </c>
      <c r="C46" s="14"/>
      <c r="D46" s="19">
        <f>D10+D45</f>
        <v>-11241.711359999976</v>
      </c>
      <c r="E46" s="14"/>
    </row>
    <row r="47" spans="1:5" ht="12.75">
      <c r="A47" s="3"/>
      <c r="B47" s="426"/>
      <c r="C47" s="3"/>
      <c r="D47" s="429"/>
      <c r="E47" s="3"/>
    </row>
    <row r="48" spans="1:5" ht="12.75">
      <c r="A48" s="1"/>
      <c r="B48" s="1" t="s">
        <v>31</v>
      </c>
      <c r="C48" s="1"/>
      <c r="D48" s="1" t="s">
        <v>0</v>
      </c>
      <c r="E48" s="1"/>
    </row>
    <row r="49" spans="1:5" ht="12.75">
      <c r="A49" s="1"/>
      <c r="B49" s="1" t="s">
        <v>32</v>
      </c>
      <c r="C49" s="1"/>
      <c r="D49" s="1" t="s">
        <v>27</v>
      </c>
      <c r="E49" s="1"/>
    </row>
  </sheetData>
  <sheetProtection/>
  <mergeCells count="2">
    <mergeCell ref="D8:E8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zoomScalePageLayoutView="0" workbookViewId="0" topLeftCell="A21">
      <selection activeCell="H32" sqref="H32"/>
    </sheetView>
  </sheetViews>
  <sheetFormatPr defaultColWidth="9.00390625" defaultRowHeight="12.75"/>
  <cols>
    <col min="1" max="1" width="4.25390625" style="0" customWidth="1"/>
    <col min="2" max="2" width="41.625" style="0" customWidth="1"/>
    <col min="3" max="3" width="7.25390625" style="0" customWidth="1"/>
    <col min="4" max="4" width="10.75390625" style="0" customWidth="1"/>
    <col min="5" max="5" width="10.125" style="0" customWidth="1"/>
    <col min="7" max="7" width="3.75390625" style="0" customWidth="1"/>
    <col min="8" max="8" width="40.00390625" style="0" customWidth="1"/>
    <col min="10" max="10" width="10.375" style="0" customWidth="1"/>
    <col min="13" max="13" width="4.375" style="0" customWidth="1"/>
    <col min="14" max="14" width="40.00390625" style="0" customWidth="1"/>
    <col min="15" max="15" width="7.875" style="0" customWidth="1"/>
    <col min="16" max="16" width="11.125" style="0" customWidth="1"/>
    <col min="20" max="20" width="42.125" style="0" customWidth="1"/>
    <col min="22" max="22" width="11.00390625" style="0" customWidth="1"/>
  </cols>
  <sheetData>
    <row r="1" spans="1:5" ht="15.75">
      <c r="A1" s="260"/>
      <c r="B1" s="261" t="s">
        <v>26</v>
      </c>
      <c r="C1" s="260"/>
      <c r="D1" s="260"/>
      <c r="E1" s="260"/>
    </row>
    <row r="2" spans="1:5" ht="12.75">
      <c r="A2" s="260"/>
      <c r="B2" s="260"/>
      <c r="C2" s="260"/>
      <c r="D2" s="260"/>
      <c r="E2" s="260"/>
    </row>
    <row r="3" spans="1:5" ht="12.75">
      <c r="A3" s="260"/>
      <c r="B3" s="260" t="s">
        <v>30</v>
      </c>
      <c r="C3" s="260"/>
      <c r="D3" s="260"/>
      <c r="E3" s="260"/>
    </row>
    <row r="4" spans="1:5" ht="12.75">
      <c r="A4" s="260"/>
      <c r="B4" s="460" t="s">
        <v>137</v>
      </c>
      <c r="C4" s="260"/>
      <c r="D4" s="260"/>
      <c r="E4" s="260"/>
    </row>
    <row r="5" spans="1:5" ht="12.75">
      <c r="A5" s="260"/>
      <c r="B5" s="260" t="s">
        <v>46</v>
      </c>
      <c r="C5" s="260"/>
      <c r="D5" s="260"/>
      <c r="E5" s="260"/>
    </row>
    <row r="6" spans="1:5" ht="12.75">
      <c r="A6" s="441"/>
      <c r="B6" s="441"/>
      <c r="C6" s="441"/>
      <c r="D6" s="263"/>
      <c r="E6" s="442"/>
    </row>
    <row r="7" spans="1:5" ht="15.75">
      <c r="A7" s="262"/>
      <c r="B7" s="264" t="s">
        <v>1</v>
      </c>
      <c r="C7" s="265" t="s">
        <v>3</v>
      </c>
      <c r="D7" s="550" t="s">
        <v>4</v>
      </c>
      <c r="E7" s="551"/>
    </row>
    <row r="8" spans="1:5" ht="15.75">
      <c r="A8" s="266"/>
      <c r="B8" s="264" t="s">
        <v>2</v>
      </c>
      <c r="C8" s="265" t="s">
        <v>35</v>
      </c>
      <c r="D8" s="548" t="s">
        <v>121</v>
      </c>
      <c r="E8" s="549"/>
    </row>
    <row r="9" spans="1:5" ht="12.75">
      <c r="A9" s="267"/>
      <c r="B9" s="267"/>
      <c r="C9" s="267"/>
      <c r="D9" s="268"/>
      <c r="E9" s="269"/>
    </row>
    <row r="10" spans="1:5" ht="12.75">
      <c r="A10" s="267"/>
      <c r="B10" s="418" t="s">
        <v>80</v>
      </c>
      <c r="C10" s="267"/>
      <c r="D10" s="268">
        <v>-176843.97</v>
      </c>
      <c r="E10" s="269"/>
    </row>
    <row r="11" spans="1:5" ht="12.75">
      <c r="A11" s="270"/>
      <c r="B11" s="271" t="s">
        <v>5</v>
      </c>
      <c r="C11" s="270" t="s">
        <v>36</v>
      </c>
      <c r="D11" s="270">
        <v>5109.3</v>
      </c>
      <c r="E11" s="270"/>
    </row>
    <row r="12" spans="1:5" ht="12.75">
      <c r="A12" s="270"/>
      <c r="B12" s="271" t="s">
        <v>6</v>
      </c>
      <c r="C12" s="270" t="s">
        <v>36</v>
      </c>
      <c r="D12" s="270">
        <v>3548.4</v>
      </c>
      <c r="E12" s="270"/>
    </row>
    <row r="13" spans="1:5" ht="12.75">
      <c r="A13" s="270"/>
      <c r="B13" s="272" t="s">
        <v>28</v>
      </c>
      <c r="C13" s="270" t="s">
        <v>38</v>
      </c>
      <c r="D13" s="273">
        <v>144411.42</v>
      </c>
      <c r="E13" s="270"/>
    </row>
    <row r="14" spans="1:5" ht="12.75">
      <c r="A14" s="270"/>
      <c r="B14" s="270"/>
      <c r="C14" s="270"/>
      <c r="D14" s="270"/>
      <c r="E14" s="270"/>
    </row>
    <row r="15" spans="1:5" ht="15.75">
      <c r="A15" s="270"/>
      <c r="B15" s="274" t="s">
        <v>7</v>
      </c>
      <c r="C15" s="270"/>
      <c r="D15" s="270"/>
      <c r="E15" s="270"/>
    </row>
    <row r="16" spans="1:5" ht="12.75">
      <c r="A16" s="270">
        <v>1</v>
      </c>
      <c r="B16" s="270" t="s">
        <v>8</v>
      </c>
      <c r="C16" s="270" t="s">
        <v>9</v>
      </c>
      <c r="D16" s="270">
        <v>140901.62</v>
      </c>
      <c r="E16" s="270"/>
    </row>
    <row r="17" spans="1:5" ht="12.75">
      <c r="A17" s="270">
        <v>2</v>
      </c>
      <c r="B17" s="270" t="s">
        <v>104</v>
      </c>
      <c r="C17" s="270"/>
      <c r="D17" s="270">
        <v>4800</v>
      </c>
      <c r="E17" s="270"/>
    </row>
    <row r="18" spans="1:5" ht="15.75">
      <c r="A18" s="270"/>
      <c r="B18" s="274" t="s">
        <v>10</v>
      </c>
      <c r="C18" s="270"/>
      <c r="D18" s="273">
        <f>D16+D17</f>
        <v>145701.62</v>
      </c>
      <c r="E18" s="270"/>
    </row>
    <row r="19" spans="1:5" ht="15.75">
      <c r="A19" s="270"/>
      <c r="B19" s="274"/>
      <c r="C19" s="270"/>
      <c r="D19" s="273"/>
      <c r="E19" s="270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19">
        <f>D22+D27</f>
        <v>44048.67</v>
      </c>
      <c r="E21" s="19">
        <f>E22+E27</f>
        <v>8642.727560000001</v>
      </c>
    </row>
    <row r="22" spans="1:5" ht="12.75">
      <c r="A22" s="14">
        <v>1</v>
      </c>
      <c r="B22" s="20" t="s">
        <v>11</v>
      </c>
      <c r="C22" s="395" t="s">
        <v>9</v>
      </c>
      <c r="D22" s="19">
        <f>D23+D24+D25+D26</f>
        <v>42785.78</v>
      </c>
      <c r="E22" s="19">
        <f>E23+E24+E25+E26</f>
        <v>8642.727560000001</v>
      </c>
    </row>
    <row r="23" spans="1:5" ht="12.75">
      <c r="A23" s="14"/>
      <c r="B23" s="14" t="s">
        <v>12</v>
      </c>
      <c r="C23" s="14"/>
      <c r="D23" s="14">
        <v>8551.87</v>
      </c>
      <c r="E23" s="18">
        <f>D23*20.2%</f>
        <v>1727.47774</v>
      </c>
    </row>
    <row r="24" spans="1:5" ht="12.75">
      <c r="A24" s="14"/>
      <c r="B24" s="14" t="s">
        <v>13</v>
      </c>
      <c r="C24" s="14"/>
      <c r="D24" s="396">
        <v>16263.59</v>
      </c>
      <c r="E24" s="18">
        <f>D24*20.2%</f>
        <v>3285.24518</v>
      </c>
    </row>
    <row r="25" spans="1:5" ht="12.75">
      <c r="A25" s="14"/>
      <c r="B25" s="14" t="s">
        <v>14</v>
      </c>
      <c r="C25" s="14"/>
      <c r="D25" s="14">
        <v>17152.1</v>
      </c>
      <c r="E25" s="18">
        <f>D25*20.2%</f>
        <v>3464.7241999999997</v>
      </c>
    </row>
    <row r="26" spans="1:5" ht="12.75">
      <c r="A26" s="14"/>
      <c r="B26" s="22" t="s">
        <v>112</v>
      </c>
      <c r="C26" s="14"/>
      <c r="D26" s="14">
        <v>818.22</v>
      </c>
      <c r="E26" s="18">
        <f>D26*20.2%</f>
        <v>165.28044</v>
      </c>
    </row>
    <row r="27" spans="1:5" ht="12.75">
      <c r="A27" s="14">
        <v>2</v>
      </c>
      <c r="B27" s="395" t="s">
        <v>16</v>
      </c>
      <c r="C27" s="14"/>
      <c r="D27" s="14">
        <v>1262.89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41665.09</v>
      </c>
      <c r="E28" s="19">
        <f>E29</f>
        <v>6609.85208</v>
      </c>
    </row>
    <row r="29" spans="1:5" ht="12.75">
      <c r="A29" s="14">
        <v>1</v>
      </c>
      <c r="B29" s="22" t="s">
        <v>70</v>
      </c>
      <c r="C29" s="14"/>
      <c r="D29" s="22">
        <v>32722.04</v>
      </c>
      <c r="E29" s="18">
        <f>D29*20.2%</f>
        <v>6609.85208</v>
      </c>
    </row>
    <row r="30" spans="1:5" ht="12.75">
      <c r="A30" s="14">
        <v>2</v>
      </c>
      <c r="B30" s="22" t="s">
        <v>16</v>
      </c>
      <c r="C30" s="14"/>
      <c r="D30" s="22">
        <v>8943.05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D32+D33+D34+D35+D36+D37+D38+D39</f>
        <v>21467.270999999997</v>
      </c>
      <c r="E31" s="19"/>
    </row>
    <row r="32" spans="1:5" ht="12.75">
      <c r="A32" s="14"/>
      <c r="B32" s="14" t="s">
        <v>18</v>
      </c>
      <c r="C32" s="14"/>
      <c r="D32" s="18">
        <f>D18*5%</f>
        <v>7285.081</v>
      </c>
      <c r="E32" s="14"/>
    </row>
    <row r="33" spans="1:5" ht="12.75">
      <c r="A33" s="14"/>
      <c r="B33" s="14" t="s">
        <v>19</v>
      </c>
      <c r="C33" s="14"/>
      <c r="D33" s="14">
        <v>448.27</v>
      </c>
      <c r="E33" s="14"/>
    </row>
    <row r="34" spans="1:5" ht="12.75">
      <c r="A34" s="14"/>
      <c r="B34" s="22" t="s">
        <v>20</v>
      </c>
      <c r="C34" s="14"/>
      <c r="D34" s="14">
        <v>2888</v>
      </c>
      <c r="E34" s="14"/>
    </row>
    <row r="35" spans="1:5" ht="12.75">
      <c r="A35" s="14"/>
      <c r="B35" s="14" t="s">
        <v>21</v>
      </c>
      <c r="C35" s="14"/>
      <c r="D35" s="18">
        <f>4908.94+991.61</f>
        <v>5900.549999999999</v>
      </c>
      <c r="E35" s="18"/>
    </row>
    <row r="36" spans="1:5" ht="12.75">
      <c r="A36" s="14"/>
      <c r="B36" s="22" t="s">
        <v>29</v>
      </c>
      <c r="C36" s="14"/>
      <c r="D36" s="14">
        <f>390.44+38.95</f>
        <v>429.39</v>
      </c>
      <c r="E36" s="14"/>
    </row>
    <row r="37" spans="1:5" ht="12.75">
      <c r="A37" s="14"/>
      <c r="B37" s="22" t="s">
        <v>34</v>
      </c>
      <c r="C37" s="14"/>
      <c r="D37" s="14">
        <v>741.6</v>
      </c>
      <c r="E37" s="14"/>
    </row>
    <row r="38" spans="1:5" ht="12.75">
      <c r="A38" s="14"/>
      <c r="B38" s="395" t="s">
        <v>62</v>
      </c>
      <c r="C38" s="14"/>
      <c r="D38" s="14">
        <v>1399.07</v>
      </c>
      <c r="E38" s="14"/>
    </row>
    <row r="39" spans="1:5" ht="12.75">
      <c r="A39" s="14"/>
      <c r="B39" s="14" t="s">
        <v>22</v>
      </c>
      <c r="C39" s="14"/>
      <c r="D39" s="14">
        <v>2375.31</v>
      </c>
      <c r="E39" s="14"/>
    </row>
    <row r="40" spans="1:5" ht="12.75">
      <c r="A40" s="14">
        <v>4</v>
      </c>
      <c r="B40" s="20" t="s">
        <v>199</v>
      </c>
      <c r="C40" s="14"/>
      <c r="D40" s="19">
        <f>26438.74+3969.67</f>
        <v>30408.410000000003</v>
      </c>
      <c r="E40" s="19"/>
    </row>
    <row r="41" spans="1:5" ht="12.75">
      <c r="A41" s="14">
        <v>5</v>
      </c>
      <c r="B41" s="20" t="s">
        <v>24</v>
      </c>
      <c r="C41" s="14"/>
      <c r="D41" s="19">
        <f>D21+E21+D28+E28+D31+E31+D40+E40</f>
        <v>152842.02064</v>
      </c>
      <c r="E41" s="14"/>
    </row>
    <row r="42" spans="1:5" ht="12.75">
      <c r="A42" s="14">
        <v>6</v>
      </c>
      <c r="B42" s="14" t="s">
        <v>33</v>
      </c>
      <c r="C42" s="14"/>
      <c r="D42" s="19">
        <f>D18*6%</f>
        <v>8742.0972</v>
      </c>
      <c r="E42" s="14"/>
    </row>
    <row r="43" spans="1:5" ht="12.75">
      <c r="A43" s="14">
        <v>7</v>
      </c>
      <c r="B43" s="20" t="s">
        <v>25</v>
      </c>
      <c r="C43" s="14"/>
      <c r="D43" s="19">
        <f>D41+D42</f>
        <v>161584.11784</v>
      </c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>
        <v>8</v>
      </c>
      <c r="B45" s="20" t="s">
        <v>87</v>
      </c>
      <c r="C45" s="14"/>
      <c r="D45" s="19">
        <f>D18-D43</f>
        <v>-15882.497839999996</v>
      </c>
      <c r="E45" s="14"/>
    </row>
    <row r="46" spans="1:5" ht="12.75">
      <c r="A46" s="14">
        <v>9</v>
      </c>
      <c r="B46" s="20" t="s">
        <v>47</v>
      </c>
      <c r="C46" s="14"/>
      <c r="D46" s="19">
        <f>D10+D45</f>
        <v>-192726.46784</v>
      </c>
      <c r="E46" s="14"/>
    </row>
    <row r="47" spans="1:5" ht="12.75">
      <c r="A47" s="3"/>
      <c r="B47" s="426"/>
      <c r="C47" s="3"/>
      <c r="D47" s="429"/>
      <c r="E47" s="3"/>
    </row>
    <row r="48" spans="1:5" ht="12.75">
      <c r="A48" s="3"/>
      <c r="B48" s="426"/>
      <c r="C48" s="3"/>
      <c r="D48" s="429"/>
      <c r="E48" s="3"/>
    </row>
    <row r="49" spans="1:5" ht="12.75">
      <c r="A49" s="1"/>
      <c r="B49" s="1" t="s">
        <v>31</v>
      </c>
      <c r="C49" s="1"/>
      <c r="D49" s="1" t="s">
        <v>0</v>
      </c>
      <c r="E49" s="1"/>
    </row>
    <row r="50" spans="1:5" ht="12.75">
      <c r="A50" s="1"/>
      <c r="B50" s="1" t="s">
        <v>32</v>
      </c>
      <c r="C50" s="1"/>
      <c r="D50" s="1" t="s">
        <v>27</v>
      </c>
      <c r="E50" s="1"/>
    </row>
  </sheetData>
  <sheetProtection/>
  <mergeCells count="2">
    <mergeCell ref="D8:E8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zoomScalePageLayoutView="0" workbookViewId="0" topLeftCell="A19">
      <selection activeCell="F32" sqref="F32"/>
    </sheetView>
  </sheetViews>
  <sheetFormatPr defaultColWidth="9.00390625" defaultRowHeight="12.75"/>
  <cols>
    <col min="1" max="1" width="5.75390625" style="0" customWidth="1"/>
    <col min="2" max="2" width="41.00390625" style="0" customWidth="1"/>
    <col min="3" max="3" width="6.75390625" style="0" customWidth="1"/>
    <col min="4" max="4" width="11.625" style="0" customWidth="1"/>
    <col min="5" max="5" width="12.75390625" style="0" customWidth="1"/>
    <col min="7" max="7" width="3.75390625" style="0" customWidth="1"/>
    <col min="8" max="8" width="41.00390625" style="0" customWidth="1"/>
    <col min="10" max="10" width="10.125" style="0" bestFit="1" customWidth="1"/>
    <col min="13" max="13" width="4.625" style="0" customWidth="1"/>
    <col min="14" max="14" width="40.00390625" style="0" customWidth="1"/>
    <col min="16" max="16" width="11.125" style="0" customWidth="1"/>
    <col min="20" max="20" width="43.625" style="0" customWidth="1"/>
    <col min="22" max="22" width="14.00390625" style="0" customWidth="1"/>
  </cols>
  <sheetData>
    <row r="1" spans="1:5" ht="15.75">
      <c r="A1" s="275"/>
      <c r="B1" s="276" t="s">
        <v>26</v>
      </c>
      <c r="C1" s="275"/>
      <c r="D1" s="275"/>
      <c r="E1" s="275"/>
    </row>
    <row r="2" spans="1:5" ht="12.75">
      <c r="A2" s="275"/>
      <c r="B2" s="275"/>
      <c r="C2" s="275"/>
      <c r="D2" s="275"/>
      <c r="E2" s="275"/>
    </row>
    <row r="3" spans="1:5" ht="12.75">
      <c r="A3" s="275"/>
      <c r="B3" s="275" t="s">
        <v>30</v>
      </c>
      <c r="C3" s="275"/>
      <c r="D3" s="275"/>
      <c r="E3" s="275"/>
    </row>
    <row r="4" spans="1:5" ht="12.75">
      <c r="A4" s="275"/>
      <c r="B4" s="461" t="s">
        <v>138</v>
      </c>
      <c r="C4" s="275"/>
      <c r="D4" s="275"/>
      <c r="E4" s="275"/>
    </row>
    <row r="5" spans="1:5" ht="12.75">
      <c r="A5" s="275"/>
      <c r="B5" s="275" t="s">
        <v>44</v>
      </c>
      <c r="C5" s="275"/>
      <c r="D5" s="275"/>
      <c r="E5" s="275"/>
    </row>
    <row r="6" spans="1:5" ht="12.75">
      <c r="A6" s="443"/>
      <c r="B6" s="443"/>
      <c r="C6" s="443"/>
      <c r="D6" s="278"/>
      <c r="E6" s="444"/>
    </row>
    <row r="7" spans="1:5" ht="15.75">
      <c r="A7" s="277"/>
      <c r="B7" s="279" t="s">
        <v>1</v>
      </c>
      <c r="C7" s="280" t="s">
        <v>3</v>
      </c>
      <c r="D7" s="554" t="s">
        <v>4</v>
      </c>
      <c r="E7" s="555"/>
    </row>
    <row r="8" spans="1:5" ht="15.75">
      <c r="A8" s="281"/>
      <c r="B8" s="279" t="s">
        <v>2</v>
      </c>
      <c r="C8" s="280" t="s">
        <v>35</v>
      </c>
      <c r="D8" s="552" t="s">
        <v>121</v>
      </c>
      <c r="E8" s="553"/>
    </row>
    <row r="9" spans="1:5" ht="12.75">
      <c r="A9" s="282"/>
      <c r="B9" s="282"/>
      <c r="C9" s="282"/>
      <c r="D9" s="283"/>
      <c r="E9" s="284"/>
    </row>
    <row r="10" spans="1:5" ht="12.75">
      <c r="A10" s="282"/>
      <c r="B10" s="419" t="s">
        <v>80</v>
      </c>
      <c r="C10" s="282"/>
      <c r="D10" s="283">
        <v>-72649.69</v>
      </c>
      <c r="E10" s="284"/>
    </row>
    <row r="11" spans="1:5" ht="12.75">
      <c r="A11" s="285"/>
      <c r="B11" s="286" t="s">
        <v>5</v>
      </c>
      <c r="C11" s="285" t="s">
        <v>36</v>
      </c>
      <c r="D11" s="285">
        <v>5631.46</v>
      </c>
      <c r="E11" s="285"/>
    </row>
    <row r="12" spans="1:5" ht="12.75">
      <c r="A12" s="285"/>
      <c r="B12" s="286" t="s">
        <v>6</v>
      </c>
      <c r="C12" s="285" t="s">
        <v>36</v>
      </c>
      <c r="D12" s="285">
        <v>4522.7</v>
      </c>
      <c r="E12" s="285"/>
    </row>
    <row r="13" spans="1:5" ht="12.75">
      <c r="A13" s="285"/>
      <c r="B13" s="287" t="s">
        <v>28</v>
      </c>
      <c r="C13" s="285" t="s">
        <v>38</v>
      </c>
      <c r="D13" s="288">
        <v>1733312.3</v>
      </c>
      <c r="E13" s="285"/>
    </row>
    <row r="14" spans="1:5" ht="12.75">
      <c r="A14" s="285"/>
      <c r="B14" s="285"/>
      <c r="C14" s="285"/>
      <c r="D14" s="285"/>
      <c r="E14" s="285"/>
    </row>
    <row r="15" spans="1:5" ht="15.75">
      <c r="A15" s="285"/>
      <c r="B15" s="289" t="s">
        <v>7</v>
      </c>
      <c r="C15" s="285"/>
      <c r="D15" s="285"/>
      <c r="E15" s="285"/>
    </row>
    <row r="16" spans="1:5" ht="12.75">
      <c r="A16" s="285">
        <v>1</v>
      </c>
      <c r="B16" s="285" t="s">
        <v>8</v>
      </c>
      <c r="C16" s="285" t="s">
        <v>9</v>
      </c>
      <c r="D16" s="285">
        <v>177429.13</v>
      </c>
      <c r="E16" s="285"/>
    </row>
    <row r="17" spans="1:5" ht="12.75">
      <c r="A17" s="285">
        <v>2</v>
      </c>
      <c r="B17" s="285" t="s">
        <v>104</v>
      </c>
      <c r="C17" s="285"/>
      <c r="D17" s="285">
        <f>2400+6000</f>
        <v>8400</v>
      </c>
      <c r="E17" s="285"/>
    </row>
    <row r="18" spans="1:5" ht="15.75">
      <c r="A18" s="285"/>
      <c r="B18" s="289" t="s">
        <v>10</v>
      </c>
      <c r="C18" s="285"/>
      <c r="D18" s="288">
        <f>D16+D17</f>
        <v>185829.13</v>
      </c>
      <c r="E18" s="285"/>
    </row>
    <row r="19" spans="1:5" ht="15.75">
      <c r="A19" s="285"/>
      <c r="B19" s="289"/>
      <c r="C19" s="285"/>
      <c r="D19" s="288"/>
      <c r="E19" s="285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20">
        <f>D22+D26</f>
        <v>26409.16</v>
      </c>
      <c r="E21" s="19">
        <f>E22</f>
        <v>5009.50102</v>
      </c>
    </row>
    <row r="22" spans="1:5" ht="12.75">
      <c r="A22" s="14">
        <v>1</v>
      </c>
      <c r="B22" s="20" t="s">
        <v>11</v>
      </c>
      <c r="C22" s="395" t="s">
        <v>9</v>
      </c>
      <c r="D22" s="20">
        <f>D23</f>
        <v>24799.51</v>
      </c>
      <c r="E22" s="19">
        <f>E23</f>
        <v>5009.50102</v>
      </c>
    </row>
    <row r="23" spans="1:5" ht="12.75">
      <c r="A23" s="14"/>
      <c r="B23" s="14" t="s">
        <v>12</v>
      </c>
      <c r="C23" s="14"/>
      <c r="D23" s="14">
        <v>24799.51</v>
      </c>
      <c r="E23" s="18">
        <f>D23*20.2%</f>
        <v>5009.50102</v>
      </c>
    </row>
    <row r="24" spans="1:5" ht="12.75">
      <c r="A24" s="14"/>
      <c r="B24" s="14" t="s">
        <v>13</v>
      </c>
      <c r="C24" s="14"/>
      <c r="D24" s="396"/>
      <c r="E24" s="18"/>
    </row>
    <row r="25" spans="1:5" ht="12.75">
      <c r="A25" s="14"/>
      <c r="B25" s="14" t="s">
        <v>14</v>
      </c>
      <c r="C25" s="14"/>
      <c r="D25" s="14"/>
      <c r="E25" s="18"/>
    </row>
    <row r="26" spans="1:5" ht="12.75">
      <c r="A26" s="14">
        <v>2</v>
      </c>
      <c r="B26" s="395" t="s">
        <v>16</v>
      </c>
      <c r="C26" s="14"/>
      <c r="D26" s="14">
        <v>1609.65</v>
      </c>
      <c r="E26" s="18"/>
    </row>
    <row r="27" spans="1:5" ht="12.75">
      <c r="A27" s="401" t="s">
        <v>71</v>
      </c>
      <c r="B27" s="402" t="s">
        <v>69</v>
      </c>
      <c r="C27" s="14"/>
      <c r="D27" s="20">
        <f>D28+D29+D30</f>
        <v>53022.909999999996</v>
      </c>
      <c r="E27" s="19">
        <f>E28</f>
        <v>8424.74936</v>
      </c>
    </row>
    <row r="28" spans="1:5" ht="12.75">
      <c r="A28" s="14">
        <v>1</v>
      </c>
      <c r="B28" s="22" t="s">
        <v>70</v>
      </c>
      <c r="C28" s="14"/>
      <c r="D28" s="22">
        <v>41706.68</v>
      </c>
      <c r="E28" s="18">
        <f>D28*20.2%</f>
        <v>8424.74936</v>
      </c>
    </row>
    <row r="29" spans="1:5" ht="12.75">
      <c r="A29" s="14">
        <v>2</v>
      </c>
      <c r="B29" s="22" t="s">
        <v>16</v>
      </c>
      <c r="C29" s="14"/>
      <c r="D29" s="22">
        <v>3600.03</v>
      </c>
      <c r="E29" s="14"/>
    </row>
    <row r="30" spans="1:5" ht="12.75">
      <c r="A30" s="14">
        <v>3</v>
      </c>
      <c r="B30" s="22" t="s">
        <v>107</v>
      </c>
      <c r="C30" s="14"/>
      <c r="D30" s="22">
        <v>7716.2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D32+D33+D34+D35+D36+D37+D38+D39</f>
        <v>33002.4265</v>
      </c>
      <c r="E31" s="19"/>
    </row>
    <row r="32" spans="1:5" ht="12.75">
      <c r="A32" s="14"/>
      <c r="B32" s="14" t="s">
        <v>18</v>
      </c>
      <c r="C32" s="14"/>
      <c r="D32" s="18">
        <f>D18*5%</f>
        <v>9291.4565</v>
      </c>
      <c r="E32" s="14"/>
    </row>
    <row r="33" spans="1:5" ht="12.75">
      <c r="A33" s="14"/>
      <c r="B33" s="14" t="s">
        <v>19</v>
      </c>
      <c r="C33" s="14"/>
      <c r="D33" s="14">
        <v>1081.4</v>
      </c>
      <c r="E33" s="14"/>
    </row>
    <row r="34" spans="1:5" ht="12.75">
      <c r="A34" s="14"/>
      <c r="B34" s="22" t="s">
        <v>20</v>
      </c>
      <c r="C34" s="14"/>
      <c r="D34" s="14">
        <v>8664</v>
      </c>
      <c r="E34" s="14"/>
    </row>
    <row r="35" spans="1:5" ht="12.75">
      <c r="A35" s="14"/>
      <c r="B35" s="14" t="s">
        <v>21</v>
      </c>
      <c r="C35" s="14"/>
      <c r="D35" s="18">
        <f>6256.81+1263.88</f>
        <v>7520.6900000000005</v>
      </c>
      <c r="E35" s="18"/>
    </row>
    <row r="36" spans="1:5" ht="12.75">
      <c r="A36" s="14"/>
      <c r="B36" s="22" t="s">
        <v>29</v>
      </c>
      <c r="C36" s="14"/>
      <c r="D36" s="14">
        <f>195.22+38.95</f>
        <v>234.17000000000002</v>
      </c>
      <c r="E36" s="14"/>
    </row>
    <row r="37" spans="1:5" ht="12.75">
      <c r="A37" s="14"/>
      <c r="B37" s="395" t="s">
        <v>62</v>
      </c>
      <c r="C37" s="14"/>
      <c r="D37" s="14">
        <v>1783.21</v>
      </c>
      <c r="E37" s="14"/>
    </row>
    <row r="38" spans="1:5" ht="12.75">
      <c r="A38" s="14"/>
      <c r="B38" s="22" t="s">
        <v>139</v>
      </c>
      <c r="C38" s="14"/>
      <c r="D38" s="14">
        <v>1400</v>
      </c>
      <c r="E38" s="14"/>
    </row>
    <row r="39" spans="1:5" ht="12.75">
      <c r="A39" s="14"/>
      <c r="B39" s="14" t="s">
        <v>22</v>
      </c>
      <c r="C39" s="14"/>
      <c r="D39" s="14">
        <v>3027.5</v>
      </c>
      <c r="E39" s="14"/>
    </row>
    <row r="40" spans="1:5" ht="12.75">
      <c r="A40" s="14">
        <v>4</v>
      </c>
      <c r="B40" s="20" t="s">
        <v>199</v>
      </c>
      <c r="C40" s="14"/>
      <c r="D40" s="19">
        <f>33698.16+5059.64</f>
        <v>38757.8</v>
      </c>
      <c r="E40" s="19"/>
    </row>
    <row r="41" spans="1:5" ht="12.75">
      <c r="A41" s="14">
        <v>5</v>
      </c>
      <c r="B41" s="20" t="s">
        <v>24</v>
      </c>
      <c r="C41" s="14"/>
      <c r="D41" s="19">
        <f>D21+E21+D27+E27+D31+E31+D40+E40</f>
        <v>164626.54688</v>
      </c>
      <c r="E41" s="14"/>
    </row>
    <row r="42" spans="1:5" ht="12.75">
      <c r="A42" s="14">
        <v>6</v>
      </c>
      <c r="B42" s="14" t="s">
        <v>33</v>
      </c>
      <c r="C42" s="14"/>
      <c r="D42" s="19">
        <f>D18*6%</f>
        <v>11149.7478</v>
      </c>
      <c r="E42" s="14"/>
    </row>
    <row r="43" spans="1:5" ht="12.75">
      <c r="A43" s="14">
        <v>7</v>
      </c>
      <c r="B43" s="20" t="s">
        <v>25</v>
      </c>
      <c r="C43" s="14"/>
      <c r="D43" s="19">
        <f>D41+D42</f>
        <v>175776.29468000002</v>
      </c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>
        <v>8</v>
      </c>
      <c r="B45" s="20" t="s">
        <v>87</v>
      </c>
      <c r="C45" s="14"/>
      <c r="D45" s="19">
        <f>D18-D43</f>
        <v>10052.835319999984</v>
      </c>
      <c r="E45" s="14"/>
    </row>
    <row r="46" spans="1:5" ht="12.75">
      <c r="A46" s="14">
        <v>9</v>
      </c>
      <c r="B46" s="20" t="s">
        <v>47</v>
      </c>
      <c r="C46" s="14"/>
      <c r="D46" s="19">
        <f>D10+D45</f>
        <v>-62596.85468000002</v>
      </c>
      <c r="E46" s="14"/>
    </row>
    <row r="47" spans="1:5" ht="12.75">
      <c r="A47" s="3"/>
      <c r="B47" s="426"/>
      <c r="C47" s="3"/>
      <c r="D47" s="429"/>
      <c r="E47" s="3"/>
    </row>
    <row r="48" spans="1:5" ht="12.75">
      <c r="A48" s="3"/>
      <c r="B48" s="426"/>
      <c r="C48" s="3"/>
      <c r="D48" s="429"/>
      <c r="E48" s="3"/>
    </row>
    <row r="49" spans="1:5" ht="12.75">
      <c r="A49" s="1"/>
      <c r="B49" s="1" t="s">
        <v>31</v>
      </c>
      <c r="C49" s="1"/>
      <c r="D49" s="1" t="s">
        <v>0</v>
      </c>
      <c r="E49" s="1"/>
    </row>
    <row r="50" spans="1:5" ht="12.75">
      <c r="A50" s="1"/>
      <c r="B50" s="1" t="s">
        <v>32</v>
      </c>
      <c r="C50" s="1"/>
      <c r="D50" s="1" t="s">
        <v>27</v>
      </c>
      <c r="E50" s="1"/>
    </row>
  </sheetData>
  <sheetProtection/>
  <mergeCells count="2">
    <mergeCell ref="D8:E8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zoomScalePageLayoutView="0" workbookViewId="0" topLeftCell="A23">
      <selection activeCell="B25" sqref="B25"/>
    </sheetView>
  </sheetViews>
  <sheetFormatPr defaultColWidth="9.00390625" defaultRowHeight="12.75"/>
  <cols>
    <col min="1" max="1" width="5.125" style="0" customWidth="1"/>
    <col min="2" max="2" width="39.25390625" style="0" customWidth="1"/>
    <col min="3" max="3" width="7.25390625" style="0" customWidth="1"/>
    <col min="4" max="4" width="10.00390625" style="0" customWidth="1"/>
    <col min="7" max="7" width="5.75390625" style="0" customWidth="1"/>
    <col min="8" max="8" width="38.875" style="0" customWidth="1"/>
    <col min="10" max="10" width="12.625" style="0" customWidth="1"/>
    <col min="13" max="13" width="5.375" style="0" customWidth="1"/>
    <col min="14" max="14" width="37.625" style="0" customWidth="1"/>
    <col min="16" max="16" width="13.75390625" style="0" customWidth="1"/>
    <col min="17" max="17" width="9.875" style="0" customWidth="1"/>
    <col min="19" max="19" width="4.375" style="0" customWidth="1"/>
    <col min="20" max="20" width="40.00390625" style="0" customWidth="1"/>
    <col min="22" max="22" width="11.25390625" style="0" customWidth="1"/>
    <col min="23" max="23" width="10.875" style="0" customWidth="1"/>
  </cols>
  <sheetData>
    <row r="1" spans="1:5" ht="15.75">
      <c r="A1" s="1"/>
      <c r="B1" s="2" t="s">
        <v>26</v>
      </c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 t="s">
        <v>30</v>
      </c>
      <c r="C3" s="1"/>
      <c r="D3" s="1"/>
      <c r="E3" s="1"/>
    </row>
    <row r="4" spans="1:5" ht="12.75">
      <c r="A4" s="1"/>
      <c r="B4" s="384" t="s">
        <v>106</v>
      </c>
      <c r="C4" s="1"/>
      <c r="D4" s="1"/>
      <c r="E4" s="1"/>
    </row>
    <row r="5" spans="1:5" ht="12.75">
      <c r="A5" s="481"/>
      <c r="B5" s="481"/>
      <c r="C5" s="481"/>
      <c r="D5" s="4"/>
      <c r="E5" s="5"/>
    </row>
    <row r="6" spans="1:5" ht="12.75">
      <c r="A6" s="386"/>
      <c r="B6" s="386"/>
      <c r="C6" s="386"/>
      <c r="D6" s="3"/>
      <c r="E6" s="7"/>
    </row>
    <row r="7" spans="1:5" ht="15.75">
      <c r="A7" s="6"/>
      <c r="B7" s="8" t="s">
        <v>1</v>
      </c>
      <c r="C7" s="9" t="s">
        <v>3</v>
      </c>
      <c r="D7" s="482" t="s">
        <v>4</v>
      </c>
      <c r="E7" s="483"/>
    </row>
    <row r="8" spans="1:5" ht="15.75">
      <c r="A8" s="10"/>
      <c r="B8" s="8" t="s">
        <v>2</v>
      </c>
      <c r="C8" s="9" t="s">
        <v>35</v>
      </c>
      <c r="D8" s="479" t="s">
        <v>102</v>
      </c>
      <c r="E8" s="480"/>
    </row>
    <row r="9" spans="1:5" ht="12.75">
      <c r="A9" s="11"/>
      <c r="B9" s="11"/>
      <c r="C9" s="11"/>
      <c r="D9" s="12"/>
      <c r="E9" s="13"/>
    </row>
    <row r="10" spans="1:5" ht="12.75">
      <c r="A10" s="11"/>
      <c r="B10" s="400" t="s">
        <v>65</v>
      </c>
      <c r="C10" s="11"/>
      <c r="D10" s="14">
        <v>18729.83</v>
      </c>
      <c r="E10" s="13"/>
    </row>
    <row r="11" spans="1:5" ht="12.75">
      <c r="A11" s="14"/>
      <c r="B11" s="15" t="s">
        <v>5</v>
      </c>
      <c r="C11" s="14" t="s">
        <v>36</v>
      </c>
      <c r="D11" s="14">
        <v>8417.7</v>
      </c>
      <c r="E11" s="14"/>
    </row>
    <row r="12" spans="1:5" ht="12.75">
      <c r="A12" s="14"/>
      <c r="B12" s="15" t="s">
        <v>6</v>
      </c>
      <c r="C12" s="14" t="s">
        <v>36</v>
      </c>
      <c r="D12" s="14">
        <v>5933.4</v>
      </c>
      <c r="E12" s="14"/>
    </row>
    <row r="13" spans="1:5" ht="12.75">
      <c r="A13" s="14"/>
      <c r="B13" s="16" t="s">
        <v>28</v>
      </c>
      <c r="C13" s="14" t="s">
        <v>9</v>
      </c>
      <c r="D13" s="20">
        <v>265398.14</v>
      </c>
      <c r="E13" s="14"/>
    </row>
    <row r="14" spans="1:5" ht="12.75">
      <c r="A14" s="14"/>
      <c r="B14" s="14"/>
      <c r="C14" s="14"/>
      <c r="D14" s="14"/>
      <c r="E14" s="14"/>
    </row>
    <row r="15" spans="1:5" ht="15.75">
      <c r="A15" s="14"/>
      <c r="B15" s="17" t="s">
        <v>7</v>
      </c>
      <c r="C15" s="14"/>
      <c r="D15" s="14"/>
      <c r="E15" s="14"/>
    </row>
    <row r="16" spans="1:5" ht="12.75">
      <c r="A16" s="14">
        <v>1</v>
      </c>
      <c r="B16" s="14" t="s">
        <v>8</v>
      </c>
      <c r="C16" s="14" t="s">
        <v>9</v>
      </c>
      <c r="D16" s="20">
        <v>220254.78</v>
      </c>
      <c r="E16" s="14"/>
    </row>
    <row r="17" spans="1:5" ht="12.75">
      <c r="A17" s="14">
        <v>2</v>
      </c>
      <c r="B17" s="14" t="s">
        <v>104</v>
      </c>
      <c r="C17" s="14"/>
      <c r="D17" s="20">
        <v>2400</v>
      </c>
      <c r="E17" s="14"/>
    </row>
    <row r="18" spans="1:5" ht="15.75">
      <c r="A18" s="14"/>
      <c r="B18" s="17" t="s">
        <v>10</v>
      </c>
      <c r="C18" s="14"/>
      <c r="D18" s="19">
        <f>D16+D17</f>
        <v>222654.78</v>
      </c>
      <c r="E18" s="14"/>
    </row>
    <row r="19" spans="1:5" ht="15.75">
      <c r="A19" s="14"/>
      <c r="B19" s="17"/>
      <c r="C19" s="14"/>
      <c r="D19" s="19"/>
      <c r="E19" s="14"/>
    </row>
    <row r="20" spans="1:5" ht="15.75">
      <c r="A20" s="14"/>
      <c r="B20" s="17" t="s">
        <v>66</v>
      </c>
      <c r="C20" s="14"/>
      <c r="D20" s="20"/>
      <c r="E20" s="22" t="s">
        <v>85</v>
      </c>
    </row>
    <row r="21" spans="1:5" ht="12.75">
      <c r="A21" s="401" t="s">
        <v>67</v>
      </c>
      <c r="B21" s="16" t="s">
        <v>68</v>
      </c>
      <c r="C21" s="14"/>
      <c r="D21" s="19">
        <f>D22+D26</f>
        <v>22147.4</v>
      </c>
      <c r="E21" s="19">
        <f>E22</f>
        <v>4024.6621399999995</v>
      </c>
    </row>
    <row r="22" spans="1:5" ht="12.75">
      <c r="A22" s="14">
        <v>1</v>
      </c>
      <c r="B22" s="20" t="s">
        <v>11</v>
      </c>
      <c r="C22" s="395" t="s">
        <v>9</v>
      </c>
      <c r="D22" s="19">
        <v>19937.98</v>
      </c>
      <c r="E22" s="19">
        <f>E23+E24+E25</f>
        <v>4024.6621399999995</v>
      </c>
    </row>
    <row r="23" spans="1:5" ht="12.75">
      <c r="A23" s="14"/>
      <c r="B23" s="14" t="s">
        <v>12</v>
      </c>
      <c r="C23" s="14"/>
      <c r="D23" s="14">
        <v>19924.07</v>
      </c>
      <c r="E23" s="18">
        <f>D23*20.2%</f>
        <v>4024.6621399999995</v>
      </c>
    </row>
    <row r="24" spans="1:5" ht="12.75">
      <c r="A24" s="14"/>
      <c r="B24" s="14" t="s">
        <v>13</v>
      </c>
      <c r="C24" s="14"/>
      <c r="D24" s="396">
        <v>0</v>
      </c>
      <c r="E24" s="18"/>
    </row>
    <row r="25" spans="1:5" ht="12.75">
      <c r="A25" s="14"/>
      <c r="B25" s="14" t="s">
        <v>14</v>
      </c>
      <c r="C25" s="14"/>
      <c r="D25" s="14">
        <v>0</v>
      </c>
      <c r="E25" s="18"/>
    </row>
    <row r="26" spans="1:5" ht="12.75">
      <c r="A26" s="14">
        <v>2</v>
      </c>
      <c r="B26" s="395" t="s">
        <v>16</v>
      </c>
      <c r="C26" s="14"/>
      <c r="D26" s="14">
        <v>2209.42</v>
      </c>
      <c r="E26" s="18"/>
    </row>
    <row r="27" spans="1:5" ht="12.75">
      <c r="A27" s="401" t="s">
        <v>71</v>
      </c>
      <c r="B27" s="402" t="s">
        <v>69</v>
      </c>
      <c r="C27" s="14"/>
      <c r="D27" s="20">
        <f>D28+D29+D30</f>
        <v>99645.52</v>
      </c>
      <c r="E27" s="19">
        <f>E28</f>
        <v>11563.887939999999</v>
      </c>
    </row>
    <row r="28" spans="1:5" ht="12.75">
      <c r="A28" s="14">
        <v>1</v>
      </c>
      <c r="B28" s="22" t="s">
        <v>70</v>
      </c>
      <c r="C28" s="14"/>
      <c r="D28" s="22">
        <v>57246.97</v>
      </c>
      <c r="E28" s="21">
        <f>D28*20.2%</f>
        <v>11563.887939999999</v>
      </c>
    </row>
    <row r="29" spans="1:5" ht="12.75">
      <c r="A29" s="14">
        <v>2</v>
      </c>
      <c r="B29" s="22" t="s">
        <v>16</v>
      </c>
      <c r="C29" s="14"/>
      <c r="D29" s="22">
        <v>24820.05</v>
      </c>
      <c r="E29" s="14"/>
    </row>
    <row r="30" spans="1:5" ht="12.75">
      <c r="A30" s="14">
        <v>3</v>
      </c>
      <c r="B30" s="22" t="s">
        <v>107</v>
      </c>
      <c r="C30" s="14"/>
      <c r="D30" s="22">
        <v>17578.5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D32+D33+D34+D35+D36+D37+D38+D39</f>
        <v>43794.419</v>
      </c>
      <c r="E31" s="19"/>
    </row>
    <row r="32" spans="1:5" ht="12.75">
      <c r="A32" s="14"/>
      <c r="B32" s="14" t="s">
        <v>18</v>
      </c>
      <c r="C32" s="14"/>
      <c r="D32" s="18">
        <f>D18*5%</f>
        <v>11132.739000000001</v>
      </c>
      <c r="E32" s="14"/>
    </row>
    <row r="33" spans="1:5" ht="12.75">
      <c r="A33" s="14"/>
      <c r="B33" s="22" t="s">
        <v>19</v>
      </c>
      <c r="C33" s="14"/>
      <c r="D33" s="18">
        <v>691.31</v>
      </c>
      <c r="E33" s="14"/>
    </row>
    <row r="34" spans="1:5" ht="12.75">
      <c r="A34" s="14"/>
      <c r="B34" s="22" t="s">
        <v>20</v>
      </c>
      <c r="C34" s="14"/>
      <c r="D34" s="18">
        <v>11552</v>
      </c>
      <c r="E34" s="14"/>
    </row>
    <row r="35" spans="1:5" ht="12.75">
      <c r="A35" s="14"/>
      <c r="B35" s="14" t="s">
        <v>21</v>
      </c>
      <c r="C35" s="14"/>
      <c r="D35" s="18">
        <f>8588.16+1734.81</f>
        <v>10322.97</v>
      </c>
      <c r="E35" s="18"/>
    </row>
    <row r="36" spans="1:5" ht="12.75">
      <c r="A36" s="14"/>
      <c r="B36" s="22" t="s">
        <v>29</v>
      </c>
      <c r="C36" s="14"/>
      <c r="D36" s="14">
        <f>195.22+38.95</f>
        <v>234.17000000000002</v>
      </c>
      <c r="E36" s="14"/>
    </row>
    <row r="37" spans="1:5" ht="12.75">
      <c r="A37" s="14"/>
      <c r="B37" s="395" t="s">
        <v>62</v>
      </c>
      <c r="C37" s="14"/>
      <c r="D37" s="14">
        <v>2447.65</v>
      </c>
      <c r="E37" s="14"/>
    </row>
    <row r="38" spans="1:5" ht="12.75">
      <c r="A38" s="14"/>
      <c r="B38" s="22" t="s">
        <v>34</v>
      </c>
      <c r="C38" s="14"/>
      <c r="D38" s="14">
        <v>3258</v>
      </c>
      <c r="E38" s="14"/>
    </row>
    <row r="39" spans="1:5" ht="12.75">
      <c r="A39" s="14"/>
      <c r="B39" s="14" t="s">
        <v>22</v>
      </c>
      <c r="C39" s="14"/>
      <c r="D39" s="14">
        <v>4155.58</v>
      </c>
      <c r="E39" s="14"/>
    </row>
    <row r="40" spans="1:5" ht="12.75">
      <c r="A40" s="14">
        <v>4</v>
      </c>
      <c r="B40" s="20" t="s">
        <v>23</v>
      </c>
      <c r="C40" s="14"/>
      <c r="D40" s="19">
        <f>D41+D42</f>
        <v>47690.49</v>
      </c>
      <c r="E40" s="19">
        <f>E41</f>
        <v>7234.995619999999</v>
      </c>
    </row>
    <row r="41" spans="1:5" ht="12.75">
      <c r="A41" s="14"/>
      <c r="B41" s="22" t="s">
        <v>86</v>
      </c>
      <c r="C41" s="22"/>
      <c r="D41" s="21">
        <v>35816.81</v>
      </c>
      <c r="E41" s="21">
        <f>D41*20.2%</f>
        <v>7234.995619999999</v>
      </c>
    </row>
    <row r="42" spans="1:5" ht="12.75">
      <c r="A42" s="14"/>
      <c r="B42" s="22" t="s">
        <v>89</v>
      </c>
      <c r="C42" s="14"/>
      <c r="D42" s="21">
        <v>11873.68</v>
      </c>
      <c r="E42" s="14"/>
    </row>
    <row r="43" spans="1:5" ht="12.75">
      <c r="A43" s="14">
        <v>5</v>
      </c>
      <c r="B43" s="20" t="s">
        <v>24</v>
      </c>
      <c r="C43" s="14"/>
      <c r="D43" s="19">
        <f>D21+E21+D27+E27+D31+E31+D40+E40</f>
        <v>236101.3747</v>
      </c>
      <c r="E43" s="14"/>
    </row>
    <row r="44" spans="1:5" ht="12.75">
      <c r="A44" s="14">
        <v>6</v>
      </c>
      <c r="B44" s="14" t="s">
        <v>33</v>
      </c>
      <c r="C44" s="14"/>
      <c r="D44" s="19">
        <f>D18*6%</f>
        <v>13359.2868</v>
      </c>
      <c r="E44" s="14"/>
    </row>
    <row r="45" spans="1:5" ht="12.75">
      <c r="A45" s="14">
        <v>7</v>
      </c>
      <c r="B45" s="20" t="s">
        <v>25</v>
      </c>
      <c r="C45" s="14"/>
      <c r="D45" s="19">
        <f>D43+D44</f>
        <v>249460.6615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>
        <v>8</v>
      </c>
      <c r="B47" s="20" t="s">
        <v>87</v>
      </c>
      <c r="C47" s="14"/>
      <c r="D47" s="19">
        <f>D18-D45</f>
        <v>-26805.88149999999</v>
      </c>
      <c r="E47" s="14"/>
    </row>
    <row r="48" spans="1:5" ht="12.75">
      <c r="A48" s="14">
        <v>9</v>
      </c>
      <c r="B48" s="20" t="s">
        <v>47</v>
      </c>
      <c r="C48" s="14"/>
      <c r="D48" s="19">
        <f>D10+D47</f>
        <v>-8076.051499999987</v>
      </c>
      <c r="E48" s="14"/>
    </row>
    <row r="49" spans="1:5" ht="12.75">
      <c r="A49" s="3"/>
      <c r="B49" s="426"/>
      <c r="C49" s="3"/>
      <c r="D49" s="429"/>
      <c r="E49" s="3"/>
    </row>
    <row r="50" spans="1:5" ht="12.75">
      <c r="A50" s="1"/>
      <c r="B50" s="1" t="s">
        <v>31</v>
      </c>
      <c r="C50" s="1"/>
      <c r="D50" s="1" t="s">
        <v>0</v>
      </c>
      <c r="E50" s="1"/>
    </row>
    <row r="51" spans="1:5" ht="12.75">
      <c r="A51" s="1"/>
      <c r="B51" s="1" t="s">
        <v>32</v>
      </c>
      <c r="C51" s="1"/>
      <c r="D51" s="1" t="s">
        <v>27</v>
      </c>
      <c r="E51" s="1"/>
    </row>
  </sheetData>
  <sheetProtection/>
  <mergeCells count="3">
    <mergeCell ref="A5:C5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16">
      <selection activeCell="H37" sqref="H37"/>
    </sheetView>
  </sheetViews>
  <sheetFormatPr defaultColWidth="9.00390625" defaultRowHeight="12.75"/>
  <cols>
    <col min="1" max="1" width="3.75390625" style="0" customWidth="1"/>
    <col min="2" max="2" width="40.875" style="0" customWidth="1"/>
    <col min="3" max="3" width="7.125" style="0" customWidth="1"/>
    <col min="4" max="4" width="11.75390625" style="0" customWidth="1"/>
    <col min="5" max="5" width="10.625" style="0" customWidth="1"/>
    <col min="7" max="7" width="3.75390625" style="0" customWidth="1"/>
    <col min="8" max="8" width="39.25390625" style="0" customWidth="1"/>
    <col min="10" max="10" width="10.125" style="0" customWidth="1"/>
    <col min="13" max="13" width="4.25390625" style="0" customWidth="1"/>
    <col min="14" max="14" width="39.25390625" style="0" customWidth="1"/>
    <col min="15" max="15" width="7.25390625" style="0" customWidth="1"/>
    <col min="16" max="16" width="11.125" style="0" customWidth="1"/>
    <col min="20" max="20" width="41.875" style="0" customWidth="1"/>
    <col min="22" max="22" width="12.625" style="0" customWidth="1"/>
  </cols>
  <sheetData>
    <row r="1" spans="1:5" ht="15.75">
      <c r="A1" s="290"/>
      <c r="B1" s="291" t="s">
        <v>26</v>
      </c>
      <c r="C1" s="290"/>
      <c r="D1" s="290"/>
      <c r="E1" s="290"/>
    </row>
    <row r="2" spans="1:5" ht="12.75">
      <c r="A2" s="290"/>
      <c r="B2" s="290"/>
      <c r="C2" s="290"/>
      <c r="D2" s="290"/>
      <c r="E2" s="290"/>
    </row>
    <row r="3" spans="1:5" ht="12.75">
      <c r="A3" s="290"/>
      <c r="B3" s="290" t="s">
        <v>30</v>
      </c>
      <c r="C3" s="290"/>
      <c r="D3" s="290"/>
      <c r="E3" s="290"/>
    </row>
    <row r="4" spans="1:5" ht="12.75">
      <c r="A4" s="290"/>
      <c r="B4" s="462" t="s">
        <v>140</v>
      </c>
      <c r="C4" s="290"/>
      <c r="D4" s="290"/>
      <c r="E4" s="290"/>
    </row>
    <row r="5" spans="1:5" ht="12.75">
      <c r="A5" s="290"/>
      <c r="B5" s="290" t="s">
        <v>44</v>
      </c>
      <c r="C5" s="290"/>
      <c r="D5" s="290"/>
      <c r="E5" s="290"/>
    </row>
    <row r="6" spans="1:5" ht="12.75">
      <c r="A6" s="445"/>
      <c r="B6" s="445"/>
      <c r="C6" s="445"/>
      <c r="D6" s="293"/>
      <c r="E6" s="446"/>
    </row>
    <row r="7" spans="1:5" ht="15.75">
      <c r="A7" s="292"/>
      <c r="B7" s="294" t="s">
        <v>1</v>
      </c>
      <c r="C7" s="295" t="s">
        <v>3</v>
      </c>
      <c r="D7" s="558" t="s">
        <v>4</v>
      </c>
      <c r="E7" s="559"/>
    </row>
    <row r="8" spans="1:5" ht="15.75">
      <c r="A8" s="296"/>
      <c r="B8" s="294" t="s">
        <v>2</v>
      </c>
      <c r="C8" s="295" t="s">
        <v>35</v>
      </c>
      <c r="D8" s="556" t="s">
        <v>121</v>
      </c>
      <c r="E8" s="557"/>
    </row>
    <row r="9" spans="1:5" ht="12.75">
      <c r="A9" s="297"/>
      <c r="B9" s="297"/>
      <c r="C9" s="297"/>
      <c r="D9" s="298"/>
      <c r="E9" s="299"/>
    </row>
    <row r="10" spans="1:5" ht="12.75">
      <c r="A10" s="297"/>
      <c r="B10" s="420" t="s">
        <v>80</v>
      </c>
      <c r="C10" s="297"/>
      <c r="D10" s="298">
        <v>-145855.12</v>
      </c>
      <c r="E10" s="299"/>
    </row>
    <row r="11" spans="1:5" ht="12.75">
      <c r="A11" s="300"/>
      <c r="B11" s="301" t="s">
        <v>5</v>
      </c>
      <c r="C11" s="300" t="s">
        <v>36</v>
      </c>
      <c r="D11" s="300">
        <v>3614.7</v>
      </c>
      <c r="E11" s="300"/>
    </row>
    <row r="12" spans="1:5" ht="12.75">
      <c r="A12" s="300"/>
      <c r="B12" s="301" t="s">
        <v>6</v>
      </c>
      <c r="C12" s="300" t="s">
        <v>36</v>
      </c>
      <c r="D12" s="300">
        <v>2649.9</v>
      </c>
      <c r="E12" s="300"/>
    </row>
    <row r="13" spans="1:5" ht="12.75">
      <c r="A13" s="300"/>
      <c r="B13" s="302" t="s">
        <v>28</v>
      </c>
      <c r="C13" s="300" t="s">
        <v>38</v>
      </c>
      <c r="D13" s="303">
        <v>111381.9</v>
      </c>
      <c r="E13" s="300"/>
    </row>
    <row r="14" spans="1:5" ht="12.75">
      <c r="A14" s="300"/>
      <c r="B14" s="300"/>
      <c r="C14" s="300"/>
      <c r="D14" s="300"/>
      <c r="E14" s="300"/>
    </row>
    <row r="15" spans="1:5" ht="15.75">
      <c r="A15" s="300"/>
      <c r="B15" s="304" t="s">
        <v>7</v>
      </c>
      <c r="C15" s="300"/>
      <c r="D15" s="300"/>
      <c r="E15" s="300"/>
    </row>
    <row r="16" spans="1:5" ht="12.75">
      <c r="A16" s="300">
        <v>1</v>
      </c>
      <c r="B16" s="300" t="s">
        <v>8</v>
      </c>
      <c r="C16" s="300" t="s">
        <v>9</v>
      </c>
      <c r="D16" s="300">
        <v>100669.44</v>
      </c>
      <c r="E16" s="300"/>
    </row>
    <row r="17" spans="1:5" ht="12.75">
      <c r="A17" s="300">
        <v>2</v>
      </c>
      <c r="B17" s="300" t="s">
        <v>104</v>
      </c>
      <c r="C17" s="300"/>
      <c r="D17" s="300">
        <f>6000+2400</f>
        <v>8400</v>
      </c>
      <c r="E17" s="300"/>
    </row>
    <row r="18" spans="1:5" ht="15.75">
      <c r="A18" s="300"/>
      <c r="B18" s="304" t="s">
        <v>10</v>
      </c>
      <c r="C18" s="300"/>
      <c r="D18" s="303">
        <f>D16+D17</f>
        <v>109069.44</v>
      </c>
      <c r="E18" s="300"/>
    </row>
    <row r="19" spans="1:5" ht="15.75">
      <c r="A19" s="300"/>
      <c r="B19" s="304"/>
      <c r="C19" s="300"/>
      <c r="D19" s="303"/>
      <c r="E19" s="300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19">
        <f>D22+D26</f>
        <v>45600.990000000005</v>
      </c>
      <c r="E21" s="19">
        <f>E22</f>
        <v>9020.891759999999</v>
      </c>
    </row>
    <row r="22" spans="1:5" ht="12.75">
      <c r="A22" s="14">
        <v>1</v>
      </c>
      <c r="B22" s="20" t="s">
        <v>11</v>
      </c>
      <c r="C22" s="395" t="s">
        <v>9</v>
      </c>
      <c r="D22" s="19">
        <f>D23+D24+D25</f>
        <v>44657.880000000005</v>
      </c>
      <c r="E22" s="19">
        <f>E23+E24+E25</f>
        <v>9020.891759999999</v>
      </c>
    </row>
    <row r="23" spans="1:5" ht="12.75">
      <c r="A23" s="14"/>
      <c r="B23" s="14" t="s">
        <v>12</v>
      </c>
      <c r="C23" s="14"/>
      <c r="D23" s="14">
        <v>14446.65</v>
      </c>
      <c r="E23" s="18">
        <f>D23*20.2%</f>
        <v>2918.2232999999997</v>
      </c>
    </row>
    <row r="24" spans="1:5" ht="12.75">
      <c r="A24" s="14"/>
      <c r="B24" s="14" t="s">
        <v>13</v>
      </c>
      <c r="C24" s="14"/>
      <c r="D24" s="396">
        <v>10397.89</v>
      </c>
      <c r="E24" s="18">
        <f>D24*20.2%</f>
        <v>2100.37378</v>
      </c>
    </row>
    <row r="25" spans="1:5" ht="12.75">
      <c r="A25" s="14"/>
      <c r="B25" s="14" t="s">
        <v>14</v>
      </c>
      <c r="C25" s="14"/>
      <c r="D25" s="14">
        <v>19813.34</v>
      </c>
      <c r="E25" s="18">
        <f>D25*20.2%</f>
        <v>4002.2946799999995</v>
      </c>
    </row>
    <row r="26" spans="1:5" ht="12.75">
      <c r="A26" s="14">
        <v>2</v>
      </c>
      <c r="B26" s="395" t="s">
        <v>16</v>
      </c>
      <c r="C26" s="14"/>
      <c r="D26" s="14">
        <v>943.11</v>
      </c>
      <c r="E26" s="18"/>
    </row>
    <row r="27" spans="1:5" ht="12.75">
      <c r="A27" s="401" t="s">
        <v>71</v>
      </c>
      <c r="B27" s="402" t="s">
        <v>69</v>
      </c>
      <c r="C27" s="14"/>
      <c r="D27" s="20">
        <f>D28+D29+D30</f>
        <v>46469.03</v>
      </c>
      <c r="E27" s="19">
        <f>E28</f>
        <v>4936.1528</v>
      </c>
    </row>
    <row r="28" spans="1:5" ht="12.75">
      <c r="A28" s="14">
        <v>1</v>
      </c>
      <c r="B28" s="22" t="s">
        <v>70</v>
      </c>
      <c r="C28" s="14"/>
      <c r="D28" s="22">
        <v>24436.4</v>
      </c>
      <c r="E28" s="18">
        <f>D28*20.2%</f>
        <v>4936.1528</v>
      </c>
    </row>
    <row r="29" spans="1:5" ht="12.75">
      <c r="A29" s="14">
        <v>2</v>
      </c>
      <c r="B29" s="22" t="s">
        <v>16</v>
      </c>
      <c r="C29" s="14"/>
      <c r="D29" s="22">
        <v>11780.24</v>
      </c>
      <c r="E29" s="14"/>
    </row>
    <row r="30" spans="1:5" ht="12.75">
      <c r="A30" s="14">
        <v>3</v>
      </c>
      <c r="B30" s="22" t="s">
        <v>107</v>
      </c>
      <c r="C30" s="14"/>
      <c r="D30" s="22">
        <v>10252.39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</f>
        <v>16701.521999999997</v>
      </c>
      <c r="E31" s="19"/>
    </row>
    <row r="32" spans="1:5" ht="12.75">
      <c r="A32" s="14"/>
      <c r="B32" s="14" t="s">
        <v>18</v>
      </c>
      <c r="C32" s="14"/>
      <c r="D32" s="18">
        <f>D18*5%</f>
        <v>5453.472000000001</v>
      </c>
      <c r="E32" s="14"/>
    </row>
    <row r="33" spans="1:5" ht="12.75">
      <c r="A33" s="14"/>
      <c r="B33" s="14" t="s">
        <v>19</v>
      </c>
      <c r="C33" s="14"/>
      <c r="D33" s="14">
        <v>212.77</v>
      </c>
      <c r="E33" s="14"/>
    </row>
    <row r="34" spans="1:5" ht="12.75">
      <c r="A34" s="14"/>
      <c r="B34" s="22" t="s">
        <v>20</v>
      </c>
      <c r="C34" s="14"/>
      <c r="D34" s="14">
        <v>3380.78</v>
      </c>
      <c r="E34" s="14"/>
    </row>
    <row r="35" spans="1:5" ht="12.75">
      <c r="A35" s="14"/>
      <c r="B35" s="14" t="s">
        <v>21</v>
      </c>
      <c r="C35" s="14"/>
      <c r="D35" s="18">
        <f>3665.94+740.52</f>
        <v>4406.46</v>
      </c>
      <c r="E35" s="18"/>
    </row>
    <row r="36" spans="1:5" ht="12.75">
      <c r="A36" s="14"/>
      <c r="B36" s="395" t="s">
        <v>29</v>
      </c>
      <c r="C36" s="14"/>
      <c r="D36" s="14">
        <f>390.44+38.95</f>
        <v>429.39</v>
      </c>
      <c r="E36" s="14"/>
    </row>
    <row r="37" spans="1:5" ht="12.75">
      <c r="A37" s="14"/>
      <c r="B37" s="395" t="s">
        <v>62</v>
      </c>
      <c r="C37" s="14"/>
      <c r="D37" s="14">
        <v>1044.8</v>
      </c>
      <c r="E37" s="14"/>
    </row>
    <row r="38" spans="1:5" ht="12.75">
      <c r="A38" s="14"/>
      <c r="B38" s="14" t="s">
        <v>22</v>
      </c>
      <c r="C38" s="14"/>
      <c r="D38" s="14">
        <v>1773.85</v>
      </c>
      <c r="E38" s="14"/>
    </row>
    <row r="39" spans="1:5" ht="12.75">
      <c r="A39" s="14">
        <v>4</v>
      </c>
      <c r="B39" s="20" t="s">
        <v>199</v>
      </c>
      <c r="C39" s="14"/>
      <c r="D39" s="19">
        <f>19744.13+2964.5</f>
        <v>22708.63</v>
      </c>
      <c r="E39" s="19"/>
    </row>
    <row r="40" spans="1:5" ht="12.75">
      <c r="A40" s="14">
        <v>5</v>
      </c>
      <c r="B40" s="20" t="s">
        <v>24</v>
      </c>
      <c r="C40" s="14"/>
      <c r="D40" s="19">
        <f>D21+E21+D27+E27+D31+E31+D39+E39</f>
        <v>145437.21656</v>
      </c>
      <c r="E40" s="14"/>
    </row>
    <row r="41" spans="1:5" ht="12.75">
      <c r="A41" s="14">
        <v>6</v>
      </c>
      <c r="B41" s="14" t="s">
        <v>33</v>
      </c>
      <c r="C41" s="14"/>
      <c r="D41" s="19">
        <f>D18*6%</f>
        <v>6544.1664</v>
      </c>
      <c r="E41" s="14"/>
    </row>
    <row r="42" spans="1:5" ht="12.75">
      <c r="A42" s="14">
        <v>7</v>
      </c>
      <c r="B42" s="20" t="s">
        <v>25</v>
      </c>
      <c r="C42" s="14"/>
      <c r="D42" s="19">
        <f>D40+D41</f>
        <v>151981.38296</v>
      </c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>
        <v>8</v>
      </c>
      <c r="B44" s="20" t="s">
        <v>87</v>
      </c>
      <c r="C44" s="14"/>
      <c r="D44" s="19">
        <f>D18-D42</f>
        <v>-42911.942959999986</v>
      </c>
      <c r="E44" s="14"/>
    </row>
    <row r="45" spans="1:5" ht="12.75">
      <c r="A45" s="14">
        <v>9</v>
      </c>
      <c r="B45" s="20" t="s">
        <v>47</v>
      </c>
      <c r="C45" s="14"/>
      <c r="D45" s="19">
        <f>D10+D44</f>
        <v>-188767.06295999998</v>
      </c>
      <c r="E45" s="14"/>
    </row>
    <row r="46" spans="1:5" ht="12.75">
      <c r="A46" s="3"/>
      <c r="B46" s="426"/>
      <c r="C46" s="3"/>
      <c r="D46" s="429"/>
      <c r="E46" s="3"/>
    </row>
    <row r="47" spans="1:5" ht="12.75">
      <c r="A47" s="3"/>
      <c r="B47" s="426"/>
      <c r="C47" s="3"/>
      <c r="D47" s="429"/>
      <c r="E47" s="3"/>
    </row>
    <row r="48" spans="1:5" ht="12.75">
      <c r="A48" s="1"/>
      <c r="B48" s="1" t="s">
        <v>31</v>
      </c>
      <c r="C48" s="1"/>
      <c r="D48" s="1" t="s">
        <v>0</v>
      </c>
      <c r="E48" s="1"/>
    </row>
    <row r="49" spans="1:5" ht="12.75">
      <c r="A49" s="1"/>
      <c r="B49" s="1" t="s">
        <v>32</v>
      </c>
      <c r="C49" s="1"/>
      <c r="D49" s="1" t="s">
        <v>27</v>
      </c>
      <c r="E49" s="1"/>
    </row>
  </sheetData>
  <sheetProtection/>
  <mergeCells count="2">
    <mergeCell ref="D8:E8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zoomScalePageLayoutView="0" workbookViewId="0" topLeftCell="A20">
      <selection activeCell="H44" sqref="H42:H44"/>
    </sheetView>
  </sheetViews>
  <sheetFormatPr defaultColWidth="9.00390625" defaultRowHeight="12.75"/>
  <cols>
    <col min="1" max="1" width="5.875" style="0" customWidth="1"/>
    <col min="2" max="2" width="42.125" style="0" customWidth="1"/>
    <col min="3" max="3" width="6.625" style="0" customWidth="1"/>
    <col min="4" max="4" width="10.625" style="0" customWidth="1"/>
    <col min="5" max="5" width="10.375" style="0" customWidth="1"/>
    <col min="7" max="7" width="3.75390625" style="0" customWidth="1"/>
    <col min="8" max="8" width="42.125" style="0" customWidth="1"/>
    <col min="10" max="10" width="10.125" style="0" customWidth="1"/>
    <col min="13" max="13" width="6.00390625" style="0" customWidth="1"/>
    <col min="14" max="14" width="40.125" style="0" customWidth="1"/>
    <col min="15" max="15" width="10.00390625" style="0" customWidth="1"/>
    <col min="16" max="16" width="10.25390625" style="0" customWidth="1"/>
    <col min="17" max="17" width="13.125" style="0" customWidth="1"/>
    <col min="18" max="18" width="5.125" style="0" customWidth="1"/>
    <col min="20" max="20" width="42.25390625" style="0" customWidth="1"/>
    <col min="22" max="22" width="11.625" style="0" customWidth="1"/>
  </cols>
  <sheetData>
    <row r="1" spans="1:5" ht="15.75">
      <c r="A1" s="305"/>
      <c r="B1" s="306" t="s">
        <v>26</v>
      </c>
      <c r="C1" s="305"/>
      <c r="D1" s="305"/>
      <c r="E1" s="305"/>
    </row>
    <row r="2" spans="1:5" ht="12.75">
      <c r="A2" s="305"/>
      <c r="B2" s="305"/>
      <c r="C2" s="305"/>
      <c r="D2" s="305"/>
      <c r="E2" s="305"/>
    </row>
    <row r="3" spans="1:5" ht="12.75">
      <c r="A3" s="305"/>
      <c r="B3" s="305" t="s">
        <v>30</v>
      </c>
      <c r="C3" s="305"/>
      <c r="D3" s="305"/>
      <c r="E3" s="305"/>
    </row>
    <row r="4" spans="1:5" ht="12.75">
      <c r="A4" s="305"/>
      <c r="B4" s="463" t="s">
        <v>141</v>
      </c>
      <c r="C4" s="305"/>
      <c r="D4" s="305"/>
      <c r="E4" s="305"/>
    </row>
    <row r="5" spans="1:5" ht="12.75">
      <c r="A5" s="305"/>
      <c r="B5" s="305" t="s">
        <v>43</v>
      </c>
      <c r="C5" s="305"/>
      <c r="D5" s="305"/>
      <c r="E5" s="305"/>
    </row>
    <row r="6" spans="1:5" ht="12.75">
      <c r="A6" s="562"/>
      <c r="B6" s="562"/>
      <c r="C6" s="562"/>
      <c r="D6" s="307"/>
      <c r="E6" s="308"/>
    </row>
    <row r="7" spans="1:5" ht="12.75">
      <c r="A7" s="309"/>
      <c r="B7" s="309"/>
      <c r="C7" s="309"/>
      <c r="D7" s="310"/>
      <c r="E7" s="311"/>
    </row>
    <row r="8" spans="1:5" ht="15.75">
      <c r="A8" s="309"/>
      <c r="B8" s="312" t="s">
        <v>1</v>
      </c>
      <c r="C8" s="313" t="s">
        <v>3</v>
      </c>
      <c r="D8" s="563" t="s">
        <v>4</v>
      </c>
      <c r="E8" s="564"/>
    </row>
    <row r="9" spans="1:5" ht="15.75">
      <c r="A9" s="314"/>
      <c r="B9" s="312" t="s">
        <v>2</v>
      </c>
      <c r="C9" s="313" t="s">
        <v>35</v>
      </c>
      <c r="D9" s="560" t="s">
        <v>121</v>
      </c>
      <c r="E9" s="561"/>
    </row>
    <row r="10" spans="1:5" ht="12.75">
      <c r="A10" s="315"/>
      <c r="B10" s="315"/>
      <c r="C10" s="315"/>
      <c r="D10" s="316"/>
      <c r="E10" s="317"/>
    </row>
    <row r="11" spans="1:5" ht="12.75">
      <c r="A11" s="315"/>
      <c r="B11" s="421" t="s">
        <v>80</v>
      </c>
      <c r="C11" s="315"/>
      <c r="D11" s="316">
        <v>-283623.57</v>
      </c>
      <c r="E11" s="317"/>
    </row>
    <row r="12" spans="1:5" ht="12.75">
      <c r="A12" s="318"/>
      <c r="B12" s="319" t="s">
        <v>5</v>
      </c>
      <c r="C12" s="318" t="s">
        <v>36</v>
      </c>
      <c r="D12" s="318">
        <v>5453.7</v>
      </c>
      <c r="E12" s="318"/>
    </row>
    <row r="13" spans="1:5" ht="12.75">
      <c r="A13" s="318"/>
      <c r="B13" s="319" t="s">
        <v>6</v>
      </c>
      <c r="C13" s="318" t="s">
        <v>36</v>
      </c>
      <c r="D13" s="318">
        <v>4435.2</v>
      </c>
      <c r="E13" s="318"/>
    </row>
    <row r="14" spans="1:5" ht="12.75">
      <c r="A14" s="318"/>
      <c r="B14" s="320" t="s">
        <v>28</v>
      </c>
      <c r="C14" s="318" t="s">
        <v>38</v>
      </c>
      <c r="D14" s="321">
        <v>182803.08</v>
      </c>
      <c r="E14" s="318"/>
    </row>
    <row r="15" spans="1:5" ht="12.75">
      <c r="A15" s="318"/>
      <c r="B15" s="318"/>
      <c r="C15" s="318"/>
      <c r="D15" s="318"/>
      <c r="E15" s="318"/>
    </row>
    <row r="16" spans="1:5" ht="15.75">
      <c r="A16" s="318"/>
      <c r="B16" s="322" t="s">
        <v>7</v>
      </c>
      <c r="C16" s="318"/>
      <c r="D16" s="318"/>
      <c r="E16" s="318"/>
    </row>
    <row r="17" spans="1:5" ht="12.75">
      <c r="A17" s="318">
        <v>1</v>
      </c>
      <c r="B17" s="318" t="s">
        <v>8</v>
      </c>
      <c r="C17" s="318" t="s">
        <v>9</v>
      </c>
      <c r="D17" s="318">
        <v>182921.74</v>
      </c>
      <c r="E17" s="318"/>
    </row>
    <row r="18" spans="1:5" ht="12.75">
      <c r="A18" s="318">
        <v>2</v>
      </c>
      <c r="B18" s="318" t="s">
        <v>104</v>
      </c>
      <c r="C18" s="318"/>
      <c r="D18" s="318">
        <f>7200+6000</f>
        <v>13200</v>
      </c>
      <c r="E18" s="318"/>
    </row>
    <row r="19" spans="1:5" ht="15.75">
      <c r="A19" s="318"/>
      <c r="B19" s="322" t="s">
        <v>10</v>
      </c>
      <c r="C19" s="318"/>
      <c r="D19" s="321">
        <f>D17+D18</f>
        <v>196121.74</v>
      </c>
      <c r="E19" s="318"/>
    </row>
    <row r="20" spans="1:5" ht="15.75">
      <c r="A20" s="318"/>
      <c r="B20" s="322"/>
      <c r="C20" s="318"/>
      <c r="D20" s="321"/>
      <c r="E20" s="31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19">
        <f>D23+D27</f>
        <v>73219.87999999999</v>
      </c>
      <c r="E22" s="19">
        <f>E23</f>
        <v>14471.55674</v>
      </c>
    </row>
    <row r="23" spans="1:5" ht="12.75">
      <c r="A23" s="14">
        <v>1</v>
      </c>
      <c r="B23" s="20" t="s">
        <v>11</v>
      </c>
      <c r="C23" s="395" t="s">
        <v>9</v>
      </c>
      <c r="D23" s="19">
        <f>D24+D25+D26</f>
        <v>71641.37</v>
      </c>
      <c r="E23" s="19">
        <f>E24+E25+E26</f>
        <v>14471.55674</v>
      </c>
    </row>
    <row r="24" spans="1:5" ht="12.75">
      <c r="A24" s="14"/>
      <c r="B24" s="14" t="s">
        <v>12</v>
      </c>
      <c r="C24" s="14"/>
      <c r="D24" s="14">
        <v>17617.94</v>
      </c>
      <c r="E24" s="18">
        <f>D24*20.2%</f>
        <v>3558.8238799999995</v>
      </c>
    </row>
    <row r="25" spans="1:5" ht="12.75">
      <c r="A25" s="14"/>
      <c r="B25" s="14" t="s">
        <v>13</v>
      </c>
      <c r="C25" s="14"/>
      <c r="D25" s="396">
        <v>20795.79</v>
      </c>
      <c r="E25" s="18">
        <f>D25*20.2%</f>
        <v>4200.74958</v>
      </c>
    </row>
    <row r="26" spans="1:5" ht="12.75">
      <c r="A26" s="14"/>
      <c r="B26" s="14" t="s">
        <v>14</v>
      </c>
      <c r="C26" s="14"/>
      <c r="D26" s="14">
        <v>33227.64</v>
      </c>
      <c r="E26" s="18">
        <f>D26*20.2%</f>
        <v>6711.9832799999995</v>
      </c>
    </row>
    <row r="27" spans="1:5" ht="12.75">
      <c r="A27" s="14">
        <v>2</v>
      </c>
      <c r="B27" s="395" t="s">
        <v>16</v>
      </c>
      <c r="C27" s="14"/>
      <c r="D27" s="14">
        <v>1578.51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D29+D30+D31</f>
        <v>63864.48</v>
      </c>
      <c r="E28" s="19">
        <f>E29</f>
        <v>8261.75556</v>
      </c>
    </row>
    <row r="29" spans="1:5" ht="12.75">
      <c r="A29" s="14">
        <v>1</v>
      </c>
      <c r="B29" s="22" t="s">
        <v>70</v>
      </c>
      <c r="C29" s="14"/>
      <c r="D29" s="22">
        <v>40899.78</v>
      </c>
      <c r="E29" s="18">
        <f>D29*20.2%</f>
        <v>8261.75556</v>
      </c>
    </row>
    <row r="30" spans="1:5" ht="12.75">
      <c r="A30" s="14">
        <v>2</v>
      </c>
      <c r="B30" s="22" t="s">
        <v>16</v>
      </c>
      <c r="C30" s="14"/>
      <c r="D30" s="22">
        <f>2027.78+9636.52</f>
        <v>11664.300000000001</v>
      </c>
      <c r="E30" s="14"/>
    </row>
    <row r="31" spans="1:5" ht="12.75">
      <c r="A31" s="14"/>
      <c r="B31" s="22" t="s">
        <v>107</v>
      </c>
      <c r="C31" s="14"/>
      <c r="D31" s="22">
        <v>11300.4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D33+D34+D35+D36+D37+D38+D39</f>
        <v>32785.33699999999</v>
      </c>
      <c r="E32" s="19"/>
    </row>
    <row r="33" spans="1:5" ht="12.75">
      <c r="A33" s="14"/>
      <c r="B33" s="14" t="s">
        <v>18</v>
      </c>
      <c r="C33" s="14"/>
      <c r="D33" s="18">
        <f>D19*5%</f>
        <v>9806.087</v>
      </c>
      <c r="E33" s="14"/>
    </row>
    <row r="34" spans="1:5" ht="12.75">
      <c r="A34" s="14"/>
      <c r="B34" s="14" t="s">
        <v>19</v>
      </c>
      <c r="C34" s="14"/>
      <c r="D34" s="14">
        <v>640.88</v>
      </c>
      <c r="E34" s="14"/>
    </row>
    <row r="35" spans="1:5" ht="12.75">
      <c r="A35" s="14"/>
      <c r="B35" s="14" t="s">
        <v>20</v>
      </c>
      <c r="C35" s="14"/>
      <c r="D35" s="14">
        <v>10011.38</v>
      </c>
      <c r="E35" s="14"/>
    </row>
    <row r="36" spans="1:5" ht="12.75">
      <c r="A36" s="14"/>
      <c r="B36" s="14" t="s">
        <v>21</v>
      </c>
      <c r="C36" s="14"/>
      <c r="D36" s="18">
        <f>6135.76+1239.42</f>
        <v>7375.18</v>
      </c>
      <c r="E36" s="18"/>
    </row>
    <row r="37" spans="1:5" ht="12.75">
      <c r="A37" s="14"/>
      <c r="B37" s="395" t="s">
        <v>29</v>
      </c>
      <c r="C37" s="14"/>
      <c r="D37" s="14">
        <f>195.22+38.95</f>
        <v>234.17000000000002</v>
      </c>
      <c r="E37" s="14"/>
    </row>
    <row r="38" spans="1:5" ht="12.75">
      <c r="A38" s="14"/>
      <c r="B38" s="395" t="s">
        <v>62</v>
      </c>
      <c r="C38" s="14"/>
      <c r="D38" s="14">
        <v>1748.71</v>
      </c>
      <c r="E38" s="14"/>
    </row>
    <row r="39" spans="1:5" ht="12.75">
      <c r="A39" s="14"/>
      <c r="B39" s="22" t="s">
        <v>22</v>
      </c>
      <c r="C39" s="14"/>
      <c r="D39" s="14">
        <v>2968.93</v>
      </c>
      <c r="E39" s="14"/>
    </row>
    <row r="40" spans="1:5" ht="12.75">
      <c r="A40" s="14">
        <v>4</v>
      </c>
      <c r="B40" s="20" t="s">
        <v>199</v>
      </c>
      <c r="C40" s="14"/>
      <c r="D40" s="19">
        <f>33046.22+4961.75</f>
        <v>38007.97</v>
      </c>
      <c r="E40" s="19"/>
    </row>
    <row r="41" spans="1:5" ht="12.75">
      <c r="A41" s="14">
        <v>5</v>
      </c>
      <c r="B41" s="20" t="s">
        <v>24</v>
      </c>
      <c r="C41" s="14"/>
      <c r="D41" s="19">
        <f>D22+E22+D28+E28+D32+E32+D40+E40</f>
        <v>230610.97929999998</v>
      </c>
      <c r="E41" s="14"/>
    </row>
    <row r="42" spans="1:5" ht="12.75">
      <c r="A42" s="14">
        <v>6</v>
      </c>
      <c r="B42" s="14" t="s">
        <v>33</v>
      </c>
      <c r="C42" s="14"/>
      <c r="D42" s="19">
        <f>D19*6%</f>
        <v>11767.304399999999</v>
      </c>
      <c r="E42" s="14"/>
    </row>
    <row r="43" spans="1:5" ht="12.75">
      <c r="A43" s="14">
        <v>7</v>
      </c>
      <c r="B43" s="20" t="s">
        <v>25</v>
      </c>
      <c r="C43" s="14"/>
      <c r="D43" s="19">
        <f>D41+D42</f>
        <v>242378.28369999997</v>
      </c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>
        <v>8</v>
      </c>
      <c r="B45" s="20" t="s">
        <v>87</v>
      </c>
      <c r="C45" s="14"/>
      <c r="D45" s="19">
        <f>D19-D43</f>
        <v>-46256.54369999998</v>
      </c>
      <c r="E45" s="14"/>
    </row>
    <row r="46" spans="1:5" ht="12.75">
      <c r="A46" s="14">
        <v>9</v>
      </c>
      <c r="B46" s="20" t="s">
        <v>47</v>
      </c>
      <c r="C46" s="14"/>
      <c r="D46" s="19">
        <f>D11+D45</f>
        <v>-329880.1137</v>
      </c>
      <c r="E46" s="14"/>
    </row>
    <row r="47" spans="1:5" ht="12.75">
      <c r="A47" s="3"/>
      <c r="B47" s="426"/>
      <c r="C47" s="3"/>
      <c r="D47" s="429"/>
      <c r="E47" s="3"/>
    </row>
    <row r="48" spans="1:5" ht="12.75">
      <c r="A48" s="3"/>
      <c r="B48" s="426"/>
      <c r="C48" s="3"/>
      <c r="D48" s="429"/>
      <c r="E48" s="3"/>
    </row>
    <row r="49" spans="1:5" ht="12.75">
      <c r="A49" s="1"/>
      <c r="B49" s="1" t="s">
        <v>31</v>
      </c>
      <c r="C49" s="1"/>
      <c r="D49" s="1" t="s">
        <v>0</v>
      </c>
      <c r="E49" s="1"/>
    </row>
    <row r="50" spans="1:5" ht="12.75">
      <c r="A50" s="1"/>
      <c r="B50" s="1" t="s">
        <v>32</v>
      </c>
      <c r="C50" s="1"/>
      <c r="D50" s="1" t="s">
        <v>27</v>
      </c>
      <c r="E50" s="1"/>
    </row>
  </sheetData>
  <sheetProtection/>
  <mergeCells count="3">
    <mergeCell ref="D9:E9"/>
    <mergeCell ref="A6:C6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100" zoomScalePageLayoutView="0" workbookViewId="0" topLeftCell="A27">
      <selection activeCell="B43" sqref="B43"/>
    </sheetView>
  </sheetViews>
  <sheetFormatPr defaultColWidth="9.00390625" defaultRowHeight="12.75"/>
  <cols>
    <col min="1" max="1" width="5.00390625" style="0" customWidth="1"/>
    <col min="2" max="2" width="41.75390625" style="0" customWidth="1"/>
    <col min="3" max="3" width="7.00390625" style="0" customWidth="1"/>
    <col min="4" max="4" width="12.25390625" style="0" customWidth="1"/>
    <col min="5" max="5" width="10.125" style="0" customWidth="1"/>
    <col min="7" max="7" width="5.375" style="0" customWidth="1"/>
    <col min="8" max="8" width="41.875" style="0" customWidth="1"/>
    <col min="13" max="13" width="5.875" style="0" customWidth="1"/>
    <col min="14" max="14" width="38.875" style="0" customWidth="1"/>
    <col min="16" max="16" width="11.625" style="0" customWidth="1"/>
    <col min="20" max="20" width="43.125" style="0" customWidth="1"/>
    <col min="22" max="22" width="12.375" style="0" customWidth="1"/>
  </cols>
  <sheetData>
    <row r="1" spans="1:5" ht="15.75">
      <c r="A1" s="323"/>
      <c r="B1" s="324" t="s">
        <v>26</v>
      </c>
      <c r="C1" s="323"/>
      <c r="D1" s="323"/>
      <c r="E1" s="323"/>
    </row>
    <row r="2" spans="1:5" ht="12.75">
      <c r="A2" s="323"/>
      <c r="B2" s="323"/>
      <c r="C2" s="323"/>
      <c r="D2" s="323"/>
      <c r="E2" s="323"/>
    </row>
    <row r="3" spans="1:5" ht="12.75">
      <c r="A3" s="323"/>
      <c r="B3" s="323" t="s">
        <v>30</v>
      </c>
      <c r="C3" s="323"/>
      <c r="D3" s="323"/>
      <c r="E3" s="323"/>
    </row>
    <row r="4" spans="1:5" ht="12.75">
      <c r="A4" s="323"/>
      <c r="B4" s="389" t="s">
        <v>142</v>
      </c>
      <c r="C4" s="323"/>
      <c r="D4" s="323"/>
      <c r="E4" s="323"/>
    </row>
    <row r="5" spans="1:5" ht="12.75">
      <c r="A5" s="323"/>
      <c r="B5" s="323" t="s">
        <v>44</v>
      </c>
      <c r="C5" s="323"/>
      <c r="D5" s="323"/>
      <c r="E5" s="323"/>
    </row>
    <row r="6" spans="1:5" ht="12.75">
      <c r="A6" s="567"/>
      <c r="B6" s="567"/>
      <c r="C6" s="567"/>
      <c r="D6" s="325"/>
      <c r="E6" s="326"/>
    </row>
    <row r="7" spans="1:5" ht="12.75">
      <c r="A7" s="327"/>
      <c r="B7" s="327"/>
      <c r="C7" s="327"/>
      <c r="D7" s="328"/>
      <c r="E7" s="329"/>
    </row>
    <row r="8" spans="1:5" ht="15.75">
      <c r="A8" s="327"/>
      <c r="B8" s="330" t="s">
        <v>1</v>
      </c>
      <c r="C8" s="331" t="s">
        <v>3</v>
      </c>
      <c r="D8" s="568" t="s">
        <v>4</v>
      </c>
      <c r="E8" s="569"/>
    </row>
    <row r="9" spans="1:5" ht="15.75">
      <c r="A9" s="332"/>
      <c r="B9" s="330" t="s">
        <v>2</v>
      </c>
      <c r="C9" s="331" t="s">
        <v>35</v>
      </c>
      <c r="D9" s="565" t="s">
        <v>121</v>
      </c>
      <c r="E9" s="566"/>
    </row>
    <row r="10" spans="1:5" ht="12.75">
      <c r="A10" s="333"/>
      <c r="B10" s="333"/>
      <c r="C10" s="333"/>
      <c r="D10" s="334"/>
      <c r="E10" s="335"/>
    </row>
    <row r="11" spans="1:5" ht="12.75">
      <c r="A11" s="333"/>
      <c r="B11" s="422" t="s">
        <v>98</v>
      </c>
      <c r="C11" s="333"/>
      <c r="D11" s="334">
        <v>-70590.07</v>
      </c>
      <c r="E11" s="335"/>
    </row>
    <row r="12" spans="1:5" ht="12.75">
      <c r="A12" s="333"/>
      <c r="B12" s="422" t="s">
        <v>127</v>
      </c>
      <c r="C12" s="333"/>
      <c r="D12" s="334">
        <v>123153.05</v>
      </c>
      <c r="E12" s="335"/>
    </row>
    <row r="13" spans="1:5" ht="12.75">
      <c r="A13" s="336"/>
      <c r="B13" s="337" t="s">
        <v>5</v>
      </c>
      <c r="C13" s="336" t="s">
        <v>36</v>
      </c>
      <c r="D13" s="336">
        <v>7865.6</v>
      </c>
      <c r="E13" s="336"/>
    </row>
    <row r="14" spans="1:5" ht="12.75">
      <c r="A14" s="336"/>
      <c r="B14" s="337" t="s">
        <v>6</v>
      </c>
      <c r="C14" s="336" t="s">
        <v>36</v>
      </c>
      <c r="D14" s="336">
        <v>3607.56</v>
      </c>
      <c r="E14" s="336"/>
    </row>
    <row r="15" spans="1:5" ht="12.75">
      <c r="A15" s="336"/>
      <c r="B15" s="338" t="s">
        <v>28</v>
      </c>
      <c r="C15" s="336" t="s">
        <v>38</v>
      </c>
      <c r="D15" s="339">
        <v>151218.02</v>
      </c>
      <c r="E15" s="336"/>
    </row>
    <row r="16" spans="1:5" ht="12.75">
      <c r="A16" s="336"/>
      <c r="B16" s="336"/>
      <c r="C16" s="336"/>
      <c r="D16" s="336"/>
      <c r="E16" s="336"/>
    </row>
    <row r="17" spans="1:5" ht="15.75">
      <c r="A17" s="336"/>
      <c r="B17" s="340" t="s">
        <v>7</v>
      </c>
      <c r="C17" s="336"/>
      <c r="D17" s="336"/>
      <c r="E17" s="336"/>
    </row>
    <row r="18" spans="1:5" ht="12.75">
      <c r="A18" s="336">
        <v>1</v>
      </c>
      <c r="B18" s="336" t="s">
        <v>8</v>
      </c>
      <c r="C18" s="336" t="s">
        <v>9</v>
      </c>
      <c r="D18" s="336">
        <v>105817.53</v>
      </c>
      <c r="E18" s="336"/>
    </row>
    <row r="19" spans="1:5" ht="12.75">
      <c r="A19" s="336">
        <v>2</v>
      </c>
      <c r="B19" s="336" t="s">
        <v>88</v>
      </c>
      <c r="C19" s="336"/>
      <c r="D19" s="336">
        <v>49719.6</v>
      </c>
      <c r="E19" s="336"/>
    </row>
    <row r="20" spans="1:5" ht="12.75">
      <c r="A20" s="336">
        <v>3</v>
      </c>
      <c r="B20" s="318" t="s">
        <v>104</v>
      </c>
      <c r="C20" s="336"/>
      <c r="D20" s="336">
        <f>2400+6000</f>
        <v>8400</v>
      </c>
      <c r="E20" s="336"/>
    </row>
    <row r="21" spans="1:5" ht="15.75">
      <c r="A21" s="336"/>
      <c r="B21" s="340" t="s">
        <v>10</v>
      </c>
      <c r="C21" s="336"/>
      <c r="D21" s="339">
        <f>D18+D19+D20</f>
        <v>163937.13</v>
      </c>
      <c r="E21" s="336"/>
    </row>
    <row r="22" spans="1:5" ht="15.75">
      <c r="A22" s="336"/>
      <c r="B22" s="340"/>
      <c r="C22" s="336"/>
      <c r="D22" s="339"/>
      <c r="E22" s="336"/>
    </row>
    <row r="23" spans="1:5" ht="15.75">
      <c r="A23" s="14"/>
      <c r="B23" s="17" t="s">
        <v>66</v>
      </c>
      <c r="C23" s="14"/>
      <c r="D23" s="20"/>
      <c r="E23" s="51" t="s">
        <v>15</v>
      </c>
    </row>
    <row r="24" spans="1:5" ht="12.75">
      <c r="A24" s="401" t="s">
        <v>67</v>
      </c>
      <c r="B24" s="16" t="s">
        <v>68</v>
      </c>
      <c r="C24" s="14"/>
      <c r="D24" s="19">
        <f>D25+D29</f>
        <v>38253.090000000004</v>
      </c>
      <c r="E24" s="19">
        <f>E25</f>
        <v>7542.1507599999995</v>
      </c>
    </row>
    <row r="25" spans="1:5" ht="12.75">
      <c r="A25" s="14">
        <v>1</v>
      </c>
      <c r="B25" s="20" t="s">
        <v>11</v>
      </c>
      <c r="C25" s="395" t="s">
        <v>9</v>
      </c>
      <c r="D25" s="19">
        <f>D26+D27+D28</f>
        <v>37337.380000000005</v>
      </c>
      <c r="E25" s="19">
        <f>E26+E27+E28</f>
        <v>7542.1507599999995</v>
      </c>
    </row>
    <row r="26" spans="1:5" ht="12.75">
      <c r="A26" s="14"/>
      <c r="B26" s="14" t="s">
        <v>12</v>
      </c>
      <c r="C26" s="14"/>
      <c r="D26" s="14">
        <v>6342.42</v>
      </c>
      <c r="E26" s="18">
        <f>D26*20.2%</f>
        <v>1281.1688399999998</v>
      </c>
    </row>
    <row r="27" spans="1:5" ht="12.75">
      <c r="A27" s="14"/>
      <c r="B27" s="14" t="s">
        <v>13</v>
      </c>
      <c r="C27" s="14"/>
      <c r="D27" s="396">
        <v>11697.63</v>
      </c>
      <c r="E27" s="18">
        <f>D27*20.2%</f>
        <v>2362.9212599999996</v>
      </c>
    </row>
    <row r="28" spans="1:5" ht="12.75">
      <c r="A28" s="14"/>
      <c r="B28" s="14" t="s">
        <v>14</v>
      </c>
      <c r="C28" s="14"/>
      <c r="D28" s="14">
        <v>19297.33</v>
      </c>
      <c r="E28" s="18">
        <f>D28*20.2%</f>
        <v>3898.06066</v>
      </c>
    </row>
    <row r="29" spans="1:5" ht="12.75">
      <c r="A29" s="14">
        <v>2</v>
      </c>
      <c r="B29" s="395" t="s">
        <v>16</v>
      </c>
      <c r="C29" s="14"/>
      <c r="D29" s="14">
        <v>915.71</v>
      </c>
      <c r="E29" s="18"/>
    </row>
    <row r="30" spans="1:5" ht="12.75">
      <c r="A30" s="401" t="s">
        <v>71</v>
      </c>
      <c r="B30" s="402" t="s">
        <v>69</v>
      </c>
      <c r="C30" s="14"/>
      <c r="D30" s="20">
        <f>D31+D32+D33</f>
        <v>47914.32</v>
      </c>
      <c r="E30" s="19">
        <f>E31</f>
        <v>4792.720679999999</v>
      </c>
    </row>
    <row r="31" spans="1:5" ht="12.75">
      <c r="A31" s="14">
        <v>1</v>
      </c>
      <c r="B31" s="22" t="s">
        <v>70</v>
      </c>
      <c r="C31" s="14"/>
      <c r="D31" s="22">
        <v>23726.34</v>
      </c>
      <c r="E31" s="18">
        <f>D31*20.2%</f>
        <v>4792.720679999999</v>
      </c>
    </row>
    <row r="32" spans="1:5" ht="12.75">
      <c r="A32" s="14">
        <v>2</v>
      </c>
      <c r="B32" s="22" t="s">
        <v>16</v>
      </c>
      <c r="C32" s="14"/>
      <c r="D32" s="22">
        <v>13935.59</v>
      </c>
      <c r="E32" s="14"/>
    </row>
    <row r="33" spans="1:5" ht="12.75">
      <c r="A33" s="14"/>
      <c r="B33" s="22" t="s">
        <v>107</v>
      </c>
      <c r="C33" s="14"/>
      <c r="D33" s="22">
        <v>10252.39</v>
      </c>
      <c r="E33" s="14"/>
    </row>
    <row r="34" spans="1:5" ht="12.75">
      <c r="A34" s="401" t="s">
        <v>72</v>
      </c>
      <c r="B34" s="20" t="s">
        <v>17</v>
      </c>
      <c r="C34" s="14"/>
      <c r="D34" s="19">
        <f>D35+D36+D37+D38+D39+D40+D41</f>
        <v>19040.9465</v>
      </c>
      <c r="E34" s="19"/>
    </row>
    <row r="35" spans="1:5" ht="12.75">
      <c r="A35" s="14"/>
      <c r="B35" s="14" t="s">
        <v>18</v>
      </c>
      <c r="C35" s="14"/>
      <c r="D35" s="18">
        <f>D21*5%</f>
        <v>8196.8565</v>
      </c>
      <c r="E35" s="14"/>
    </row>
    <row r="36" spans="1:5" ht="12.75">
      <c r="A36" s="14"/>
      <c r="B36" s="14" t="s">
        <v>19</v>
      </c>
      <c r="C36" s="14"/>
      <c r="D36" s="14">
        <v>212.94</v>
      </c>
      <c r="E36" s="14"/>
    </row>
    <row r="37" spans="1:5" ht="12.75">
      <c r="A37" s="14"/>
      <c r="B37" s="14" t="s">
        <v>20</v>
      </c>
      <c r="C37" s="14"/>
      <c r="D37" s="14">
        <v>3381.83</v>
      </c>
      <c r="E37" s="14"/>
    </row>
    <row r="38" spans="1:5" ht="12.75">
      <c r="A38" s="14"/>
      <c r="B38" s="14" t="s">
        <v>21</v>
      </c>
      <c r="C38" s="14"/>
      <c r="D38" s="18">
        <f>3559.41+719</f>
        <v>4278.41</v>
      </c>
      <c r="E38" s="18"/>
    </row>
    <row r="39" spans="1:5" ht="12.75">
      <c r="A39" s="14"/>
      <c r="B39" s="22" t="s">
        <v>62</v>
      </c>
      <c r="C39" s="14"/>
      <c r="D39" s="14">
        <v>1014.44</v>
      </c>
      <c r="E39" s="14"/>
    </row>
    <row r="40" spans="1:5" ht="12.75">
      <c r="A40" s="14"/>
      <c r="B40" s="395" t="s">
        <v>29</v>
      </c>
      <c r="C40" s="14"/>
      <c r="D40" s="14">
        <f>195.22+38.95</f>
        <v>234.17000000000002</v>
      </c>
      <c r="E40" s="14"/>
    </row>
    <row r="41" spans="1:5" ht="12.75">
      <c r="A41" s="14"/>
      <c r="B41" s="14" t="s">
        <v>22</v>
      </c>
      <c r="C41" s="14"/>
      <c r="D41" s="14">
        <v>1722.3</v>
      </c>
      <c r="E41" s="14"/>
    </row>
    <row r="42" spans="1:5" ht="12.75">
      <c r="A42" s="14">
        <v>4</v>
      </c>
      <c r="B42" s="20" t="s">
        <v>199</v>
      </c>
      <c r="C42" s="14"/>
      <c r="D42" s="19">
        <f>19170.4+2878.36</f>
        <v>22048.760000000002</v>
      </c>
      <c r="E42" s="19"/>
    </row>
    <row r="43" spans="1:5" ht="12.75">
      <c r="A43" s="14">
        <v>5</v>
      </c>
      <c r="B43" s="20" t="s">
        <v>24</v>
      </c>
      <c r="C43" s="14"/>
      <c r="D43" s="19">
        <f>D24+E24+D30+E30+D34+E34+D42+E42</f>
        <v>139591.98794</v>
      </c>
      <c r="E43" s="14"/>
    </row>
    <row r="44" spans="1:5" ht="12.75">
      <c r="A44" s="14">
        <v>6</v>
      </c>
      <c r="B44" s="14" t="s">
        <v>33</v>
      </c>
      <c r="C44" s="14"/>
      <c r="D44" s="19">
        <f>D21*6%</f>
        <v>9836.2278</v>
      </c>
      <c r="E44" s="14"/>
    </row>
    <row r="45" spans="1:5" ht="12.75">
      <c r="A45" s="14">
        <v>7</v>
      </c>
      <c r="B45" s="20" t="s">
        <v>25</v>
      </c>
      <c r="C45" s="14"/>
      <c r="D45" s="19">
        <f>D43+D44</f>
        <v>149428.21573999999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>
        <v>8</v>
      </c>
      <c r="B47" s="20" t="s">
        <v>87</v>
      </c>
      <c r="C47" s="14"/>
      <c r="D47" s="19">
        <f>(D18+D20)-D45</f>
        <v>-35210.685739999986</v>
      </c>
      <c r="E47" s="14"/>
    </row>
    <row r="48" spans="1:5" ht="12.75">
      <c r="A48" s="14">
        <v>9</v>
      </c>
      <c r="B48" s="20" t="s">
        <v>47</v>
      </c>
      <c r="C48" s="14"/>
      <c r="D48" s="19">
        <f>D11+D47</f>
        <v>-105800.75574</v>
      </c>
      <c r="E48" s="14"/>
    </row>
    <row r="49" spans="1:5" ht="12.75">
      <c r="A49" s="3"/>
      <c r="B49" s="426" t="s">
        <v>88</v>
      </c>
      <c r="C49" s="3"/>
      <c r="D49" s="429">
        <f>D12+D19-2983.18</f>
        <v>169889.47</v>
      </c>
      <c r="E49" s="3"/>
    </row>
    <row r="50" spans="1:5" ht="12.75">
      <c r="A50" s="3"/>
      <c r="B50" s="426" t="s">
        <v>143</v>
      </c>
      <c r="C50" s="3"/>
      <c r="D50" s="429">
        <f>17000+165000</f>
        <v>182000</v>
      </c>
      <c r="E50" s="3"/>
    </row>
    <row r="51" spans="1:5" ht="12.75">
      <c r="A51" s="3"/>
      <c r="B51" s="426" t="s">
        <v>129</v>
      </c>
      <c r="C51" s="3"/>
      <c r="D51" s="429">
        <f>D49-D50</f>
        <v>-12110.529999999999</v>
      </c>
      <c r="E51" s="3"/>
    </row>
    <row r="52" spans="1:5" ht="12.75">
      <c r="A52" s="3"/>
      <c r="B52" s="426"/>
      <c r="C52" s="3"/>
      <c r="D52" s="429"/>
      <c r="E52" s="3"/>
    </row>
    <row r="53" spans="1:5" ht="12.75">
      <c r="A53" s="1"/>
      <c r="B53" s="1" t="s">
        <v>31</v>
      </c>
      <c r="C53" s="1"/>
      <c r="D53" s="1" t="s">
        <v>0</v>
      </c>
      <c r="E53" s="1"/>
    </row>
    <row r="54" spans="1:5" ht="12.75">
      <c r="A54" s="1"/>
      <c r="B54" s="1" t="s">
        <v>32</v>
      </c>
      <c r="C54" s="1"/>
      <c r="D54" s="1" t="s">
        <v>27</v>
      </c>
      <c r="E54" s="1"/>
    </row>
  </sheetData>
  <sheetProtection/>
  <mergeCells count="3">
    <mergeCell ref="D9:E9"/>
    <mergeCell ref="A6:C6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zoomScalePageLayoutView="0" workbookViewId="0" topLeftCell="A27">
      <selection activeCell="B53" sqref="B53"/>
    </sheetView>
  </sheetViews>
  <sheetFormatPr defaultColWidth="9.00390625" defaultRowHeight="12.75"/>
  <cols>
    <col min="1" max="1" width="5.375" style="0" customWidth="1"/>
    <col min="2" max="2" width="41.25390625" style="0" customWidth="1"/>
    <col min="3" max="3" width="7.125" style="0" customWidth="1"/>
    <col min="4" max="4" width="12.75390625" style="0" customWidth="1"/>
    <col min="5" max="5" width="11.375" style="0" customWidth="1"/>
    <col min="7" max="7" width="3.75390625" style="0" customWidth="1"/>
    <col min="8" max="8" width="41.25390625" style="0" customWidth="1"/>
    <col min="10" max="10" width="10.125" style="0" bestFit="1" customWidth="1"/>
    <col min="13" max="13" width="5.375" style="0" customWidth="1"/>
    <col min="14" max="14" width="43.125" style="0" customWidth="1"/>
    <col min="15" max="15" width="7.625" style="0" customWidth="1"/>
    <col min="16" max="16" width="10.875" style="0" customWidth="1"/>
    <col min="20" max="20" width="48.125" style="0" customWidth="1"/>
    <col min="22" max="22" width="11.75390625" style="0" customWidth="1"/>
  </cols>
  <sheetData>
    <row r="1" spans="1:5" ht="15.75">
      <c r="A1" s="341"/>
      <c r="B1" s="342" t="s">
        <v>26</v>
      </c>
      <c r="C1" s="341"/>
      <c r="D1" s="341"/>
      <c r="E1" s="341"/>
    </row>
    <row r="2" spans="1:5" ht="12.75">
      <c r="A2" s="341"/>
      <c r="B2" s="341"/>
      <c r="C2" s="341"/>
      <c r="D2" s="341"/>
      <c r="E2" s="341"/>
    </row>
    <row r="3" spans="1:5" ht="12.75">
      <c r="A3" s="341"/>
      <c r="B3" s="341" t="s">
        <v>30</v>
      </c>
      <c r="C3" s="341"/>
      <c r="D3" s="341"/>
      <c r="E3" s="341"/>
    </row>
    <row r="4" spans="1:5" ht="12.75">
      <c r="A4" s="341"/>
      <c r="B4" s="390" t="s">
        <v>144</v>
      </c>
      <c r="C4" s="341"/>
      <c r="D4" s="341"/>
      <c r="E4" s="341"/>
    </row>
    <row r="5" spans="1:5" ht="12.75">
      <c r="A5" s="341"/>
      <c r="B5" s="341" t="s">
        <v>46</v>
      </c>
      <c r="C5" s="341"/>
      <c r="D5" s="341"/>
      <c r="E5" s="341"/>
    </row>
    <row r="6" spans="1:5" ht="12.75">
      <c r="A6" s="572"/>
      <c r="B6" s="572"/>
      <c r="C6" s="572"/>
      <c r="D6" s="343"/>
      <c r="E6" s="344"/>
    </row>
    <row r="7" spans="1:5" ht="15.75">
      <c r="A7" s="473"/>
      <c r="B7" s="474" t="s">
        <v>1</v>
      </c>
      <c r="C7" s="475" t="s">
        <v>3</v>
      </c>
      <c r="D7" s="573" t="s">
        <v>4</v>
      </c>
      <c r="E7" s="574"/>
    </row>
    <row r="8" spans="1:5" ht="15.75">
      <c r="A8" s="347"/>
      <c r="B8" s="345" t="s">
        <v>2</v>
      </c>
      <c r="C8" s="346" t="s">
        <v>35</v>
      </c>
      <c r="D8" s="570" t="s">
        <v>121</v>
      </c>
      <c r="E8" s="571"/>
    </row>
    <row r="9" spans="1:5" ht="12.75">
      <c r="A9" s="351"/>
      <c r="B9" s="337" t="s">
        <v>98</v>
      </c>
      <c r="C9" s="351"/>
      <c r="D9" s="476">
        <v>-140831.67</v>
      </c>
      <c r="E9" s="477"/>
    </row>
    <row r="10" spans="1:5" ht="12.75">
      <c r="A10" s="348"/>
      <c r="B10" s="422" t="s">
        <v>127</v>
      </c>
      <c r="C10" s="348"/>
      <c r="D10" s="349">
        <v>52843.97</v>
      </c>
      <c r="E10" s="350"/>
    </row>
    <row r="11" spans="1:5" ht="12.75">
      <c r="A11" s="351"/>
      <c r="B11" s="352" t="s">
        <v>5</v>
      </c>
      <c r="C11" s="351" t="s">
        <v>36</v>
      </c>
      <c r="D11" s="351">
        <v>3706.66</v>
      </c>
      <c r="E11" s="351"/>
    </row>
    <row r="12" spans="1:5" ht="12.75">
      <c r="A12" s="351"/>
      <c r="B12" s="352" t="s">
        <v>6</v>
      </c>
      <c r="C12" s="351" t="s">
        <v>36</v>
      </c>
      <c r="D12" s="351">
        <v>2662.9</v>
      </c>
      <c r="E12" s="351"/>
    </row>
    <row r="13" spans="1:5" ht="12.75">
      <c r="A13" s="351"/>
      <c r="B13" s="353" t="s">
        <v>28</v>
      </c>
      <c r="C13" s="351" t="s">
        <v>38</v>
      </c>
      <c r="D13" s="354">
        <v>154708.31</v>
      </c>
      <c r="E13" s="351"/>
    </row>
    <row r="14" spans="1:5" ht="12.75">
      <c r="A14" s="351"/>
      <c r="B14" s="351"/>
      <c r="C14" s="351"/>
      <c r="D14" s="351"/>
      <c r="E14" s="351"/>
    </row>
    <row r="15" spans="1:5" ht="15.75">
      <c r="A15" s="351"/>
      <c r="B15" s="355" t="s">
        <v>7</v>
      </c>
      <c r="C15" s="351"/>
      <c r="D15" s="351"/>
      <c r="E15" s="351"/>
    </row>
    <row r="16" spans="1:5" ht="12.75">
      <c r="A16" s="351">
        <v>1</v>
      </c>
      <c r="B16" s="351" t="s">
        <v>8</v>
      </c>
      <c r="C16" s="351" t="s">
        <v>9</v>
      </c>
      <c r="D16" s="351">
        <v>102690.2</v>
      </c>
      <c r="E16" s="351"/>
    </row>
    <row r="17" spans="1:5" ht="12.75">
      <c r="A17" s="351">
        <v>2</v>
      </c>
      <c r="B17" s="351" t="s">
        <v>88</v>
      </c>
      <c r="C17" s="351"/>
      <c r="D17" s="351">
        <v>49319.5</v>
      </c>
      <c r="E17" s="351"/>
    </row>
    <row r="18" spans="1:5" ht="12.75">
      <c r="A18" s="351">
        <v>3</v>
      </c>
      <c r="B18" s="318" t="s">
        <v>104</v>
      </c>
      <c r="C18" s="351"/>
      <c r="D18" s="351">
        <f>6000+2400</f>
        <v>8400</v>
      </c>
      <c r="E18" s="351"/>
    </row>
    <row r="19" spans="1:5" ht="15.75">
      <c r="A19" s="351"/>
      <c r="B19" s="355" t="s">
        <v>10</v>
      </c>
      <c r="C19" s="351"/>
      <c r="D19" s="354">
        <f>D16+D17+D18</f>
        <v>160409.7</v>
      </c>
      <c r="E19" s="351"/>
    </row>
    <row r="20" spans="1:5" ht="15.75">
      <c r="A20" s="351"/>
      <c r="B20" s="355"/>
      <c r="C20" s="351"/>
      <c r="D20" s="354"/>
      <c r="E20" s="351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19">
        <f>D23+D27</f>
        <v>45869.24999999999</v>
      </c>
      <c r="E22" s="19">
        <f>E23</f>
        <v>9074.14502</v>
      </c>
    </row>
    <row r="23" spans="1:5" ht="12.75">
      <c r="A23" s="14">
        <v>1</v>
      </c>
      <c r="B23" s="20" t="s">
        <v>11</v>
      </c>
      <c r="C23" s="395" t="s">
        <v>9</v>
      </c>
      <c r="D23" s="19">
        <f>D24+D25+D26</f>
        <v>44921.509999999995</v>
      </c>
      <c r="E23" s="19">
        <f>E24+E25+E26</f>
        <v>9074.14502</v>
      </c>
    </row>
    <row r="24" spans="1:5" ht="12.75">
      <c r="A24" s="14"/>
      <c r="B24" s="14" t="s">
        <v>12</v>
      </c>
      <c r="C24" s="14"/>
      <c r="D24" s="14">
        <v>15151.36</v>
      </c>
      <c r="E24" s="18">
        <f>D24*20.2%</f>
        <v>3060.57472</v>
      </c>
    </row>
    <row r="25" spans="1:5" ht="12.75">
      <c r="A25" s="14"/>
      <c r="B25" s="14" t="s">
        <v>13</v>
      </c>
      <c r="C25" s="14"/>
      <c r="D25" s="396">
        <v>12022.56</v>
      </c>
      <c r="E25" s="18">
        <f>D25*20.2%</f>
        <v>2428.55712</v>
      </c>
    </row>
    <row r="26" spans="1:5" ht="12.75">
      <c r="A26" s="14"/>
      <c r="B26" s="14" t="s">
        <v>14</v>
      </c>
      <c r="C26" s="14"/>
      <c r="D26" s="14">
        <v>17747.59</v>
      </c>
      <c r="E26" s="18">
        <f>D26*20.2%</f>
        <v>3585.01318</v>
      </c>
    </row>
    <row r="27" spans="1:5" ht="12.75">
      <c r="A27" s="14">
        <v>2</v>
      </c>
      <c r="B27" s="395" t="s">
        <v>16</v>
      </c>
      <c r="C27" s="14"/>
      <c r="D27" s="14">
        <v>947.74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D29+D30+D31</f>
        <v>40273.95</v>
      </c>
      <c r="E28" s="19">
        <f>E29</f>
        <v>4960.37058</v>
      </c>
    </row>
    <row r="29" spans="1:5" ht="12.75">
      <c r="A29" s="14">
        <v>1</v>
      </c>
      <c r="B29" s="22" t="s">
        <v>70</v>
      </c>
      <c r="C29" s="14"/>
      <c r="D29" s="22">
        <v>24556.29</v>
      </c>
      <c r="E29" s="18">
        <f>D29*20.2%</f>
        <v>4960.37058</v>
      </c>
    </row>
    <row r="30" spans="1:5" ht="12.75">
      <c r="A30" s="14">
        <v>2</v>
      </c>
      <c r="B30" s="22" t="s">
        <v>16</v>
      </c>
      <c r="C30" s="14"/>
      <c r="D30" s="22">
        <v>5465.27</v>
      </c>
      <c r="E30" s="14"/>
    </row>
    <row r="31" spans="1:5" ht="12.75">
      <c r="A31" s="14">
        <v>3</v>
      </c>
      <c r="B31" s="22" t="s">
        <v>107</v>
      </c>
      <c r="C31" s="14"/>
      <c r="D31" s="22">
        <v>10252.39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D33+D34+D35+D36+D37+D38+D39+D40</f>
        <v>19176.504999999997</v>
      </c>
      <c r="E32" s="19"/>
    </row>
    <row r="33" spans="1:5" ht="12.75">
      <c r="A33" s="14"/>
      <c r="B33" s="14" t="s">
        <v>18</v>
      </c>
      <c r="C33" s="14"/>
      <c r="D33" s="18">
        <f>D19*5%</f>
        <v>8020.485000000001</v>
      </c>
      <c r="E33" s="14"/>
    </row>
    <row r="34" spans="1:5" ht="12.75">
      <c r="A34" s="14"/>
      <c r="B34" s="14" t="s">
        <v>19</v>
      </c>
      <c r="C34" s="14"/>
      <c r="D34" s="14">
        <v>221.55</v>
      </c>
      <c r="E34" s="14"/>
    </row>
    <row r="35" spans="1:5" ht="12.75">
      <c r="A35" s="14"/>
      <c r="B35" s="14" t="s">
        <v>20</v>
      </c>
      <c r="C35" s="14"/>
      <c r="D35" s="14">
        <v>3439.75</v>
      </c>
      <c r="E35" s="14"/>
    </row>
    <row r="36" spans="1:5" ht="12.75">
      <c r="A36" s="14"/>
      <c r="B36" s="14" t="s">
        <v>21</v>
      </c>
      <c r="C36" s="14"/>
      <c r="D36" s="18">
        <f>3683.92+744.15</f>
        <v>4428.07</v>
      </c>
      <c r="E36" s="18"/>
    </row>
    <row r="37" spans="1:5" ht="12.75">
      <c r="A37" s="14"/>
      <c r="B37" s="22" t="s">
        <v>62</v>
      </c>
      <c r="C37" s="14"/>
      <c r="D37" s="14">
        <v>1049.93</v>
      </c>
      <c r="E37" s="14"/>
    </row>
    <row r="38" spans="1:5" ht="12.75">
      <c r="A38" s="14"/>
      <c r="B38" s="395" t="s">
        <v>61</v>
      </c>
      <c r="C38" s="14"/>
      <c r="D38" s="14">
        <v>0</v>
      </c>
      <c r="E38" s="14"/>
    </row>
    <row r="39" spans="1:5" ht="12.75">
      <c r="A39" s="14"/>
      <c r="B39" s="395" t="s">
        <v>29</v>
      </c>
      <c r="C39" s="14"/>
      <c r="D39" s="14">
        <f>195.22+38.95</f>
        <v>234.17000000000002</v>
      </c>
      <c r="E39" s="14"/>
    </row>
    <row r="40" spans="1:5" ht="12.75">
      <c r="A40" s="14"/>
      <c r="B40" s="14" t="s">
        <v>22</v>
      </c>
      <c r="C40" s="14"/>
      <c r="D40" s="14">
        <v>1782.55</v>
      </c>
      <c r="E40" s="14"/>
    </row>
    <row r="41" spans="1:5" ht="12.75">
      <c r="A41" s="14">
        <v>4</v>
      </c>
      <c r="B41" s="20" t="s">
        <v>199</v>
      </c>
      <c r="C41" s="14"/>
      <c r="D41" s="19">
        <f>19840.99+2979.04</f>
        <v>22820.030000000002</v>
      </c>
      <c r="E41" s="19"/>
    </row>
    <row r="42" spans="1:5" ht="12.75">
      <c r="A42" s="14">
        <v>5</v>
      </c>
      <c r="B42" s="20" t="s">
        <v>24</v>
      </c>
      <c r="C42" s="14"/>
      <c r="D42" s="19">
        <f>D22+E22+D28+E28+D32+E32+D41+E41</f>
        <v>142174.2506</v>
      </c>
      <c r="E42" s="14"/>
    </row>
    <row r="43" spans="1:5" ht="12.75">
      <c r="A43" s="14">
        <v>6</v>
      </c>
      <c r="B43" s="14" t="s">
        <v>33</v>
      </c>
      <c r="C43" s="14"/>
      <c r="D43" s="19">
        <f>D19*6%</f>
        <v>9624.582</v>
      </c>
      <c r="E43" s="14"/>
    </row>
    <row r="44" spans="1:5" ht="12.75">
      <c r="A44" s="14">
        <v>7</v>
      </c>
      <c r="B44" s="20" t="s">
        <v>25</v>
      </c>
      <c r="C44" s="14"/>
      <c r="D44" s="19">
        <f>D42+D43</f>
        <v>151798.8326</v>
      </c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>
        <v>8</v>
      </c>
      <c r="B46" s="20" t="s">
        <v>87</v>
      </c>
      <c r="C46" s="14"/>
      <c r="D46" s="19">
        <f>(D16+D18)-D44</f>
        <v>-40708.6326</v>
      </c>
      <c r="E46" s="14"/>
    </row>
    <row r="47" spans="1:5" ht="12.75">
      <c r="A47" s="14">
        <v>9</v>
      </c>
      <c r="B47" s="20" t="s">
        <v>47</v>
      </c>
      <c r="C47" s="14"/>
      <c r="D47" s="19">
        <f>D9+D46</f>
        <v>-181540.3026</v>
      </c>
      <c r="E47" s="14"/>
    </row>
    <row r="48" spans="1:5" ht="12.75">
      <c r="A48" s="3"/>
      <c r="B48" s="426" t="s">
        <v>88</v>
      </c>
      <c r="C48" s="3"/>
      <c r="D48" s="429">
        <f>D10+D17-2959.17</f>
        <v>99204.3</v>
      </c>
      <c r="E48" s="3"/>
    </row>
    <row r="49" spans="1:5" ht="12.75">
      <c r="A49" s="3"/>
      <c r="B49" s="426" t="s">
        <v>143</v>
      </c>
      <c r="C49" s="3"/>
      <c r="D49" s="429">
        <v>7531.35</v>
      </c>
      <c r="E49" s="3"/>
    </row>
    <row r="50" spans="1:5" ht="12.75">
      <c r="A50" s="3"/>
      <c r="B50" s="426" t="s">
        <v>202</v>
      </c>
      <c r="C50" s="3"/>
      <c r="D50" s="429">
        <f>D48-D49</f>
        <v>91672.95</v>
      </c>
      <c r="E50" s="3"/>
    </row>
    <row r="51" spans="1:5" ht="12.75">
      <c r="A51" s="3"/>
      <c r="B51" s="426"/>
      <c r="C51" s="3"/>
      <c r="D51" s="429"/>
      <c r="E51" s="3"/>
    </row>
    <row r="52" spans="1:5" ht="12.75">
      <c r="A52" s="1"/>
      <c r="B52" s="1" t="s">
        <v>31</v>
      </c>
      <c r="C52" s="1"/>
      <c r="D52" s="1" t="s">
        <v>0</v>
      </c>
      <c r="E52" s="1"/>
    </row>
    <row r="53" spans="1:5" ht="12.75">
      <c r="A53" s="1"/>
      <c r="B53" s="1" t="s">
        <v>32</v>
      </c>
      <c r="C53" s="1"/>
      <c r="D53" s="1" t="s">
        <v>27</v>
      </c>
      <c r="E53" s="1"/>
    </row>
  </sheetData>
  <sheetProtection/>
  <mergeCells count="3">
    <mergeCell ref="D8:E8"/>
    <mergeCell ref="A6:C6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6"/>
  <sheetViews>
    <sheetView zoomScaleSheetLayoutView="100" workbookViewId="0" topLeftCell="A21">
      <selection activeCell="B41" sqref="B41"/>
    </sheetView>
  </sheetViews>
  <sheetFormatPr defaultColWidth="9.00390625" defaultRowHeight="12.75"/>
  <cols>
    <col min="1" max="1" width="3.75390625" style="0" customWidth="1"/>
    <col min="2" max="2" width="41.00390625" style="0" customWidth="1"/>
    <col min="3" max="3" width="8.125" style="0" customWidth="1"/>
    <col min="4" max="4" width="11.125" style="0" customWidth="1"/>
    <col min="5" max="5" width="10.625" style="0" customWidth="1"/>
    <col min="7" max="7" width="3.75390625" style="0" customWidth="1"/>
    <col min="8" max="8" width="40.25390625" style="0" customWidth="1"/>
    <col min="10" max="10" width="10.25390625" style="0" customWidth="1"/>
    <col min="14" max="14" width="6.75390625" style="0" customWidth="1"/>
    <col min="15" max="15" width="40.125" style="0" customWidth="1"/>
    <col min="17" max="17" width="14.625" style="0" customWidth="1"/>
    <col min="18" max="18" width="13.00390625" style="0" customWidth="1"/>
    <col min="19" max="19" width="4.625" style="0" customWidth="1"/>
    <col min="21" max="21" width="48.375" style="0" customWidth="1"/>
    <col min="23" max="23" width="12.1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145</v>
      </c>
    </row>
    <row r="5" spans="1:4" ht="12.75">
      <c r="A5" s="375"/>
      <c r="B5" s="375"/>
      <c r="C5" s="375"/>
      <c r="D5" s="375"/>
    </row>
    <row r="6" spans="1:5" ht="12.75">
      <c r="A6" s="575"/>
      <c r="B6" s="575"/>
      <c r="C6" s="575"/>
      <c r="D6" s="576"/>
      <c r="E6" s="358"/>
    </row>
    <row r="7" spans="1:5" ht="12.75">
      <c r="A7" s="378"/>
      <c r="B7" s="378"/>
      <c r="C7" s="378"/>
      <c r="D7" s="360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54</v>
      </c>
      <c r="D9" s="579" t="s">
        <v>146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380" t="s">
        <v>80</v>
      </c>
      <c r="C11" s="365"/>
      <c r="D11" s="366">
        <v>-46473.87</v>
      </c>
      <c r="E11" s="367"/>
    </row>
    <row r="12" spans="1:5" ht="12.75">
      <c r="A12" s="368"/>
      <c r="B12" s="369" t="s">
        <v>5</v>
      </c>
      <c r="C12" s="380" t="s">
        <v>55</v>
      </c>
      <c r="D12" s="368">
        <v>6474.6</v>
      </c>
      <c r="E12" s="368"/>
    </row>
    <row r="13" spans="1:5" ht="12.75">
      <c r="A13" s="368"/>
      <c r="B13" s="369" t="s">
        <v>6</v>
      </c>
      <c r="C13" s="380" t="s">
        <v>55</v>
      </c>
      <c r="D13" s="368">
        <v>4182.9</v>
      </c>
      <c r="E13" s="368"/>
    </row>
    <row r="14" spans="1:5" ht="12.75">
      <c r="A14" s="368"/>
      <c r="B14" s="370" t="s">
        <v>28</v>
      </c>
      <c r="C14" s="380" t="s">
        <v>38</v>
      </c>
      <c r="D14" s="371">
        <v>158574.84</v>
      </c>
      <c r="E14" s="368"/>
    </row>
    <row r="15" spans="1:5" ht="15.75">
      <c r="A15" s="368"/>
      <c r="B15" s="372" t="s">
        <v>7</v>
      </c>
      <c r="C15" s="365"/>
      <c r="D15" s="368"/>
      <c r="E15" s="368"/>
    </row>
    <row r="16" spans="1:5" ht="12.75">
      <c r="A16" s="368">
        <v>1</v>
      </c>
      <c r="B16" s="368" t="s">
        <v>8</v>
      </c>
      <c r="C16" s="380" t="s">
        <v>9</v>
      </c>
      <c r="D16" s="368">
        <v>153033.06</v>
      </c>
      <c r="E16" s="368"/>
    </row>
    <row r="17" spans="1:5" ht="12.75">
      <c r="A17" s="368">
        <v>2</v>
      </c>
      <c r="B17" s="368" t="s">
        <v>104</v>
      </c>
      <c r="C17" s="365"/>
      <c r="D17" s="368">
        <v>10848.23</v>
      </c>
      <c r="E17" s="368"/>
    </row>
    <row r="18" spans="1:5" ht="15.75">
      <c r="A18" s="368"/>
      <c r="B18" s="372" t="s">
        <v>10</v>
      </c>
      <c r="C18" s="365"/>
      <c r="D18" s="371">
        <f>D16+D17</f>
        <v>163881.29</v>
      </c>
      <c r="E18" s="368"/>
    </row>
    <row r="19" spans="1:5" ht="15.75">
      <c r="A19" s="368"/>
      <c r="B19" s="372"/>
      <c r="C19" s="365"/>
      <c r="D19" s="371"/>
      <c r="E19" s="368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20">
        <f>D22+D26</f>
        <v>35669.67</v>
      </c>
      <c r="E21" s="19">
        <f>E22</f>
        <v>6904.56806</v>
      </c>
    </row>
    <row r="22" spans="1:5" ht="12.75">
      <c r="A22" s="14">
        <v>1</v>
      </c>
      <c r="B22" s="20" t="s">
        <v>11</v>
      </c>
      <c r="C22" s="395" t="s">
        <v>9</v>
      </c>
      <c r="D22" s="20">
        <f>D23+D25</f>
        <v>34181.03</v>
      </c>
      <c r="E22" s="19">
        <f>E23+E24+E25</f>
        <v>6904.56806</v>
      </c>
    </row>
    <row r="23" spans="1:5" ht="12.75">
      <c r="A23" s="14"/>
      <c r="B23" s="14" t="s">
        <v>12</v>
      </c>
      <c r="C23" s="14"/>
      <c r="D23" s="14">
        <v>31347.4</v>
      </c>
      <c r="E23" s="18">
        <f>D23*20.2%</f>
        <v>6332.1748</v>
      </c>
    </row>
    <row r="24" spans="1:5" ht="12.75">
      <c r="A24" s="14"/>
      <c r="B24" s="14" t="s">
        <v>13</v>
      </c>
      <c r="C24" s="14"/>
      <c r="D24" s="396"/>
      <c r="E24" s="18"/>
    </row>
    <row r="25" spans="1:5" ht="12.75">
      <c r="A25" s="14"/>
      <c r="B25" s="14" t="s">
        <v>112</v>
      </c>
      <c r="C25" s="14"/>
      <c r="D25" s="14">
        <v>2833.63</v>
      </c>
      <c r="E25" s="18">
        <f>D25*20.2%</f>
        <v>572.3932599999999</v>
      </c>
    </row>
    <row r="26" spans="1:5" ht="12.75">
      <c r="A26" s="14">
        <v>2</v>
      </c>
      <c r="B26" s="395" t="s">
        <v>16</v>
      </c>
      <c r="C26" s="14"/>
      <c r="D26" s="14">
        <v>1488.64</v>
      </c>
      <c r="E26" s="18"/>
    </row>
    <row r="27" spans="1:5" ht="12.75">
      <c r="A27" s="401" t="s">
        <v>71</v>
      </c>
      <c r="B27" s="402" t="s">
        <v>69</v>
      </c>
      <c r="C27" s="14"/>
      <c r="D27" s="20">
        <f>D28+D29+D30</f>
        <v>51272.28</v>
      </c>
      <c r="E27" s="19">
        <f>E28</f>
        <v>7791.406639999999</v>
      </c>
    </row>
    <row r="28" spans="1:5" ht="12.75">
      <c r="A28" s="14">
        <v>1</v>
      </c>
      <c r="B28" s="22" t="s">
        <v>70</v>
      </c>
      <c r="C28" s="14"/>
      <c r="D28" s="22">
        <v>38571.32</v>
      </c>
      <c r="E28" s="18">
        <f>D28*20.2%</f>
        <v>7791.406639999999</v>
      </c>
    </row>
    <row r="29" spans="1:5" ht="12.75">
      <c r="A29" s="14">
        <v>2</v>
      </c>
      <c r="B29" s="22" t="s">
        <v>16</v>
      </c>
      <c r="C29" s="14"/>
      <c r="D29" s="22">
        <v>2480.36</v>
      </c>
      <c r="E29" s="14"/>
    </row>
    <row r="30" spans="1:5" ht="12.75">
      <c r="A30" s="14">
        <v>3</v>
      </c>
      <c r="B30" s="22" t="s">
        <v>107</v>
      </c>
      <c r="C30" s="14"/>
      <c r="D30" s="22">
        <v>10220.6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D32+D33+D34+D35+D36+D37+D38+D39</f>
        <v>25931.294499999996</v>
      </c>
      <c r="E31" s="19"/>
    </row>
    <row r="32" spans="1:5" ht="12.75">
      <c r="A32" s="14"/>
      <c r="B32" s="14" t="s">
        <v>18</v>
      </c>
      <c r="C32" s="14"/>
      <c r="D32" s="18">
        <f>D18*5%</f>
        <v>8194.0645</v>
      </c>
      <c r="E32" s="14"/>
    </row>
    <row r="33" spans="1:5" ht="12.75">
      <c r="A33" s="14"/>
      <c r="B33" s="14" t="s">
        <v>19</v>
      </c>
      <c r="C33" s="14"/>
      <c r="D33" s="14">
        <v>322.68</v>
      </c>
      <c r="E33" s="14"/>
    </row>
    <row r="34" spans="1:5" ht="12.75">
      <c r="A34" s="14"/>
      <c r="B34" s="14" t="s">
        <v>20</v>
      </c>
      <c r="C34" s="14"/>
      <c r="D34" s="14">
        <v>5776</v>
      </c>
      <c r="E34" s="14"/>
    </row>
    <row r="35" spans="1:5" ht="12.75">
      <c r="A35" s="14"/>
      <c r="B35" s="14" t="s">
        <v>21</v>
      </c>
      <c r="C35" s="14"/>
      <c r="D35" s="18">
        <f>5786.45+1168.86</f>
        <v>6955.3099999999995</v>
      </c>
      <c r="E35" s="18"/>
    </row>
    <row r="36" spans="1:5" ht="12.75">
      <c r="A36" s="14"/>
      <c r="B36" s="22" t="s">
        <v>92</v>
      </c>
      <c r="C36" s="14"/>
      <c r="D36" s="14">
        <v>0</v>
      </c>
      <c r="E36" s="14"/>
    </row>
    <row r="37" spans="1:5" ht="12.75">
      <c r="A37" s="14"/>
      <c r="B37" s="395" t="s">
        <v>62</v>
      </c>
      <c r="C37" s="14"/>
      <c r="D37" s="14">
        <v>1649.16</v>
      </c>
      <c r="E37" s="14"/>
    </row>
    <row r="38" spans="1:5" ht="12.75">
      <c r="A38" s="14"/>
      <c r="B38" s="395" t="s">
        <v>29</v>
      </c>
      <c r="C38" s="14"/>
      <c r="D38" s="14">
        <f>195.22+38.95</f>
        <v>234.17000000000002</v>
      </c>
      <c r="E38" s="14"/>
    </row>
    <row r="39" spans="1:5" ht="12.75">
      <c r="A39" s="14"/>
      <c r="B39" s="14" t="s">
        <v>22</v>
      </c>
      <c r="C39" s="14"/>
      <c r="D39" s="14">
        <v>2799.91</v>
      </c>
      <c r="E39" s="14"/>
    </row>
    <row r="40" spans="1:5" ht="12.75">
      <c r="A40" s="14">
        <v>4</v>
      </c>
      <c r="B40" s="20" t="s">
        <v>199</v>
      </c>
      <c r="C40" s="14"/>
      <c r="D40" s="19">
        <f>31164.87+4679.28</f>
        <v>35844.15</v>
      </c>
      <c r="E40" s="19"/>
    </row>
    <row r="41" spans="1:5" ht="12.75">
      <c r="A41" s="14">
        <v>5</v>
      </c>
      <c r="B41" s="20" t="s">
        <v>24</v>
      </c>
      <c r="C41" s="14"/>
      <c r="D41" s="19">
        <f>D21+E21+D27+E27+D31+E31+D40+E40</f>
        <v>163413.3692</v>
      </c>
      <c r="E41" s="14"/>
    </row>
    <row r="42" spans="1:5" ht="12.75">
      <c r="A42" s="14">
        <v>6</v>
      </c>
      <c r="B42" s="14" t="s">
        <v>33</v>
      </c>
      <c r="C42" s="14"/>
      <c r="D42" s="19">
        <f>D18*6%</f>
        <v>9832.8774</v>
      </c>
      <c r="E42" s="14"/>
    </row>
    <row r="43" spans="1:5" ht="12.75">
      <c r="A43" s="14">
        <v>7</v>
      </c>
      <c r="B43" s="20" t="s">
        <v>25</v>
      </c>
      <c r="C43" s="14"/>
      <c r="D43" s="19">
        <f>D41+D42</f>
        <v>173246.24659999998</v>
      </c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>
        <v>8</v>
      </c>
      <c r="B45" s="20" t="s">
        <v>87</v>
      </c>
      <c r="C45" s="14"/>
      <c r="D45" s="19">
        <f>D18-D43</f>
        <v>-9364.956599999976</v>
      </c>
      <c r="E45" s="14"/>
    </row>
    <row r="46" spans="1:5" ht="12.75">
      <c r="A46" s="14">
        <v>9</v>
      </c>
      <c r="B46" s="20" t="s">
        <v>47</v>
      </c>
      <c r="C46" s="14"/>
      <c r="D46" s="19">
        <f>D11+D45</f>
        <v>-55838.82659999998</v>
      </c>
      <c r="E46" s="14"/>
    </row>
    <row r="47" spans="1:5" ht="12.75">
      <c r="A47" s="3"/>
      <c r="B47" s="426"/>
      <c r="C47" s="3"/>
      <c r="D47" s="429"/>
      <c r="E47" s="3"/>
    </row>
    <row r="48" spans="1:5" ht="12.75">
      <c r="A48" s="3"/>
      <c r="B48" s="426"/>
      <c r="C48" s="3"/>
      <c r="D48" s="429"/>
      <c r="E48" s="3"/>
    </row>
    <row r="49" spans="1:5" ht="12.75">
      <c r="A49" s="1"/>
      <c r="B49" s="1" t="s">
        <v>31</v>
      </c>
      <c r="C49" s="1"/>
      <c r="D49" s="1" t="s">
        <v>0</v>
      </c>
      <c r="E49" s="1"/>
    </row>
    <row r="50" spans="1:5" ht="12.75">
      <c r="A50" s="1"/>
      <c r="B50" s="1" t="s">
        <v>32</v>
      </c>
      <c r="C50" s="1"/>
      <c r="D50" s="1" t="s">
        <v>27</v>
      </c>
      <c r="E50" s="1"/>
    </row>
    <row r="55" spans="7:18" ht="12.75">
      <c r="G55" s="381"/>
      <c r="R55" s="431"/>
    </row>
    <row r="56" ht="12.75">
      <c r="G56" s="381"/>
    </row>
  </sheetData>
  <sheetProtection/>
  <mergeCells count="4">
    <mergeCell ref="A6:B6"/>
    <mergeCell ref="C6:D6"/>
    <mergeCell ref="D8:E8"/>
    <mergeCell ref="D9:E9"/>
  </mergeCells>
  <printOptions/>
  <pageMargins left="0.75" right="0.75" top="1" bottom="1" header="0.5" footer="0.5"/>
  <pageSetup horizontalDpi="600" verticalDpi="600" orientation="portrait" paperSize="9" scale="94" r:id="rId1"/>
  <colBreaks count="1" manualBreakCount="1">
    <brk id="6" max="5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6">
      <selection activeCell="H36" sqref="H35:H36"/>
    </sheetView>
  </sheetViews>
  <sheetFormatPr defaultColWidth="9.00390625" defaultRowHeight="12.75"/>
  <cols>
    <col min="1" max="1" width="6.875" style="0" customWidth="1"/>
    <col min="2" max="2" width="39.375" style="0" customWidth="1"/>
    <col min="4" max="4" width="11.00390625" style="0" customWidth="1"/>
    <col min="5" max="5" width="12.25390625" style="0" customWidth="1"/>
    <col min="7" max="7" width="5.875" style="0" customWidth="1"/>
    <col min="8" max="8" width="38.25390625" style="0" customWidth="1"/>
    <col min="10" max="10" width="11.625" style="0" customWidth="1"/>
    <col min="11" max="11" width="10.1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147</v>
      </c>
    </row>
    <row r="5" spans="1:4" ht="12.75">
      <c r="A5" s="375"/>
      <c r="B5" s="375"/>
      <c r="C5" s="375"/>
      <c r="D5" s="375"/>
    </row>
    <row r="6" spans="1:5" ht="12.75">
      <c r="A6" s="575"/>
      <c r="B6" s="575"/>
      <c r="C6" s="575"/>
      <c r="D6" s="576"/>
      <c r="E6" s="358"/>
    </row>
    <row r="7" spans="1:5" ht="12.75">
      <c r="A7" s="378"/>
      <c r="B7" s="378"/>
      <c r="C7" s="378"/>
      <c r="D7" s="360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54</v>
      </c>
      <c r="D9" s="579" t="s">
        <v>124</v>
      </c>
      <c r="E9" s="580"/>
    </row>
    <row r="10" spans="1:5" ht="12.75">
      <c r="A10" s="368"/>
      <c r="B10" s="337" t="s">
        <v>98</v>
      </c>
      <c r="C10" s="368"/>
      <c r="D10" s="382">
        <v>-23794.5</v>
      </c>
      <c r="E10" s="377"/>
    </row>
    <row r="11" spans="1:5" ht="12.75">
      <c r="A11" s="365"/>
      <c r="B11" s="422" t="s">
        <v>99</v>
      </c>
      <c r="C11" s="365"/>
      <c r="D11" s="368">
        <v>38994.39</v>
      </c>
      <c r="E11" s="367"/>
    </row>
    <row r="12" spans="1:5" ht="12.75">
      <c r="A12" s="368"/>
      <c r="B12" s="369" t="s">
        <v>5</v>
      </c>
      <c r="C12" s="380" t="s">
        <v>55</v>
      </c>
      <c r="D12" s="368">
        <v>6474.6</v>
      </c>
      <c r="E12" s="368"/>
    </row>
    <row r="13" spans="1:5" ht="12.75">
      <c r="A13" s="368"/>
      <c r="B13" s="369" t="s">
        <v>6</v>
      </c>
      <c r="C13" s="380" t="s">
        <v>55</v>
      </c>
      <c r="D13" s="368">
        <v>4182.9</v>
      </c>
      <c r="E13" s="368"/>
    </row>
    <row r="14" spans="1:5" ht="12.75">
      <c r="A14" s="368"/>
      <c r="B14" s="370" t="s">
        <v>28</v>
      </c>
      <c r="C14" s="380" t="s">
        <v>38</v>
      </c>
      <c r="D14" s="371">
        <v>194627.55</v>
      </c>
      <c r="E14" s="368"/>
    </row>
    <row r="15" spans="1:5" ht="15.75">
      <c r="A15" s="368"/>
      <c r="B15" s="372" t="s">
        <v>7</v>
      </c>
      <c r="C15" s="365"/>
      <c r="D15" s="368"/>
      <c r="E15" s="368"/>
    </row>
    <row r="16" spans="1:5" ht="12.75">
      <c r="A16" s="368">
        <v>1</v>
      </c>
      <c r="B16" s="368" t="s">
        <v>8</v>
      </c>
      <c r="C16" s="380" t="s">
        <v>9</v>
      </c>
      <c r="D16" s="368">
        <v>142304.77</v>
      </c>
      <c r="E16" s="368"/>
    </row>
    <row r="17" spans="1:5" ht="12.75">
      <c r="A17" s="368">
        <v>2</v>
      </c>
      <c r="B17" s="368" t="s">
        <v>88</v>
      </c>
      <c r="C17" s="380"/>
      <c r="D17" s="368">
        <v>46444</v>
      </c>
      <c r="E17" s="368"/>
    </row>
    <row r="18" spans="1:5" ht="12.75">
      <c r="A18" s="368">
        <v>3</v>
      </c>
      <c r="B18" s="368" t="s">
        <v>104</v>
      </c>
      <c r="C18" s="365"/>
      <c r="D18" s="368">
        <v>1200</v>
      </c>
      <c r="E18" s="368"/>
    </row>
    <row r="19" spans="1:5" ht="15.75">
      <c r="A19" s="368"/>
      <c r="B19" s="372" t="s">
        <v>10</v>
      </c>
      <c r="C19" s="365"/>
      <c r="D19" s="371">
        <f>D16+D18+D17</f>
        <v>189948.77</v>
      </c>
      <c r="E19" s="368"/>
    </row>
    <row r="20" spans="1:5" ht="15.75">
      <c r="A20" s="368"/>
      <c r="B20" s="372"/>
      <c r="C20" s="365"/>
      <c r="D20" s="371"/>
      <c r="E20" s="36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371">
        <f>D23+D27</f>
        <v>22925.449999999997</v>
      </c>
      <c r="E22" s="405">
        <f>E23</f>
        <v>4437.556199999999</v>
      </c>
    </row>
    <row r="23" spans="1:5" ht="12.75">
      <c r="A23" s="14">
        <v>1</v>
      </c>
      <c r="B23" s="20" t="s">
        <v>11</v>
      </c>
      <c r="C23" s="395" t="s">
        <v>9</v>
      </c>
      <c r="D23" s="371">
        <f>D24+D25+D26</f>
        <v>21968.1</v>
      </c>
      <c r="E23" s="373">
        <f>E24+E25+E26</f>
        <v>4437.556199999999</v>
      </c>
    </row>
    <row r="24" spans="1:5" ht="12.75">
      <c r="A24" s="14"/>
      <c r="B24" s="14" t="s">
        <v>12</v>
      </c>
      <c r="C24" s="14"/>
      <c r="D24" s="368">
        <v>21968.1</v>
      </c>
      <c r="E24" s="374">
        <f>D24*20.2%</f>
        <v>4437.556199999999</v>
      </c>
    </row>
    <row r="25" spans="1:5" ht="12.75">
      <c r="A25" s="14"/>
      <c r="B25" s="14" t="s">
        <v>13</v>
      </c>
      <c r="C25" s="14"/>
      <c r="D25" s="368">
        <v>0</v>
      </c>
      <c r="E25" s="374">
        <f>D25*14.2%</f>
        <v>0</v>
      </c>
    </row>
    <row r="26" spans="1:5" ht="12.75">
      <c r="A26" s="14"/>
      <c r="B26" s="14" t="s">
        <v>14</v>
      </c>
      <c r="C26" s="14"/>
      <c r="D26" s="368">
        <v>0</v>
      </c>
      <c r="E26" s="374">
        <f>D26*14.2%</f>
        <v>0</v>
      </c>
    </row>
    <row r="27" spans="1:5" ht="12.75">
      <c r="A27" s="14">
        <v>2</v>
      </c>
      <c r="B27" s="395" t="s">
        <v>16</v>
      </c>
      <c r="C27" s="14"/>
      <c r="D27" s="368">
        <v>957.35</v>
      </c>
      <c r="E27" s="374"/>
    </row>
    <row r="28" spans="1:5" ht="12.75">
      <c r="A28" s="401" t="s">
        <v>71</v>
      </c>
      <c r="B28" s="402" t="s">
        <v>69</v>
      </c>
      <c r="C28" s="14"/>
      <c r="D28" s="405">
        <f>D29+D30+D31</f>
        <v>34400.72</v>
      </c>
      <c r="E28" s="405">
        <f>E29</f>
        <v>5010.66454</v>
      </c>
    </row>
    <row r="29" spans="1:5" ht="12.75">
      <c r="A29" s="14">
        <v>1</v>
      </c>
      <c r="B29" s="22" t="s">
        <v>148</v>
      </c>
      <c r="C29" s="14"/>
      <c r="D29" s="374">
        <v>24805.27</v>
      </c>
      <c r="E29" s="374">
        <f>D29*20.2%</f>
        <v>5010.66454</v>
      </c>
    </row>
    <row r="30" spans="1:5" ht="12.75">
      <c r="A30" s="14">
        <v>2</v>
      </c>
      <c r="B30" s="22" t="s">
        <v>16</v>
      </c>
      <c r="C30" s="14"/>
      <c r="D30" s="376">
        <v>95.95</v>
      </c>
      <c r="E30" s="368"/>
    </row>
    <row r="31" spans="1:5" ht="12.75">
      <c r="A31" s="14">
        <v>3</v>
      </c>
      <c r="B31" s="22" t="s">
        <v>107</v>
      </c>
      <c r="C31" s="11"/>
      <c r="D31" s="376">
        <v>9499.5</v>
      </c>
      <c r="E31" s="368"/>
    </row>
    <row r="32" spans="1:5" ht="12.75">
      <c r="A32" s="401" t="s">
        <v>72</v>
      </c>
      <c r="B32" s="371" t="s">
        <v>17</v>
      </c>
      <c r="C32" s="365"/>
      <c r="D32" s="373">
        <f>SUM(D33:D41)</f>
        <v>32886.552189999995</v>
      </c>
      <c r="E32" s="405"/>
    </row>
    <row r="33" spans="1:5" ht="12.75">
      <c r="A33" s="14"/>
      <c r="B33" s="368" t="s">
        <v>18</v>
      </c>
      <c r="C33" s="365"/>
      <c r="D33" s="374">
        <f>D19*4.7%</f>
        <v>8927.59219</v>
      </c>
      <c r="E33" s="368"/>
    </row>
    <row r="34" spans="1:5" ht="12.75">
      <c r="A34" s="14"/>
      <c r="B34" s="368" t="s">
        <v>19</v>
      </c>
      <c r="C34" s="365"/>
      <c r="D34" s="368">
        <v>786.29</v>
      </c>
      <c r="E34" s="368"/>
    </row>
    <row r="35" spans="1:5" ht="12.75">
      <c r="A35" s="14"/>
      <c r="B35" s="368" t="s">
        <v>20</v>
      </c>
      <c r="C35" s="365"/>
      <c r="D35" s="368">
        <v>5287.1</v>
      </c>
      <c r="E35" s="368"/>
    </row>
    <row r="36" spans="1:5" ht="12.75">
      <c r="A36" s="14"/>
      <c r="B36" s="368" t="s">
        <v>21</v>
      </c>
      <c r="C36" s="365"/>
      <c r="D36" s="368">
        <f>3721.27+751.7</f>
        <v>4472.97</v>
      </c>
      <c r="E36" s="374"/>
    </row>
    <row r="37" spans="1:5" ht="12.75">
      <c r="A37" s="14"/>
      <c r="B37" s="395" t="s">
        <v>62</v>
      </c>
      <c r="C37" s="365"/>
      <c r="D37" s="368">
        <v>1060.58</v>
      </c>
      <c r="E37" s="368"/>
    </row>
    <row r="38" spans="1:5" ht="12.75">
      <c r="A38" s="14"/>
      <c r="B38" s="395" t="s">
        <v>61</v>
      </c>
      <c r="C38" s="365"/>
      <c r="D38" s="368">
        <v>8939.23</v>
      </c>
      <c r="E38" s="368"/>
    </row>
    <row r="39" spans="1:5" ht="12.75">
      <c r="A39" s="14"/>
      <c r="B39" s="395" t="s">
        <v>29</v>
      </c>
      <c r="C39" s="365"/>
      <c r="D39" s="368">
        <f>195.22+38.95</f>
        <v>234.17000000000002</v>
      </c>
      <c r="E39" s="368"/>
    </row>
    <row r="40" spans="1:5" ht="12.75">
      <c r="A40" s="14"/>
      <c r="B40" s="395" t="s">
        <v>34</v>
      </c>
      <c r="C40" s="365"/>
      <c r="D40" s="368">
        <v>1378</v>
      </c>
      <c r="E40" s="368"/>
    </row>
    <row r="41" spans="1:5" ht="12.75">
      <c r="A41" s="14"/>
      <c r="B41" s="368" t="s">
        <v>22</v>
      </c>
      <c r="C41" s="365"/>
      <c r="D41" s="368">
        <v>1800.62</v>
      </c>
      <c r="E41" s="368"/>
    </row>
    <row r="42" spans="1:5" ht="12.75">
      <c r="A42" s="14">
        <v>4</v>
      </c>
      <c r="B42" s="20" t="s">
        <v>199</v>
      </c>
      <c r="C42" s="14"/>
      <c r="D42" s="19">
        <f>20042.15+3009.25</f>
        <v>23051.4</v>
      </c>
      <c r="E42" s="19"/>
    </row>
    <row r="43" spans="1:5" ht="12.75">
      <c r="A43" s="14">
        <v>5</v>
      </c>
      <c r="B43" s="20" t="s">
        <v>24</v>
      </c>
      <c r="C43" s="14"/>
      <c r="D43" s="19">
        <f>D22+E22+D28+E28+D32+E32+D42+E42</f>
        <v>122712.34292999998</v>
      </c>
      <c r="E43" s="14"/>
    </row>
    <row r="44" spans="1:5" ht="12.75">
      <c r="A44" s="14">
        <v>6</v>
      </c>
      <c r="B44" s="14" t="s">
        <v>33</v>
      </c>
      <c r="C44" s="14"/>
      <c r="D44" s="19">
        <f>D19*6%</f>
        <v>11396.926199999998</v>
      </c>
      <c r="E44" s="14"/>
    </row>
    <row r="45" spans="1:5" ht="12.75">
      <c r="A45" s="14">
        <v>7</v>
      </c>
      <c r="B45" s="20" t="s">
        <v>25</v>
      </c>
      <c r="C45" s="14"/>
      <c r="D45" s="19">
        <f>D43+D44</f>
        <v>134109.26912999997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>
        <v>8</v>
      </c>
      <c r="B47" s="20" t="s">
        <v>149</v>
      </c>
      <c r="C47" s="14"/>
      <c r="D47" s="19">
        <f>(D16+D18)-D45</f>
        <v>9395.500870000018</v>
      </c>
      <c r="E47" s="14"/>
    </row>
    <row r="48" spans="1:5" ht="12.75">
      <c r="A48" s="14">
        <v>9</v>
      </c>
      <c r="B48" s="20" t="s">
        <v>47</v>
      </c>
      <c r="C48" s="14"/>
      <c r="D48" s="19">
        <f>D10+D47</f>
        <v>-14398.999129999982</v>
      </c>
      <c r="E48" s="14"/>
    </row>
    <row r="49" spans="1:5" ht="12.75">
      <c r="A49" s="3"/>
      <c r="B49" s="426" t="s">
        <v>88</v>
      </c>
      <c r="C49" s="3"/>
      <c r="D49" s="429">
        <f>D11+D17-2786.64</f>
        <v>82651.75</v>
      </c>
      <c r="E49" s="3"/>
    </row>
    <row r="50" spans="1:5" ht="12.75">
      <c r="A50" s="3"/>
      <c r="B50" s="426" t="s">
        <v>143</v>
      </c>
      <c r="C50" s="3"/>
      <c r="D50" s="429">
        <f>92000+85458.51</f>
        <v>177458.51</v>
      </c>
      <c r="E50" s="3"/>
    </row>
    <row r="51" spans="1:5" ht="12.75">
      <c r="A51" s="3"/>
      <c r="B51" s="426" t="s">
        <v>129</v>
      </c>
      <c r="C51" s="3"/>
      <c r="D51" s="429">
        <f>D49-D50</f>
        <v>-94806.76000000001</v>
      </c>
      <c r="E51" s="3"/>
    </row>
    <row r="52" spans="1:5" ht="12.75">
      <c r="A52" s="3"/>
      <c r="B52" s="426"/>
      <c r="C52" s="3"/>
      <c r="D52" s="429"/>
      <c r="E52" s="3"/>
    </row>
    <row r="53" spans="1:5" ht="12.75">
      <c r="A53" s="1"/>
      <c r="B53" s="1" t="s">
        <v>31</v>
      </c>
      <c r="C53" s="1"/>
      <c r="D53" s="1" t="s">
        <v>0</v>
      </c>
      <c r="E53" s="1"/>
    </row>
    <row r="54" spans="1:5" ht="12.75">
      <c r="A54" s="1"/>
      <c r="B54" s="1" t="s">
        <v>32</v>
      </c>
      <c r="C54" s="1"/>
      <c r="D54" s="1" t="s">
        <v>27</v>
      </c>
      <c r="E54" s="1"/>
    </row>
  </sheetData>
  <sheetProtection/>
  <mergeCells count="4">
    <mergeCell ref="D9:E9"/>
    <mergeCell ref="A6:B6"/>
    <mergeCell ref="C6:D6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workbookViewId="0" topLeftCell="A25">
      <selection activeCell="D48" sqref="D48"/>
    </sheetView>
  </sheetViews>
  <sheetFormatPr defaultColWidth="9.00390625" defaultRowHeight="12.75"/>
  <cols>
    <col min="1" max="1" width="5.125" style="0" customWidth="1"/>
    <col min="2" max="2" width="42.125" style="0" customWidth="1"/>
    <col min="3" max="3" width="7.875" style="0" customWidth="1"/>
    <col min="4" max="4" width="11.25390625" style="0" customWidth="1"/>
    <col min="5" max="5" width="11.00390625" style="0" customWidth="1"/>
    <col min="6" max="6" width="8.00390625" style="0" customWidth="1"/>
    <col min="7" max="7" width="3.75390625" style="0" customWidth="1"/>
    <col min="8" max="8" width="40.625" style="0" customWidth="1"/>
    <col min="10" max="10" width="11.00390625" style="0" customWidth="1"/>
    <col min="15" max="15" width="38.875" style="0" customWidth="1"/>
    <col min="16" max="16" width="8.75390625" style="0" customWidth="1"/>
    <col min="17" max="17" width="10.125" style="0" customWidth="1"/>
    <col min="19" max="19" width="5.375" style="0" customWidth="1"/>
    <col min="21" max="21" width="41.125" style="0" customWidth="1"/>
    <col min="23" max="23" width="12.1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150</v>
      </c>
    </row>
    <row r="5" spans="1:5" ht="12.75">
      <c r="A5" s="575"/>
      <c r="B5" s="575"/>
      <c r="C5" s="575"/>
      <c r="D5" s="576"/>
      <c r="E5" s="358"/>
    </row>
    <row r="6" spans="1:5" ht="12.75">
      <c r="A6" s="378"/>
      <c r="B6" s="378"/>
      <c r="C6" s="378"/>
      <c r="D6" s="360"/>
      <c r="E6" s="361"/>
    </row>
    <row r="7" spans="1:5" ht="15.75">
      <c r="A7" s="359"/>
      <c r="B7" s="362" t="s">
        <v>1</v>
      </c>
      <c r="C7" s="363" t="s">
        <v>3</v>
      </c>
      <c r="D7" s="577" t="s">
        <v>4</v>
      </c>
      <c r="E7" s="578"/>
    </row>
    <row r="8" spans="1:5" ht="15.75">
      <c r="A8" s="364"/>
      <c r="B8" s="362" t="s">
        <v>2</v>
      </c>
      <c r="C8" s="363" t="s">
        <v>54</v>
      </c>
      <c r="D8" s="579" t="s">
        <v>151</v>
      </c>
      <c r="E8" s="580"/>
    </row>
    <row r="9" spans="1:5" ht="12.75">
      <c r="A9" s="368"/>
      <c r="B9" s="337" t="s">
        <v>98</v>
      </c>
      <c r="C9" s="368"/>
      <c r="D9" s="382">
        <v>-421032.46</v>
      </c>
      <c r="E9" s="377"/>
    </row>
    <row r="10" spans="1:5" ht="12.75">
      <c r="A10" s="365"/>
      <c r="B10" s="422" t="s">
        <v>127</v>
      </c>
      <c r="C10" s="365"/>
      <c r="D10" s="366">
        <v>82902.6</v>
      </c>
      <c r="E10" s="367"/>
    </row>
    <row r="11" spans="1:5" ht="12.75">
      <c r="A11" s="368"/>
      <c r="B11" s="369" t="s">
        <v>5</v>
      </c>
      <c r="C11" s="380" t="s">
        <v>55</v>
      </c>
      <c r="D11" s="368">
        <v>6474.6</v>
      </c>
      <c r="E11" s="368"/>
    </row>
    <row r="12" spans="1:5" ht="12.75">
      <c r="A12" s="368"/>
      <c r="B12" s="369" t="s">
        <v>6</v>
      </c>
      <c r="C12" s="380" t="s">
        <v>55</v>
      </c>
      <c r="D12" s="368">
        <v>3358.2</v>
      </c>
      <c r="E12" s="368"/>
    </row>
    <row r="13" spans="1:5" ht="12.75">
      <c r="A13" s="368"/>
      <c r="B13" s="370" t="s">
        <v>28</v>
      </c>
      <c r="C13" s="380" t="s">
        <v>9</v>
      </c>
      <c r="D13" s="371">
        <v>268942.88</v>
      </c>
      <c r="E13" s="368"/>
    </row>
    <row r="14" spans="1:5" ht="15.75">
      <c r="A14" s="368"/>
      <c r="B14" s="372" t="s">
        <v>7</v>
      </c>
      <c r="C14" s="365"/>
      <c r="D14" s="368"/>
      <c r="E14" s="368"/>
    </row>
    <row r="15" spans="1:5" ht="12.75">
      <c r="A15" s="368">
        <v>1</v>
      </c>
      <c r="B15" s="368" t="s">
        <v>8</v>
      </c>
      <c r="C15" s="380" t="s">
        <v>9</v>
      </c>
      <c r="D15" s="368">
        <v>200790.88</v>
      </c>
      <c r="E15" s="368"/>
    </row>
    <row r="16" spans="1:5" ht="12.75">
      <c r="A16" s="368">
        <v>2</v>
      </c>
      <c r="B16" s="368" t="s">
        <v>88</v>
      </c>
      <c r="C16" s="365"/>
      <c r="D16" s="368">
        <v>55669.6</v>
      </c>
      <c r="E16" s="368"/>
    </row>
    <row r="17" spans="1:5" ht="12.75">
      <c r="A17" s="368">
        <v>3</v>
      </c>
      <c r="B17" s="368" t="s">
        <v>104</v>
      </c>
      <c r="C17" s="365"/>
      <c r="D17" s="368">
        <v>5400</v>
      </c>
      <c r="E17" s="368"/>
    </row>
    <row r="18" spans="1:5" ht="15.75">
      <c r="A18" s="368"/>
      <c r="B18" s="372" t="s">
        <v>10</v>
      </c>
      <c r="C18" s="365"/>
      <c r="D18" s="371">
        <f>D15+D16+D17</f>
        <v>261860.48</v>
      </c>
      <c r="E18" s="368"/>
    </row>
    <row r="19" spans="1:5" ht="15.75">
      <c r="A19" s="368"/>
      <c r="B19" s="372"/>
      <c r="C19" s="365"/>
      <c r="D19" s="371"/>
      <c r="E19" s="368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19">
        <f>D22+D26</f>
        <v>77494.16</v>
      </c>
      <c r="E21" s="19">
        <f>E22</f>
        <v>15412.389919999998</v>
      </c>
    </row>
    <row r="22" spans="1:5" ht="12.75">
      <c r="A22" s="14">
        <v>1</v>
      </c>
      <c r="B22" s="20" t="s">
        <v>11</v>
      </c>
      <c r="C22" s="395" t="s">
        <v>9</v>
      </c>
      <c r="D22" s="19">
        <f>D23+D24+D25</f>
        <v>76298.96</v>
      </c>
      <c r="E22" s="19">
        <f>E23+E24+E25</f>
        <v>15412.389919999998</v>
      </c>
    </row>
    <row r="23" spans="1:5" ht="12.75">
      <c r="A23" s="14"/>
      <c r="B23" s="14" t="s">
        <v>12</v>
      </c>
      <c r="C23" s="14"/>
      <c r="D23" s="14">
        <v>17964.27</v>
      </c>
      <c r="E23" s="18">
        <f>D23*20.2%</f>
        <v>3628.7825399999997</v>
      </c>
    </row>
    <row r="24" spans="1:5" ht="12.75">
      <c r="A24" s="14"/>
      <c r="B24" s="14" t="s">
        <v>13</v>
      </c>
      <c r="C24" s="14"/>
      <c r="D24" s="396">
        <v>32493.42</v>
      </c>
      <c r="E24" s="18">
        <f>D24*20.2%</f>
        <v>6563.670839999999</v>
      </c>
    </row>
    <row r="25" spans="1:5" ht="12.75">
      <c r="A25" s="14"/>
      <c r="B25" s="14" t="s">
        <v>14</v>
      </c>
      <c r="C25" s="14"/>
      <c r="D25" s="14">
        <v>25841.27</v>
      </c>
      <c r="E25" s="18">
        <f>D25*20.2%</f>
        <v>5219.93654</v>
      </c>
    </row>
    <row r="26" spans="1:5" ht="12.75">
      <c r="A26" s="14">
        <v>2</v>
      </c>
      <c r="B26" s="395" t="s">
        <v>16</v>
      </c>
      <c r="C26" s="14"/>
      <c r="D26" s="14">
        <v>1195.2</v>
      </c>
      <c r="E26" s="18"/>
    </row>
    <row r="27" spans="1:5" ht="12.75">
      <c r="A27" s="401" t="s">
        <v>71</v>
      </c>
      <c r="B27" s="402" t="s">
        <v>69</v>
      </c>
      <c r="C27" s="14"/>
      <c r="D27" s="20">
        <f>D28+D29</f>
        <v>16002.9</v>
      </c>
      <c r="E27" s="19">
        <f>E28</f>
        <v>801.55418</v>
      </c>
    </row>
    <row r="28" spans="1:5" ht="12.75">
      <c r="A28" s="14">
        <v>1</v>
      </c>
      <c r="B28" s="22" t="s">
        <v>70</v>
      </c>
      <c r="C28" s="14"/>
      <c r="D28" s="22">
        <v>3968.09</v>
      </c>
      <c r="E28" s="18">
        <f>D28*20.2%</f>
        <v>801.55418</v>
      </c>
    </row>
    <row r="29" spans="1:5" ht="12.75">
      <c r="A29" s="14">
        <v>2</v>
      </c>
      <c r="B29" s="22" t="s">
        <v>16</v>
      </c>
      <c r="C29" s="14"/>
      <c r="D29" s="22">
        <v>12034.81</v>
      </c>
      <c r="E29" s="14"/>
    </row>
    <row r="30" spans="1:5" ht="12.75">
      <c r="A30" s="401" t="s">
        <v>72</v>
      </c>
      <c r="B30" s="20" t="s">
        <v>17</v>
      </c>
      <c r="C30" s="14"/>
      <c r="D30" s="19">
        <f>D31+D32+D33+D34+D35+D36+D37+D38</f>
        <v>30234.814</v>
      </c>
      <c r="E30" s="19"/>
    </row>
    <row r="31" spans="1:5" ht="12.75">
      <c r="A31" s="14"/>
      <c r="B31" s="14" t="s">
        <v>18</v>
      </c>
      <c r="C31" s="14"/>
      <c r="D31" s="18">
        <f>D18*5%</f>
        <v>13093.024000000001</v>
      </c>
      <c r="E31" s="14"/>
    </row>
    <row r="32" spans="1:5" ht="12.75">
      <c r="A32" s="14"/>
      <c r="B32" s="14" t="s">
        <v>19</v>
      </c>
      <c r="C32" s="14"/>
      <c r="D32" s="14">
        <v>502.54</v>
      </c>
      <c r="E32" s="14"/>
    </row>
    <row r="33" spans="1:5" ht="12.75">
      <c r="A33" s="14"/>
      <c r="B33" s="14" t="s">
        <v>21</v>
      </c>
      <c r="C33" s="14"/>
      <c r="D33" s="18">
        <f>4645.81+938.45</f>
        <v>5584.26</v>
      </c>
      <c r="E33" s="18"/>
    </row>
    <row r="34" spans="1:5" ht="12.75">
      <c r="A34" s="14"/>
      <c r="B34" s="22" t="s">
        <v>20</v>
      </c>
      <c r="C34" s="14"/>
      <c r="D34" s="14">
        <v>6267.16</v>
      </c>
      <c r="E34" s="14"/>
    </row>
    <row r="35" spans="1:5" ht="12.75">
      <c r="A35" s="14"/>
      <c r="B35" s="395" t="s">
        <v>62</v>
      </c>
      <c r="C35" s="14"/>
      <c r="D35" s="14">
        <v>1324.07</v>
      </c>
      <c r="E35" s="14"/>
    </row>
    <row r="36" spans="1:5" ht="12.75">
      <c r="A36" s="14"/>
      <c r="B36" s="395" t="s">
        <v>29</v>
      </c>
      <c r="C36" s="14"/>
      <c r="D36" s="14">
        <f>195.22+38.95</f>
        <v>234.17000000000002</v>
      </c>
      <c r="E36" s="14"/>
    </row>
    <row r="37" spans="1:5" ht="12.75">
      <c r="A37" s="14"/>
      <c r="B37" s="22" t="s">
        <v>34</v>
      </c>
      <c r="C37" s="14"/>
      <c r="D37" s="14">
        <v>981.6</v>
      </c>
      <c r="E37" s="14"/>
    </row>
    <row r="38" spans="1:5" ht="12.75">
      <c r="A38" s="14"/>
      <c r="B38" s="14" t="s">
        <v>22</v>
      </c>
      <c r="C38" s="14"/>
      <c r="D38" s="14">
        <v>2247.99</v>
      </c>
      <c r="E38" s="14"/>
    </row>
    <row r="39" spans="1:5" ht="12.75">
      <c r="A39" s="14">
        <v>4</v>
      </c>
      <c r="B39" s="20" t="s">
        <v>199</v>
      </c>
      <c r="C39" s="14"/>
      <c r="D39" s="19">
        <f>25021.59+3756.89</f>
        <v>28778.48</v>
      </c>
      <c r="E39" s="19"/>
    </row>
    <row r="40" spans="1:5" ht="12.75">
      <c r="A40" s="14">
        <v>5</v>
      </c>
      <c r="B40" s="20" t="s">
        <v>24</v>
      </c>
      <c r="C40" s="14"/>
      <c r="D40" s="19">
        <f>D21+E21+D27+E27+D30+E30+D39+E39</f>
        <v>168724.2981</v>
      </c>
      <c r="E40" s="14"/>
    </row>
    <row r="41" spans="1:5" ht="12.75">
      <c r="A41" s="14">
        <v>6</v>
      </c>
      <c r="B41" s="14" t="s">
        <v>33</v>
      </c>
      <c r="C41" s="14"/>
      <c r="D41" s="19">
        <f>D18*6%</f>
        <v>15711.6288</v>
      </c>
      <c r="E41" s="14"/>
    </row>
    <row r="42" spans="1:5" ht="12.75">
      <c r="A42" s="14">
        <v>7</v>
      </c>
      <c r="B42" s="20" t="s">
        <v>25</v>
      </c>
      <c r="C42" s="14"/>
      <c r="D42" s="19">
        <f>D40+D41</f>
        <v>184435.92690000002</v>
      </c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>
        <v>8</v>
      </c>
      <c r="B44" s="20" t="s">
        <v>87</v>
      </c>
      <c r="C44" s="14"/>
      <c r="D44" s="19">
        <f>(D15+D17)-D42</f>
        <v>21754.953099999984</v>
      </c>
      <c r="E44" s="14"/>
    </row>
    <row r="45" spans="1:5" ht="12.75">
      <c r="A45" s="14">
        <v>9</v>
      </c>
      <c r="B45" s="20" t="s">
        <v>47</v>
      </c>
      <c r="C45" s="14"/>
      <c r="D45" s="19">
        <f>D9+D44</f>
        <v>-399277.50690000004</v>
      </c>
      <c r="E45" s="14"/>
    </row>
    <row r="46" spans="1:5" ht="12.75">
      <c r="A46" s="3"/>
      <c r="B46" s="426" t="s">
        <v>88</v>
      </c>
      <c r="C46" s="3"/>
      <c r="D46" s="429">
        <f>D10+D16-3340.18</f>
        <v>135232.02000000002</v>
      </c>
      <c r="E46" s="3"/>
    </row>
    <row r="47" spans="1:5" ht="12.75">
      <c r="A47" s="3"/>
      <c r="B47" s="426" t="s">
        <v>143</v>
      </c>
      <c r="C47" s="3"/>
      <c r="D47" s="429">
        <v>126912.47</v>
      </c>
      <c r="E47" s="3"/>
    </row>
    <row r="48" spans="1:5" ht="12.75">
      <c r="A48" s="3"/>
      <c r="B48" s="426" t="s">
        <v>129</v>
      </c>
      <c r="C48" s="3"/>
      <c r="D48" s="429">
        <f>D46-D47</f>
        <v>8319.550000000017</v>
      </c>
      <c r="E48" s="3"/>
    </row>
    <row r="49" spans="1:5" ht="12.75">
      <c r="A49" s="3"/>
      <c r="B49" s="426"/>
      <c r="C49" s="3"/>
      <c r="D49" s="429"/>
      <c r="E49" s="3"/>
    </row>
    <row r="50" spans="1:5" ht="12.75">
      <c r="A50" s="1"/>
      <c r="B50" s="1" t="s">
        <v>31</v>
      </c>
      <c r="C50" s="1"/>
      <c r="D50" s="1" t="s">
        <v>0</v>
      </c>
      <c r="E50" s="1"/>
    </row>
    <row r="51" spans="1:5" ht="12.75">
      <c r="A51" s="1"/>
      <c r="B51" s="1" t="s">
        <v>32</v>
      </c>
      <c r="C51" s="1"/>
      <c r="D51" s="1" t="s">
        <v>27</v>
      </c>
      <c r="E51" s="1"/>
    </row>
  </sheetData>
  <sheetProtection/>
  <mergeCells count="4">
    <mergeCell ref="A5:B5"/>
    <mergeCell ref="C5:D5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20">
      <selection activeCell="B40" sqref="B40"/>
    </sheetView>
  </sheetViews>
  <sheetFormatPr defaultColWidth="9.00390625" defaultRowHeight="12.75"/>
  <cols>
    <col min="1" max="1" width="3.75390625" style="0" customWidth="1"/>
    <col min="2" max="2" width="39.125" style="0" customWidth="1"/>
    <col min="3" max="3" width="8.75390625" style="0" customWidth="1"/>
    <col min="4" max="4" width="14.125" style="0" customWidth="1"/>
    <col min="5" max="5" width="12.75390625" style="0" customWidth="1"/>
    <col min="7" max="7" width="5.625" style="0" customWidth="1"/>
    <col min="8" max="8" width="40.75390625" style="0" customWidth="1"/>
    <col min="10" max="10" width="12.375" style="0" customWidth="1"/>
    <col min="11" max="11" width="14.125" style="0" customWidth="1"/>
    <col min="12" max="13" width="3.75390625" style="0" customWidth="1"/>
    <col min="14" max="14" width="6.125" style="0" customWidth="1"/>
    <col min="15" max="15" width="36.375" style="0" customWidth="1"/>
    <col min="17" max="17" width="12.625" style="0" customWidth="1"/>
    <col min="19" max="19" width="5.375" style="0" customWidth="1"/>
    <col min="21" max="21" width="39.75390625" style="0" customWidth="1"/>
    <col min="23" max="23" width="11.75390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152</v>
      </c>
    </row>
    <row r="5" spans="1:4" ht="12.75">
      <c r="A5" s="375"/>
      <c r="B5" s="375"/>
      <c r="C5" s="375"/>
      <c r="D5" s="375"/>
    </row>
    <row r="6" spans="1:5" ht="12.75">
      <c r="A6" s="575"/>
      <c r="B6" s="575"/>
      <c r="C6" s="575"/>
      <c r="D6" s="576"/>
      <c r="E6" s="358"/>
    </row>
    <row r="7" spans="1:5" ht="12.75">
      <c r="A7" s="378"/>
      <c r="B7" s="378"/>
      <c r="C7" s="378"/>
      <c r="D7" s="360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54</v>
      </c>
      <c r="D9" s="579" t="s">
        <v>153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380" t="s">
        <v>65</v>
      </c>
      <c r="C11" s="365"/>
      <c r="D11" s="366">
        <v>-295727.04</v>
      </c>
      <c r="E11" s="367"/>
    </row>
    <row r="12" spans="1:5" ht="12.75">
      <c r="A12" s="368"/>
      <c r="B12" s="369" t="s">
        <v>5</v>
      </c>
      <c r="C12" s="380" t="s">
        <v>55</v>
      </c>
      <c r="D12" s="368">
        <v>6784.41</v>
      </c>
      <c r="E12" s="368"/>
    </row>
    <row r="13" spans="1:5" ht="12.75">
      <c r="A13" s="368"/>
      <c r="B13" s="369" t="s">
        <v>6</v>
      </c>
      <c r="C13" s="380" t="s">
        <v>55</v>
      </c>
      <c r="D13" s="368">
        <v>5045.52</v>
      </c>
      <c r="E13" s="368"/>
    </row>
    <row r="14" spans="1:5" ht="12.75">
      <c r="A14" s="368"/>
      <c r="B14" s="370" t="s">
        <v>28</v>
      </c>
      <c r="C14" s="380" t="s">
        <v>9</v>
      </c>
      <c r="D14" s="371">
        <v>206757.72</v>
      </c>
      <c r="E14" s="368"/>
    </row>
    <row r="15" spans="1:5" ht="15.75">
      <c r="A15" s="368"/>
      <c r="B15" s="372" t="s">
        <v>7</v>
      </c>
      <c r="C15" s="365"/>
      <c r="D15" s="368"/>
      <c r="E15" s="368"/>
    </row>
    <row r="16" spans="1:5" ht="12.75">
      <c r="A16" s="368">
        <v>1</v>
      </c>
      <c r="B16" s="368" t="s">
        <v>8</v>
      </c>
      <c r="C16" s="380" t="s">
        <v>9</v>
      </c>
      <c r="D16" s="368">
        <v>197401.25</v>
      </c>
      <c r="E16" s="368"/>
    </row>
    <row r="17" spans="1:5" ht="12.75">
      <c r="A17" s="368">
        <v>2</v>
      </c>
      <c r="B17" s="368" t="s">
        <v>104</v>
      </c>
      <c r="C17" s="365"/>
      <c r="D17" s="368">
        <v>3600</v>
      </c>
      <c r="E17" s="368"/>
    </row>
    <row r="18" spans="1:5" ht="15.75">
      <c r="A18" s="368"/>
      <c r="B18" s="372" t="s">
        <v>10</v>
      </c>
      <c r="C18" s="365"/>
      <c r="D18" s="371">
        <f>D16+D17</f>
        <v>201001.25</v>
      </c>
      <c r="E18" s="368"/>
    </row>
    <row r="19" spans="1:5" ht="15.75">
      <c r="A19" s="368"/>
      <c r="B19" s="372"/>
      <c r="C19" s="365"/>
      <c r="D19" s="371"/>
      <c r="E19" s="368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19">
        <f>D22+D26</f>
        <v>88529.08</v>
      </c>
      <c r="E21" s="19">
        <f>E22</f>
        <v>17520.1367</v>
      </c>
    </row>
    <row r="22" spans="1:5" ht="12.75">
      <c r="A22" s="14">
        <v>1</v>
      </c>
      <c r="B22" s="20" t="s">
        <v>11</v>
      </c>
      <c r="C22" s="395" t="s">
        <v>9</v>
      </c>
      <c r="D22" s="19">
        <f>D23+D24+D25</f>
        <v>86733.35</v>
      </c>
      <c r="E22" s="19">
        <f>E23+E24+E25</f>
        <v>17520.1367</v>
      </c>
    </row>
    <row r="23" spans="1:5" ht="12.75">
      <c r="A23" s="14"/>
      <c r="B23" s="14" t="s">
        <v>12</v>
      </c>
      <c r="C23" s="14"/>
      <c r="D23" s="14">
        <v>16984.44</v>
      </c>
      <c r="E23" s="18">
        <f>D23*20.2%</f>
        <v>3430.8568799999994</v>
      </c>
    </row>
    <row r="24" spans="1:5" ht="12.75">
      <c r="A24" s="14"/>
      <c r="B24" s="14" t="s">
        <v>13</v>
      </c>
      <c r="C24" s="14"/>
      <c r="D24" s="396">
        <v>38667.17</v>
      </c>
      <c r="E24" s="18">
        <f>D24*20.2%</f>
        <v>7810.768339999999</v>
      </c>
    </row>
    <row r="25" spans="1:5" ht="12.75">
      <c r="A25" s="14"/>
      <c r="B25" s="14" t="s">
        <v>14</v>
      </c>
      <c r="C25" s="14"/>
      <c r="D25" s="14">
        <v>31081.74</v>
      </c>
      <c r="E25" s="18">
        <f>D25*20.2%</f>
        <v>6278.51148</v>
      </c>
    </row>
    <row r="26" spans="1:5" ht="12.75">
      <c r="A26" s="14">
        <v>2</v>
      </c>
      <c r="B26" s="395" t="s">
        <v>16</v>
      </c>
      <c r="C26" s="14"/>
      <c r="D26" s="14">
        <v>1795.73</v>
      </c>
      <c r="E26" s="18"/>
    </row>
    <row r="27" spans="1:5" ht="12.75">
      <c r="A27" s="401" t="s">
        <v>71</v>
      </c>
      <c r="B27" s="402" t="s">
        <v>69</v>
      </c>
      <c r="C27" s="14"/>
      <c r="D27" s="20">
        <f>D28+D29+D30</f>
        <v>88228.24</v>
      </c>
      <c r="E27" s="19">
        <f>E28</f>
        <v>9398.64186</v>
      </c>
    </row>
    <row r="28" spans="1:5" ht="12.75">
      <c r="A28" s="14">
        <v>1</v>
      </c>
      <c r="B28" s="22" t="s">
        <v>70</v>
      </c>
      <c r="C28" s="14"/>
      <c r="D28" s="22">
        <v>46527.93</v>
      </c>
      <c r="E28" s="18">
        <f>D28*20.2%</f>
        <v>9398.64186</v>
      </c>
    </row>
    <row r="29" spans="1:5" ht="12.75">
      <c r="A29" s="14">
        <v>2</v>
      </c>
      <c r="B29" s="22" t="s">
        <v>16</v>
      </c>
      <c r="C29" s="14"/>
      <c r="D29" s="22">
        <v>14058.59</v>
      </c>
      <c r="E29" s="14"/>
    </row>
    <row r="30" spans="1:5" ht="12.75">
      <c r="A30" s="14">
        <v>3</v>
      </c>
      <c r="B30" s="22" t="s">
        <v>107</v>
      </c>
      <c r="C30" s="14"/>
      <c r="D30" s="22">
        <v>27641.72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</f>
        <v>27780.192499999994</v>
      </c>
      <c r="E31" s="19"/>
    </row>
    <row r="32" spans="1:5" ht="12.75">
      <c r="A32" s="14"/>
      <c r="B32" s="14" t="s">
        <v>18</v>
      </c>
      <c r="C32" s="14"/>
      <c r="D32" s="18">
        <f>D18*5%</f>
        <v>10050.0625</v>
      </c>
      <c r="E32" s="14"/>
    </row>
    <row r="33" spans="1:5" ht="12.75">
      <c r="A33" s="14"/>
      <c r="B33" s="14" t="s">
        <v>19</v>
      </c>
      <c r="C33" s="14"/>
      <c r="D33" s="14">
        <v>851.06</v>
      </c>
      <c r="E33" s="14"/>
    </row>
    <row r="34" spans="1:5" ht="12.75">
      <c r="A34" s="14"/>
      <c r="B34" s="14" t="s">
        <v>20</v>
      </c>
      <c r="C34" s="14"/>
      <c r="D34" s="14">
        <v>2888</v>
      </c>
      <c r="E34" s="14"/>
    </row>
    <row r="35" spans="1:5" ht="12.75">
      <c r="A35" s="14"/>
      <c r="B35" s="14" t="s">
        <v>21</v>
      </c>
      <c r="C35" s="14"/>
      <c r="D35" s="18">
        <f>6980.09+1409.98</f>
        <v>8390.07</v>
      </c>
      <c r="E35" s="18"/>
    </row>
    <row r="36" spans="1:5" ht="12.75">
      <c r="A36" s="14"/>
      <c r="B36" s="395" t="s">
        <v>29</v>
      </c>
      <c r="C36" s="14"/>
      <c r="D36" s="14">
        <f>195.22+38.95</f>
        <v>234.17000000000002</v>
      </c>
      <c r="E36" s="14"/>
    </row>
    <row r="37" spans="1:5" ht="12.75">
      <c r="A37" s="14"/>
      <c r="B37" s="395" t="s">
        <v>62</v>
      </c>
      <c r="C37" s="14"/>
      <c r="D37" s="14">
        <v>1989.35</v>
      </c>
      <c r="E37" s="14"/>
    </row>
    <row r="38" spans="1:5" ht="12.75">
      <c r="A38" s="14"/>
      <c r="B38" s="14" t="s">
        <v>22</v>
      </c>
      <c r="C38" s="14"/>
      <c r="D38" s="14">
        <v>3377.48</v>
      </c>
      <c r="E38" s="14"/>
    </row>
    <row r="39" spans="1:5" ht="12.75">
      <c r="A39" s="14">
        <v>4</v>
      </c>
      <c r="B39" s="20" t="s">
        <v>199</v>
      </c>
      <c r="C39" s="14"/>
      <c r="D39" s="19">
        <f>37593.58+5644.53</f>
        <v>43238.11</v>
      </c>
      <c r="E39" s="19"/>
    </row>
    <row r="40" spans="1:5" ht="12.75">
      <c r="A40" s="14">
        <v>5</v>
      </c>
      <c r="B40" s="20" t="s">
        <v>24</v>
      </c>
      <c r="C40" s="14"/>
      <c r="D40" s="19">
        <f>D21+E21+D27+E27+D31+E31+D39+E39</f>
        <v>274694.40106</v>
      </c>
      <c r="E40" s="14"/>
    </row>
    <row r="41" spans="1:5" ht="12.75">
      <c r="A41" s="14">
        <v>6</v>
      </c>
      <c r="B41" s="14" t="s">
        <v>33</v>
      </c>
      <c r="C41" s="14"/>
      <c r="D41" s="19">
        <f>D18*6%</f>
        <v>12060.074999999999</v>
      </c>
      <c r="E41" s="14"/>
    </row>
    <row r="42" spans="1:5" ht="12.75">
      <c r="A42" s="14">
        <v>7</v>
      </c>
      <c r="B42" s="20" t="s">
        <v>25</v>
      </c>
      <c r="C42" s="14"/>
      <c r="D42" s="19">
        <f>D40+D41</f>
        <v>286754.47606</v>
      </c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>
        <v>8</v>
      </c>
      <c r="B44" s="20" t="s">
        <v>87</v>
      </c>
      <c r="C44" s="14"/>
      <c r="D44" s="19">
        <f>D18-D42</f>
        <v>-85753.22606000002</v>
      </c>
      <c r="E44" s="14"/>
    </row>
    <row r="45" spans="1:5" ht="12.75">
      <c r="A45" s="14">
        <v>9</v>
      </c>
      <c r="B45" s="20" t="s">
        <v>47</v>
      </c>
      <c r="C45" s="14"/>
      <c r="D45" s="19">
        <f>D11+D44</f>
        <v>-381480.26606</v>
      </c>
      <c r="E45" s="14"/>
    </row>
    <row r="46" spans="1:5" ht="12.75">
      <c r="A46" s="3"/>
      <c r="B46" s="426"/>
      <c r="C46" s="3"/>
      <c r="D46" s="429"/>
      <c r="E46" s="3"/>
    </row>
    <row r="47" spans="1:5" ht="12.75">
      <c r="A47" s="3"/>
      <c r="B47" s="426"/>
      <c r="C47" s="3"/>
      <c r="D47" s="429"/>
      <c r="E47" s="3"/>
    </row>
    <row r="48" spans="1:5" ht="12.75">
      <c r="A48" s="1"/>
      <c r="B48" s="1" t="s">
        <v>31</v>
      </c>
      <c r="C48" s="1"/>
      <c r="D48" s="1" t="s">
        <v>0</v>
      </c>
      <c r="E48" s="1"/>
    </row>
    <row r="49" spans="1:5" ht="12.75">
      <c r="A49" s="1"/>
      <c r="B49" s="1" t="s">
        <v>32</v>
      </c>
      <c r="C49" s="1"/>
      <c r="D49" s="1" t="s">
        <v>27</v>
      </c>
      <c r="E49" s="1"/>
    </row>
  </sheetData>
  <sheetProtection/>
  <mergeCells count="4">
    <mergeCell ref="A6:B6"/>
    <mergeCell ref="C6:D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zoomScalePageLayoutView="0" workbookViewId="0" topLeftCell="A26">
      <selection activeCell="D17" sqref="D17"/>
    </sheetView>
  </sheetViews>
  <sheetFormatPr defaultColWidth="9.00390625" defaultRowHeight="12.75"/>
  <cols>
    <col min="1" max="1" width="5.625" style="0" customWidth="1"/>
    <col min="2" max="2" width="42.25390625" style="0" customWidth="1"/>
    <col min="3" max="3" width="8.00390625" style="0" customWidth="1"/>
    <col min="4" max="4" width="11.25390625" style="0" customWidth="1"/>
    <col min="7" max="7" width="3.75390625" style="0" customWidth="1"/>
    <col min="8" max="8" width="40.00390625" style="0" customWidth="1"/>
    <col min="10" max="10" width="11.375" style="0" customWidth="1"/>
    <col min="14" max="14" width="8.00390625" style="0" customWidth="1"/>
    <col min="15" max="15" width="39.125" style="0" customWidth="1"/>
    <col min="17" max="17" width="10.375" style="0" customWidth="1"/>
    <col min="19" max="19" width="5.625" style="0" customWidth="1"/>
    <col min="20" max="20" width="6.25390625" style="0" customWidth="1"/>
    <col min="21" max="21" width="43.625" style="0" customWidth="1"/>
    <col min="23" max="23" width="13.125" style="0" customWidth="1"/>
  </cols>
  <sheetData>
    <row r="1" ht="15.75">
      <c r="B1" s="356" t="s">
        <v>26</v>
      </c>
    </row>
    <row r="3" ht="12.75">
      <c r="B3" t="s">
        <v>30</v>
      </c>
    </row>
    <row r="4" spans="2:4" ht="12.75">
      <c r="B4" t="s">
        <v>154</v>
      </c>
      <c r="D4" s="368"/>
    </row>
    <row r="5" spans="1:4" ht="12.75">
      <c r="A5" s="375"/>
      <c r="B5" s="375"/>
      <c r="C5" s="375"/>
      <c r="D5" s="375"/>
    </row>
    <row r="6" spans="1:5" ht="12.75">
      <c r="A6" s="575"/>
      <c r="B6" s="575"/>
      <c r="C6" s="575"/>
      <c r="D6" s="576"/>
      <c r="E6" s="358"/>
    </row>
    <row r="7" spans="1:5" ht="12.75">
      <c r="A7" s="378"/>
      <c r="B7" s="378"/>
      <c r="C7" s="378"/>
      <c r="D7" s="360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54</v>
      </c>
      <c r="D9" s="579" t="s">
        <v>146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380" t="s">
        <v>80</v>
      </c>
      <c r="C11" s="365"/>
      <c r="D11" s="366">
        <v>-364547.54</v>
      </c>
      <c r="E11" s="367"/>
    </row>
    <row r="12" spans="1:5" ht="12.75">
      <c r="A12" s="368"/>
      <c r="B12" s="369" t="s">
        <v>5</v>
      </c>
      <c r="C12" s="380" t="s">
        <v>55</v>
      </c>
      <c r="D12" s="368">
        <v>7643.96</v>
      </c>
      <c r="E12" s="368"/>
    </row>
    <row r="13" spans="1:5" ht="12.75">
      <c r="A13" s="368"/>
      <c r="B13" s="369" t="s">
        <v>6</v>
      </c>
      <c r="C13" s="380" t="s">
        <v>55</v>
      </c>
      <c r="D13" s="368">
        <v>5799.3</v>
      </c>
      <c r="E13" s="368"/>
    </row>
    <row r="14" spans="1:5" ht="12.75">
      <c r="A14" s="368"/>
      <c r="B14" s="370" t="s">
        <v>28</v>
      </c>
      <c r="C14" s="380" t="s">
        <v>9</v>
      </c>
      <c r="D14" s="368">
        <v>237037.86</v>
      </c>
      <c r="E14" s="368"/>
    </row>
    <row r="15" spans="1:5" ht="15.75">
      <c r="A15" s="368"/>
      <c r="B15" s="372" t="s">
        <v>7</v>
      </c>
      <c r="C15" s="365"/>
      <c r="D15" s="368"/>
      <c r="E15" s="368"/>
    </row>
    <row r="16" spans="1:5" ht="12.75">
      <c r="A16" s="368">
        <v>1</v>
      </c>
      <c r="B16" s="368" t="s">
        <v>8</v>
      </c>
      <c r="C16" s="380" t="s">
        <v>9</v>
      </c>
      <c r="D16" s="368">
        <v>251098.41</v>
      </c>
      <c r="E16" s="368"/>
    </row>
    <row r="17" spans="1:5" ht="12.75">
      <c r="A17" s="368">
        <v>2</v>
      </c>
      <c r="B17" s="368" t="s">
        <v>104</v>
      </c>
      <c r="C17" s="365"/>
      <c r="D17" s="368">
        <f>3600+5550</f>
        <v>9150</v>
      </c>
      <c r="E17" s="368"/>
    </row>
    <row r="18" spans="1:5" ht="15.75">
      <c r="A18" s="368"/>
      <c r="B18" s="372" t="s">
        <v>10</v>
      </c>
      <c r="C18" s="365"/>
      <c r="D18" s="371">
        <f>D16+D17</f>
        <v>260248.41</v>
      </c>
      <c r="E18" s="368"/>
    </row>
    <row r="19" spans="1:5" ht="15.75">
      <c r="A19" s="368"/>
      <c r="B19" s="372"/>
      <c r="C19" s="365"/>
      <c r="D19" s="371"/>
      <c r="E19" s="368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19">
        <f>D22+D27</f>
        <v>116054.91</v>
      </c>
      <c r="E21" s="19">
        <f>E22</f>
        <v>23026.49712</v>
      </c>
    </row>
    <row r="22" spans="1:5" ht="12.75">
      <c r="A22" s="14">
        <v>1</v>
      </c>
      <c r="B22" s="20" t="s">
        <v>11</v>
      </c>
      <c r="C22" s="395" t="s">
        <v>9</v>
      </c>
      <c r="D22" s="19">
        <f>D23+D24+D25+D26</f>
        <v>113992.56</v>
      </c>
      <c r="E22" s="19">
        <f>E23+E24+E25+E26</f>
        <v>23026.49712</v>
      </c>
    </row>
    <row r="23" spans="1:5" ht="12.75">
      <c r="A23" s="14"/>
      <c r="B23" s="14" t="s">
        <v>12</v>
      </c>
      <c r="C23" s="14"/>
      <c r="D23" s="14">
        <v>14371.46</v>
      </c>
      <c r="E23" s="18">
        <f>D23*20.2%</f>
        <v>2903.0349199999996</v>
      </c>
    </row>
    <row r="24" spans="1:5" ht="12.75">
      <c r="A24" s="14"/>
      <c r="B24" s="14" t="s">
        <v>13</v>
      </c>
      <c r="C24" s="14"/>
      <c r="D24" s="396">
        <v>49389.99</v>
      </c>
      <c r="E24" s="18">
        <f>D24*20.2%</f>
        <v>9976.777979999999</v>
      </c>
    </row>
    <row r="25" spans="1:5" ht="12.75">
      <c r="A25" s="14"/>
      <c r="B25" s="14" t="s">
        <v>14</v>
      </c>
      <c r="C25" s="14"/>
      <c r="D25" s="14">
        <v>46814.58</v>
      </c>
      <c r="E25" s="18">
        <f>D25*20.2%</f>
        <v>9456.54516</v>
      </c>
    </row>
    <row r="26" spans="1:5" ht="12.75">
      <c r="A26" s="14"/>
      <c r="B26" s="14" t="s">
        <v>155</v>
      </c>
      <c r="C26" s="14"/>
      <c r="D26" s="14">
        <v>3416.53</v>
      </c>
      <c r="E26" s="18">
        <f>D26*20.2%</f>
        <v>690.13906</v>
      </c>
    </row>
    <row r="27" spans="1:5" ht="12.75">
      <c r="A27" s="14">
        <v>2</v>
      </c>
      <c r="B27" s="395" t="s">
        <v>16</v>
      </c>
      <c r="C27" s="14"/>
      <c r="D27" s="14">
        <v>2062.35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D29+D30+D31</f>
        <v>91161.45999999999</v>
      </c>
      <c r="E28" s="19">
        <f>E29</f>
        <v>10794.098259999999</v>
      </c>
    </row>
    <row r="29" spans="1:5" ht="12.75">
      <c r="A29" s="14">
        <v>1</v>
      </c>
      <c r="B29" s="22" t="s">
        <v>70</v>
      </c>
      <c r="C29" s="14"/>
      <c r="D29" s="22">
        <v>53436.13</v>
      </c>
      <c r="E29" s="18">
        <f>D29*20.2%</f>
        <v>10794.098259999999</v>
      </c>
    </row>
    <row r="30" spans="1:5" ht="12.75">
      <c r="A30" s="14">
        <v>2</v>
      </c>
      <c r="B30" s="22" t="s">
        <v>16</v>
      </c>
      <c r="C30" s="14"/>
      <c r="D30" s="22">
        <v>10083.61</v>
      </c>
      <c r="E30" s="14"/>
    </row>
    <row r="31" spans="1:5" ht="12.75">
      <c r="A31" s="14">
        <v>3</v>
      </c>
      <c r="B31" s="22" t="s">
        <v>107</v>
      </c>
      <c r="C31" s="14"/>
      <c r="D31" s="22">
        <v>27641.72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D33+D34+D35+D36+D37+D38+D39+D40</f>
        <v>33877.1605</v>
      </c>
      <c r="E32" s="19"/>
    </row>
    <row r="33" spans="1:5" ht="12.75">
      <c r="A33" s="14"/>
      <c r="B33" s="14" t="s">
        <v>18</v>
      </c>
      <c r="C33" s="14"/>
      <c r="D33" s="18">
        <f>D18*5%</f>
        <v>13012.4205</v>
      </c>
      <c r="E33" s="14"/>
    </row>
    <row r="34" spans="1:5" ht="12.75">
      <c r="A34" s="14"/>
      <c r="B34" s="14" t="s">
        <v>19</v>
      </c>
      <c r="C34" s="14"/>
      <c r="D34" s="14">
        <v>1170.3</v>
      </c>
      <c r="E34" s="14"/>
    </row>
    <row r="35" spans="1:5" ht="12.75">
      <c r="A35" s="14"/>
      <c r="B35" s="14" t="s">
        <v>20</v>
      </c>
      <c r="C35" s="14"/>
      <c r="D35" s="14">
        <v>3465.6</v>
      </c>
      <c r="E35" s="14"/>
    </row>
    <row r="36" spans="1:5" ht="12.75">
      <c r="A36" s="14"/>
      <c r="B36" s="14" t="s">
        <v>21</v>
      </c>
      <c r="C36" s="14"/>
      <c r="D36" s="18">
        <f>8016.46+1619.32</f>
        <v>9635.78</v>
      </c>
      <c r="E36" s="18"/>
    </row>
    <row r="37" spans="1:5" ht="12.75">
      <c r="A37" s="14"/>
      <c r="B37" s="395" t="s">
        <v>62</v>
      </c>
      <c r="C37" s="14"/>
      <c r="D37" s="14">
        <v>2284.72</v>
      </c>
      <c r="E37" s="14"/>
    </row>
    <row r="38" spans="1:5" ht="12.75">
      <c r="A38" s="14"/>
      <c r="B38" s="395" t="s">
        <v>93</v>
      </c>
      <c r="C38" s="14"/>
      <c r="D38" s="14">
        <v>0</v>
      </c>
      <c r="E38" s="14"/>
    </row>
    <row r="39" spans="1:5" ht="12.75">
      <c r="A39" s="14"/>
      <c r="B39" s="395" t="s">
        <v>29</v>
      </c>
      <c r="C39" s="14"/>
      <c r="D39" s="14">
        <f>390.44+38.95</f>
        <v>429.39</v>
      </c>
      <c r="E39" s="14"/>
    </row>
    <row r="40" spans="1:5" ht="12.75">
      <c r="A40" s="14"/>
      <c r="B40" s="14" t="s">
        <v>22</v>
      </c>
      <c r="C40" s="14"/>
      <c r="D40" s="14">
        <v>3878.95</v>
      </c>
      <c r="E40" s="14"/>
    </row>
    <row r="41" spans="1:5" ht="12.75">
      <c r="A41" s="14">
        <v>4</v>
      </c>
      <c r="B41" s="20" t="s">
        <v>199</v>
      </c>
      <c r="C41" s="14"/>
      <c r="D41" s="19">
        <f>43175.33+6482.6</f>
        <v>49657.93</v>
      </c>
      <c r="E41" s="19"/>
    </row>
    <row r="42" spans="1:5" ht="12.75">
      <c r="A42" s="14">
        <v>5</v>
      </c>
      <c r="B42" s="20" t="s">
        <v>24</v>
      </c>
      <c r="C42" s="14"/>
      <c r="D42" s="19">
        <f>D21+E21+D28+E28+D32+E32+D41+E41</f>
        <v>324572.05587999994</v>
      </c>
      <c r="E42" s="14"/>
    </row>
    <row r="43" spans="1:5" ht="12.75">
      <c r="A43" s="14">
        <v>6</v>
      </c>
      <c r="B43" s="14" t="s">
        <v>33</v>
      </c>
      <c r="C43" s="14"/>
      <c r="D43" s="19">
        <f>D18*6%</f>
        <v>15614.9046</v>
      </c>
      <c r="E43" s="14"/>
    </row>
    <row r="44" spans="1:5" ht="12.75">
      <c r="A44" s="14">
        <v>7</v>
      </c>
      <c r="B44" s="20" t="s">
        <v>25</v>
      </c>
      <c r="C44" s="14"/>
      <c r="D44" s="19">
        <f>D42+D43</f>
        <v>340186.96047999995</v>
      </c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>
        <v>8</v>
      </c>
      <c r="B46" s="20" t="s">
        <v>87</v>
      </c>
      <c r="C46" s="14"/>
      <c r="D46" s="19">
        <f>D18-D44</f>
        <v>-79938.55047999995</v>
      </c>
      <c r="E46" s="14"/>
    </row>
    <row r="47" spans="1:5" ht="12.75">
      <c r="A47" s="14">
        <v>9</v>
      </c>
      <c r="B47" s="20" t="s">
        <v>47</v>
      </c>
      <c r="C47" s="14"/>
      <c r="D47" s="19">
        <f>D11+D46</f>
        <v>-444486.0904799999</v>
      </c>
      <c r="E47" s="14"/>
    </row>
    <row r="48" spans="1:5" ht="12.75">
      <c r="A48" s="3"/>
      <c r="B48" s="426"/>
      <c r="C48" s="3"/>
      <c r="D48" s="429"/>
      <c r="E48" s="3"/>
    </row>
    <row r="49" spans="1:5" ht="12.75">
      <c r="A49" s="3"/>
      <c r="B49" s="426"/>
      <c r="C49" s="3"/>
      <c r="D49" s="429"/>
      <c r="E49" s="3"/>
    </row>
    <row r="50" spans="1:5" ht="12.75">
      <c r="A50" s="1"/>
      <c r="B50" s="1" t="s">
        <v>31</v>
      </c>
      <c r="C50" s="1"/>
      <c r="D50" s="1" t="s">
        <v>0</v>
      </c>
      <c r="E50" s="1"/>
    </row>
    <row r="51" spans="1:5" ht="12.75">
      <c r="A51" s="1"/>
      <c r="B51" s="1" t="s">
        <v>32</v>
      </c>
      <c r="C51" s="1"/>
      <c r="D51" s="1" t="s">
        <v>27</v>
      </c>
      <c r="E51" s="1"/>
    </row>
  </sheetData>
  <sheetProtection/>
  <mergeCells count="4">
    <mergeCell ref="A6:B6"/>
    <mergeCell ref="C6:D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zoomScalePageLayoutView="0" workbookViewId="0" topLeftCell="A21">
      <selection activeCell="D50" sqref="D50"/>
    </sheetView>
  </sheetViews>
  <sheetFormatPr defaultColWidth="9.00390625" defaultRowHeight="12.75"/>
  <cols>
    <col min="1" max="1" width="6.00390625" style="0" customWidth="1"/>
    <col min="2" max="2" width="40.75390625" style="0" customWidth="1"/>
    <col min="3" max="3" width="8.25390625" style="0" customWidth="1"/>
    <col min="4" max="4" width="12.125" style="0" customWidth="1"/>
    <col min="7" max="7" width="3.75390625" style="0" customWidth="1"/>
    <col min="8" max="8" width="41.375" style="0" customWidth="1"/>
    <col min="10" max="10" width="10.00390625" style="0" customWidth="1"/>
    <col min="14" max="14" width="5.75390625" style="0" customWidth="1"/>
    <col min="15" max="15" width="38.75390625" style="0" customWidth="1"/>
    <col min="17" max="17" width="10.00390625" style="0" bestFit="1" customWidth="1"/>
    <col min="19" max="19" width="5.75390625" style="0" customWidth="1"/>
    <col min="20" max="20" width="8.625" style="0" customWidth="1"/>
    <col min="21" max="21" width="43.125" style="0" customWidth="1"/>
    <col min="23" max="23" width="12.75390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156</v>
      </c>
    </row>
    <row r="5" spans="1:4" ht="12.75">
      <c r="A5" s="375"/>
      <c r="B5" s="375"/>
      <c r="C5" s="375"/>
      <c r="D5" s="375"/>
    </row>
    <row r="6" spans="1:5" ht="12.75">
      <c r="A6" s="576"/>
      <c r="B6" s="576"/>
      <c r="C6" s="576"/>
      <c r="D6" s="576"/>
      <c r="E6" s="358"/>
    </row>
    <row r="7" spans="1:5" ht="12.75">
      <c r="A7" s="359"/>
      <c r="B7" s="359"/>
      <c r="C7" s="378"/>
      <c r="D7" s="360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54</v>
      </c>
      <c r="D9" s="579" t="s">
        <v>157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422" t="s">
        <v>98</v>
      </c>
      <c r="C11" s="365"/>
      <c r="D11" s="366">
        <v>-438741.93</v>
      </c>
      <c r="E11" s="367"/>
    </row>
    <row r="12" spans="1:5" ht="12.75">
      <c r="A12" s="365"/>
      <c r="B12" s="422" t="s">
        <v>127</v>
      </c>
      <c r="C12" s="365"/>
      <c r="D12" s="366">
        <v>282482.6</v>
      </c>
      <c r="E12" s="367"/>
    </row>
    <row r="13" spans="1:5" ht="12.75">
      <c r="A13" s="368"/>
      <c r="B13" s="369" t="s">
        <v>5</v>
      </c>
      <c r="C13" s="380" t="s">
        <v>55</v>
      </c>
      <c r="D13" s="368">
        <v>8218.36</v>
      </c>
      <c r="E13" s="368"/>
    </row>
    <row r="14" spans="1:5" ht="12.75">
      <c r="A14" s="368"/>
      <c r="B14" s="369" t="s">
        <v>6</v>
      </c>
      <c r="C14" s="380" t="s">
        <v>55</v>
      </c>
      <c r="D14" s="374">
        <v>5705.6</v>
      </c>
      <c r="E14" s="368"/>
    </row>
    <row r="15" spans="1:5" ht="12.75">
      <c r="A15" s="368"/>
      <c r="B15" s="370" t="s">
        <v>28</v>
      </c>
      <c r="C15" s="380" t="s">
        <v>9</v>
      </c>
      <c r="D15" s="368">
        <v>399145.73</v>
      </c>
      <c r="E15" s="368"/>
    </row>
    <row r="16" spans="1:5" ht="15.75">
      <c r="A16" s="368"/>
      <c r="B16" s="372" t="s">
        <v>7</v>
      </c>
      <c r="C16" s="365"/>
      <c r="D16" s="368"/>
      <c r="E16" s="368"/>
    </row>
    <row r="17" spans="1:5" ht="12.75">
      <c r="A17" s="368">
        <v>1</v>
      </c>
      <c r="B17" s="368" t="s">
        <v>8</v>
      </c>
      <c r="C17" s="380" t="s">
        <v>9</v>
      </c>
      <c r="D17" s="374">
        <v>275506.28</v>
      </c>
      <c r="E17" s="368"/>
    </row>
    <row r="18" spans="1:5" ht="12.75">
      <c r="A18" s="368">
        <v>2</v>
      </c>
      <c r="B18" s="368" t="s">
        <v>88</v>
      </c>
      <c r="C18" s="365"/>
      <c r="D18" s="368">
        <v>108993</v>
      </c>
      <c r="E18" s="368"/>
    </row>
    <row r="19" spans="1:5" ht="12.75">
      <c r="A19" s="368">
        <v>3</v>
      </c>
      <c r="B19" s="368" t="s">
        <v>158</v>
      </c>
      <c r="C19" s="365"/>
      <c r="D19" s="368">
        <v>2400</v>
      </c>
      <c r="E19" s="368"/>
    </row>
    <row r="20" spans="1:5" ht="15.75">
      <c r="A20" s="368"/>
      <c r="B20" s="372" t="s">
        <v>10</v>
      </c>
      <c r="C20" s="365"/>
      <c r="D20" s="373">
        <f>D17+D18+D19</f>
        <v>386899.28</v>
      </c>
      <c r="E20" s="368"/>
    </row>
    <row r="21" spans="1:5" ht="15.75">
      <c r="A21" s="368"/>
      <c r="B21" s="372"/>
      <c r="C21" s="365"/>
      <c r="D21" s="371"/>
      <c r="E21" s="368"/>
    </row>
    <row r="22" spans="1:5" ht="15.75">
      <c r="A22" s="14"/>
      <c r="B22" s="17" t="s">
        <v>66</v>
      </c>
      <c r="C22" s="14"/>
      <c r="D22" s="20"/>
      <c r="E22" s="51" t="s">
        <v>15</v>
      </c>
    </row>
    <row r="23" spans="1:5" ht="12.75">
      <c r="A23" s="401" t="s">
        <v>67</v>
      </c>
      <c r="B23" s="16" t="s">
        <v>68</v>
      </c>
      <c r="C23" s="14"/>
      <c r="D23" s="19">
        <f>D24+D29</f>
        <v>157881.52</v>
      </c>
      <c r="E23" s="19">
        <f>E24+E29</f>
        <v>31482.429219999998</v>
      </c>
    </row>
    <row r="24" spans="1:5" ht="12.75">
      <c r="A24" s="14">
        <v>1</v>
      </c>
      <c r="B24" s="20" t="s">
        <v>11</v>
      </c>
      <c r="C24" s="395" t="s">
        <v>9</v>
      </c>
      <c r="D24" s="19">
        <f>D25+D26+D27+D28</f>
        <v>155853.61</v>
      </c>
      <c r="E24" s="19">
        <f>E25+E26+E27+E28</f>
        <v>31482.429219999998</v>
      </c>
    </row>
    <row r="25" spans="1:5" ht="12.75">
      <c r="A25" s="14"/>
      <c r="B25" s="14" t="s">
        <v>12</v>
      </c>
      <c r="C25" s="14"/>
      <c r="D25" s="14">
        <v>40671.35</v>
      </c>
      <c r="E25" s="18">
        <f>D25*20.2%</f>
        <v>8215.6127</v>
      </c>
    </row>
    <row r="26" spans="1:5" ht="12.75">
      <c r="A26" s="14"/>
      <c r="B26" s="14" t="s">
        <v>13</v>
      </c>
      <c r="C26" s="14"/>
      <c r="D26" s="396">
        <v>71560.42</v>
      </c>
      <c r="E26" s="18">
        <f>D26*20.2%</f>
        <v>14455.204839999999</v>
      </c>
    </row>
    <row r="27" spans="1:5" ht="12.75">
      <c r="A27" s="14"/>
      <c r="B27" s="14" t="s">
        <v>14</v>
      </c>
      <c r="C27" s="14"/>
      <c r="D27" s="14">
        <v>41861.4</v>
      </c>
      <c r="E27" s="18">
        <f>D27*20.2%</f>
        <v>8456.0028</v>
      </c>
    </row>
    <row r="28" spans="1:5" ht="12.75">
      <c r="A28" s="14"/>
      <c r="B28" s="14" t="s">
        <v>155</v>
      </c>
      <c r="C28" s="14"/>
      <c r="D28" s="14">
        <v>1760.44</v>
      </c>
      <c r="E28" s="18">
        <f>D28*20.2%</f>
        <v>355.60888</v>
      </c>
    </row>
    <row r="29" spans="1:5" ht="12.75">
      <c r="A29" s="14">
        <v>2</v>
      </c>
      <c r="B29" s="395" t="s">
        <v>16</v>
      </c>
      <c r="C29" s="14"/>
      <c r="D29" s="14">
        <v>2027.91</v>
      </c>
      <c r="E29" s="18"/>
    </row>
    <row r="30" spans="1:5" ht="12.75">
      <c r="A30" s="401" t="s">
        <v>71</v>
      </c>
      <c r="B30" s="402" t="s">
        <v>69</v>
      </c>
      <c r="C30" s="14"/>
      <c r="D30" s="20">
        <f>D31+D32</f>
        <v>63329.350000000006</v>
      </c>
      <c r="E30" s="19">
        <f>E31</f>
        <v>10613.87588</v>
      </c>
    </row>
    <row r="31" spans="1:5" ht="12.75">
      <c r="A31" s="14">
        <v>1</v>
      </c>
      <c r="B31" s="22" t="s">
        <v>70</v>
      </c>
      <c r="C31" s="14"/>
      <c r="D31" s="22">
        <v>52543.94</v>
      </c>
      <c r="E31" s="14">
        <f>D31*20.2%</f>
        <v>10613.87588</v>
      </c>
    </row>
    <row r="32" spans="1:5" ht="12.75">
      <c r="A32" s="14">
        <v>2</v>
      </c>
      <c r="B32" s="22" t="s">
        <v>16</v>
      </c>
      <c r="C32" s="14"/>
      <c r="D32" s="22">
        <v>10785.41</v>
      </c>
      <c r="E32" s="14"/>
    </row>
    <row r="33" spans="1:5" ht="12.75">
      <c r="A33" s="401" t="s">
        <v>72</v>
      </c>
      <c r="B33" s="20" t="s">
        <v>17</v>
      </c>
      <c r="C33" s="14"/>
      <c r="D33" s="19">
        <f>D34+D35+D36+D37+D38+D39+D40</f>
        <v>40901.77616</v>
      </c>
      <c r="E33" s="19"/>
    </row>
    <row r="34" spans="1:5" ht="12.75">
      <c r="A34" s="14"/>
      <c r="B34" s="14" t="s">
        <v>18</v>
      </c>
      <c r="C34" s="14"/>
      <c r="D34" s="18">
        <f>D20*4.7%</f>
        <v>18184.266160000003</v>
      </c>
      <c r="E34" s="14"/>
    </row>
    <row r="35" spans="1:5" ht="12.75">
      <c r="A35" s="14"/>
      <c r="B35" s="14" t="s">
        <v>19</v>
      </c>
      <c r="C35" s="14"/>
      <c r="D35" s="14">
        <v>1171.68</v>
      </c>
      <c r="E35" s="14"/>
    </row>
    <row r="36" spans="1:5" ht="12.75">
      <c r="A36" s="14"/>
      <c r="B36" s="14" t="s">
        <v>21</v>
      </c>
      <c r="C36" s="14"/>
      <c r="D36" s="18">
        <f>7882.61+1592.29</f>
        <v>9474.9</v>
      </c>
      <c r="E36" s="18"/>
    </row>
    <row r="37" spans="1:5" ht="12.75">
      <c r="A37" s="14"/>
      <c r="B37" s="22" t="s">
        <v>20</v>
      </c>
      <c r="C37" s="14"/>
      <c r="D37" s="14">
        <v>5776</v>
      </c>
      <c r="E37" s="14"/>
    </row>
    <row r="38" spans="1:5" ht="12.75">
      <c r="A38" s="14"/>
      <c r="B38" s="395" t="s">
        <v>62</v>
      </c>
      <c r="C38" s="14"/>
      <c r="D38" s="14">
        <v>2246.57</v>
      </c>
      <c r="E38" s="14"/>
    </row>
    <row r="39" spans="1:5" ht="12.75">
      <c r="A39" s="14"/>
      <c r="B39" s="395" t="s">
        <v>29</v>
      </c>
      <c r="C39" s="14"/>
      <c r="D39" s="14">
        <f>195.22+38.95</f>
        <v>234.17000000000002</v>
      </c>
      <c r="E39" s="14"/>
    </row>
    <row r="40" spans="1:5" ht="12.75">
      <c r="A40" s="14"/>
      <c r="B40" s="14" t="s">
        <v>22</v>
      </c>
      <c r="C40" s="14"/>
      <c r="D40" s="14">
        <v>3814.19</v>
      </c>
      <c r="E40" s="14"/>
    </row>
    <row r="41" spans="1:5" ht="12.75">
      <c r="A41" s="14">
        <v>4</v>
      </c>
      <c r="B41" s="20" t="s">
        <v>199</v>
      </c>
      <c r="C41" s="14"/>
      <c r="D41" s="19">
        <f>42454.46+6374.36</f>
        <v>48828.82</v>
      </c>
      <c r="E41" s="19"/>
    </row>
    <row r="42" spans="1:5" ht="12.75">
      <c r="A42" s="14">
        <v>5</v>
      </c>
      <c r="B42" s="20" t="s">
        <v>24</v>
      </c>
      <c r="C42" s="14"/>
      <c r="D42" s="19">
        <f>D23+E23+D30+E30+D33+E33+D41+E41</f>
        <v>353037.77126</v>
      </c>
      <c r="E42" s="14"/>
    </row>
    <row r="43" spans="1:5" ht="12.75">
      <c r="A43" s="14">
        <v>6</v>
      </c>
      <c r="B43" s="14" t="s">
        <v>33</v>
      </c>
      <c r="C43" s="14"/>
      <c r="D43" s="19">
        <f>D20*6%</f>
        <v>23213.9568</v>
      </c>
      <c r="E43" s="14"/>
    </row>
    <row r="44" spans="1:5" ht="12.75">
      <c r="A44" s="14">
        <v>7</v>
      </c>
      <c r="B44" s="20" t="s">
        <v>25</v>
      </c>
      <c r="C44" s="14"/>
      <c r="D44" s="19">
        <f>D42+D43</f>
        <v>376251.72806</v>
      </c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>
        <v>8</v>
      </c>
      <c r="B46" s="20" t="s">
        <v>87</v>
      </c>
      <c r="C46" s="14"/>
      <c r="D46" s="19">
        <f>(D17+D19)-D44</f>
        <v>-98345.44805999997</v>
      </c>
      <c r="E46" s="14"/>
    </row>
    <row r="47" spans="1:5" ht="12.75">
      <c r="A47" s="14">
        <v>9</v>
      </c>
      <c r="B47" s="20" t="s">
        <v>47</v>
      </c>
      <c r="C47" s="14"/>
      <c r="D47" s="19">
        <f>D11+D46</f>
        <v>-537087.37806</v>
      </c>
      <c r="E47" s="14"/>
    </row>
    <row r="48" spans="1:5" ht="12.75">
      <c r="A48" s="3"/>
      <c r="B48" s="426" t="s">
        <v>88</v>
      </c>
      <c r="C48" s="3"/>
      <c r="D48" s="429">
        <f>D12+D18-6539.58</f>
        <v>384936.01999999996</v>
      </c>
      <c r="E48" s="3"/>
    </row>
    <row r="49" spans="1:5" ht="12.75">
      <c r="A49" s="3"/>
      <c r="B49" s="426" t="s">
        <v>143</v>
      </c>
      <c r="C49" s="3"/>
      <c r="D49" s="429">
        <f>39496+127415.75-23000</f>
        <v>143911.75</v>
      </c>
      <c r="E49" s="3"/>
    </row>
    <row r="50" spans="1:5" ht="12.75">
      <c r="A50" s="3"/>
      <c r="B50" s="426" t="s">
        <v>129</v>
      </c>
      <c r="C50" s="3"/>
      <c r="D50" s="429">
        <f>D48-D49</f>
        <v>241024.26999999996</v>
      </c>
      <c r="E50" s="3"/>
    </row>
    <row r="51" spans="1:5" ht="12.75">
      <c r="A51" s="3"/>
      <c r="B51" s="426"/>
      <c r="C51" s="3"/>
      <c r="D51" s="429"/>
      <c r="E51" s="3"/>
    </row>
    <row r="52" spans="1:5" ht="12.75">
      <c r="A52" s="1"/>
      <c r="B52" s="1" t="s">
        <v>31</v>
      </c>
      <c r="C52" s="1"/>
      <c r="D52" s="1" t="s">
        <v>0</v>
      </c>
      <c r="E52" s="1"/>
    </row>
    <row r="53" spans="1:5" ht="12.75">
      <c r="A53" s="1"/>
      <c r="B53" s="1" t="s">
        <v>32</v>
      </c>
      <c r="C53" s="1"/>
      <c r="D53" s="1" t="s">
        <v>27</v>
      </c>
      <c r="E53" s="1"/>
    </row>
  </sheetData>
  <sheetProtection/>
  <mergeCells count="4">
    <mergeCell ref="A6:B6"/>
    <mergeCell ref="C6:D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zoomScalePageLayoutView="0" workbookViewId="0" topLeftCell="A19">
      <selection activeCell="A40" sqref="A40:F41"/>
    </sheetView>
  </sheetViews>
  <sheetFormatPr defaultColWidth="9.00390625" defaultRowHeight="12.75"/>
  <cols>
    <col min="1" max="1" width="5.75390625" style="0" customWidth="1"/>
    <col min="2" max="2" width="41.625" style="0" customWidth="1"/>
    <col min="3" max="3" width="7.25390625" style="0" customWidth="1"/>
    <col min="4" max="4" width="10.625" style="0" customWidth="1"/>
    <col min="5" max="5" width="10.875" style="0" customWidth="1"/>
    <col min="7" max="7" width="4.625" style="0" customWidth="1"/>
    <col min="8" max="8" width="40.00390625" style="0" customWidth="1"/>
    <col min="10" max="11" width="10.375" style="0" customWidth="1"/>
    <col min="13" max="13" width="6.125" style="0" customWidth="1"/>
    <col min="14" max="14" width="42.25390625" style="0" customWidth="1"/>
    <col min="16" max="16" width="11.00390625" style="0" customWidth="1"/>
    <col min="19" max="19" width="6.125" style="0" customWidth="1"/>
    <col min="20" max="20" width="41.00390625" style="0" customWidth="1"/>
    <col min="22" max="22" width="11.75390625" style="0" customWidth="1"/>
  </cols>
  <sheetData>
    <row r="1" spans="1:5" ht="15.75">
      <c r="A1" s="24"/>
      <c r="B1" s="25" t="s">
        <v>26</v>
      </c>
      <c r="C1" s="24"/>
      <c r="D1" s="24"/>
      <c r="E1" s="24"/>
    </row>
    <row r="2" spans="1:5" ht="12.75">
      <c r="A2" s="24"/>
      <c r="B2" s="24"/>
      <c r="C2" s="24"/>
      <c r="D2" s="24"/>
      <c r="E2" s="24"/>
    </row>
    <row r="3" spans="1:5" ht="12.75">
      <c r="A3" s="24"/>
      <c r="B3" s="24" t="s">
        <v>30</v>
      </c>
      <c r="C3" s="24"/>
      <c r="D3" s="24"/>
      <c r="E3" s="24"/>
    </row>
    <row r="4" spans="1:5" ht="12.75">
      <c r="A4" s="24"/>
      <c r="B4" s="449" t="s">
        <v>108</v>
      </c>
      <c r="C4" s="24"/>
      <c r="D4" s="24"/>
      <c r="E4" s="24"/>
    </row>
    <row r="5" spans="1:5" ht="12.75">
      <c r="A5" s="24"/>
      <c r="B5" s="24" t="s">
        <v>41</v>
      </c>
      <c r="C5" s="24"/>
      <c r="D5" s="24"/>
      <c r="E5" s="24"/>
    </row>
    <row r="6" spans="1:5" ht="12.75">
      <c r="A6" s="423"/>
      <c r="B6" s="423"/>
      <c r="C6" s="423"/>
      <c r="D6" s="27"/>
      <c r="E6" s="424"/>
    </row>
    <row r="7" spans="1:5" ht="15.75">
      <c r="A7" s="26"/>
      <c r="B7" s="28" t="s">
        <v>1</v>
      </c>
      <c r="C7" s="29" t="s">
        <v>3</v>
      </c>
      <c r="D7" s="484" t="s">
        <v>4</v>
      </c>
      <c r="E7" s="485"/>
    </row>
    <row r="8" spans="1:5" ht="15.75">
      <c r="A8" s="30"/>
      <c r="B8" s="28" t="s">
        <v>2</v>
      </c>
      <c r="C8" s="29" t="s">
        <v>35</v>
      </c>
      <c r="D8" s="486" t="s">
        <v>102</v>
      </c>
      <c r="E8" s="487"/>
    </row>
    <row r="9" spans="1:5" ht="12.75">
      <c r="A9" s="31"/>
      <c r="B9" s="31"/>
      <c r="C9" s="31"/>
      <c r="D9" s="32"/>
      <c r="E9" s="33"/>
    </row>
    <row r="10" spans="1:5" ht="12.75">
      <c r="A10" s="31"/>
      <c r="B10" s="406" t="s">
        <v>80</v>
      </c>
      <c r="C10" s="31"/>
      <c r="D10" s="32">
        <v>-776472.76</v>
      </c>
      <c r="E10" s="33"/>
    </row>
    <row r="11" spans="1:5" ht="12.75">
      <c r="A11" s="34"/>
      <c r="B11" s="35" t="s">
        <v>5</v>
      </c>
      <c r="C11" s="34" t="s">
        <v>36</v>
      </c>
      <c r="D11" s="34">
        <v>11857</v>
      </c>
      <c r="E11" s="34"/>
    </row>
    <row r="12" spans="1:5" ht="12.75">
      <c r="A12" s="34"/>
      <c r="B12" s="35" t="s">
        <v>6</v>
      </c>
      <c r="C12" s="34" t="s">
        <v>36</v>
      </c>
      <c r="D12" s="34">
        <v>8903.2</v>
      </c>
      <c r="E12" s="34"/>
    </row>
    <row r="13" spans="1:5" ht="12.75">
      <c r="A13" s="34"/>
      <c r="B13" s="36" t="s">
        <v>28</v>
      </c>
      <c r="C13" s="34" t="s">
        <v>9</v>
      </c>
      <c r="D13" s="34">
        <v>548879.76</v>
      </c>
      <c r="E13" s="34"/>
    </row>
    <row r="14" spans="1:5" ht="12.75">
      <c r="A14" s="34"/>
      <c r="B14" s="34"/>
      <c r="C14" s="34"/>
      <c r="D14" s="34"/>
      <c r="E14" s="34"/>
    </row>
    <row r="15" spans="1:5" ht="15.75">
      <c r="A15" s="34"/>
      <c r="B15" s="37" t="s">
        <v>7</v>
      </c>
      <c r="C15" s="34"/>
      <c r="D15" s="34"/>
      <c r="E15" s="34"/>
    </row>
    <row r="16" spans="1:5" ht="12.75">
      <c r="A16" s="34">
        <v>1</v>
      </c>
      <c r="B16" s="34" t="s">
        <v>8</v>
      </c>
      <c r="C16" s="34" t="s">
        <v>9</v>
      </c>
      <c r="D16" s="34">
        <v>512686.74</v>
      </c>
      <c r="E16" s="34"/>
    </row>
    <row r="17" spans="1:5" ht="12.75">
      <c r="A17" s="34">
        <v>2</v>
      </c>
      <c r="B17" s="34" t="s">
        <v>88</v>
      </c>
      <c r="C17" s="34"/>
      <c r="D17" s="34">
        <v>137394</v>
      </c>
      <c r="E17" s="34"/>
    </row>
    <row r="18" spans="1:5" ht="12.75">
      <c r="A18" s="34">
        <v>3</v>
      </c>
      <c r="B18" s="34" t="s">
        <v>109</v>
      </c>
      <c r="C18" s="34"/>
      <c r="D18" s="34">
        <v>4800</v>
      </c>
      <c r="E18" s="34"/>
    </row>
    <row r="19" spans="1:5" ht="15.75">
      <c r="A19" s="34"/>
      <c r="B19" s="37" t="s">
        <v>10</v>
      </c>
      <c r="C19" s="34"/>
      <c r="D19" s="38">
        <f>D16+D17+D18</f>
        <v>654880.74</v>
      </c>
      <c r="E19" s="34"/>
    </row>
    <row r="20" spans="1:5" ht="15.75">
      <c r="A20" s="34"/>
      <c r="B20" s="37"/>
      <c r="C20" s="34"/>
      <c r="D20" s="38"/>
      <c r="E20" s="34"/>
    </row>
    <row r="21" spans="1:5" ht="15.75">
      <c r="A21" s="14"/>
      <c r="B21" s="17" t="s">
        <v>66</v>
      </c>
      <c r="C21" s="14"/>
      <c r="D21" s="20"/>
      <c r="E21" s="14" t="s">
        <v>15</v>
      </c>
    </row>
    <row r="22" spans="1:5" ht="12.75">
      <c r="A22" s="401" t="s">
        <v>67</v>
      </c>
      <c r="B22" s="16" t="s">
        <v>68</v>
      </c>
      <c r="C22" s="14"/>
      <c r="D22" s="19">
        <f>D23+D27</f>
        <v>164788.66</v>
      </c>
      <c r="E22" s="19">
        <f>E23</f>
        <v>32647.23394</v>
      </c>
    </row>
    <row r="23" spans="1:5" ht="12.75">
      <c r="A23" s="14">
        <v>1</v>
      </c>
      <c r="B23" s="20" t="s">
        <v>11</v>
      </c>
      <c r="C23" s="395" t="s">
        <v>9</v>
      </c>
      <c r="D23" s="19">
        <f>D24+D25+D26</f>
        <v>161619.97</v>
      </c>
      <c r="E23" s="19">
        <f>E24+E25+E26</f>
        <v>32647.23394</v>
      </c>
    </row>
    <row r="24" spans="1:5" ht="12.75">
      <c r="A24" s="14"/>
      <c r="B24" s="14" t="s">
        <v>12</v>
      </c>
      <c r="C24" s="14"/>
      <c r="D24" s="14">
        <v>48013.68</v>
      </c>
      <c r="E24" s="18">
        <f>D24*20.2%</f>
        <v>9698.763359999999</v>
      </c>
    </row>
    <row r="25" spans="1:5" ht="12.75">
      <c r="A25" s="14"/>
      <c r="B25" s="14" t="s">
        <v>13</v>
      </c>
      <c r="C25" s="14"/>
      <c r="D25" s="396">
        <v>66936.44</v>
      </c>
      <c r="E25" s="18">
        <f>D25*20.2%</f>
        <v>13521.16088</v>
      </c>
    </row>
    <row r="26" spans="1:5" ht="12.75">
      <c r="A26" s="14"/>
      <c r="B26" s="14" t="s">
        <v>14</v>
      </c>
      <c r="C26" s="14"/>
      <c r="D26" s="14">
        <v>46669.85</v>
      </c>
      <c r="E26" s="18">
        <f>D26*20.2%</f>
        <v>9427.3097</v>
      </c>
    </row>
    <row r="27" spans="1:5" ht="12.75">
      <c r="A27" s="14">
        <v>2</v>
      </c>
      <c r="B27" s="395" t="s">
        <v>16</v>
      </c>
      <c r="C27" s="14"/>
      <c r="D27" s="14">
        <v>3168.69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92467.03</v>
      </c>
      <c r="E28" s="19">
        <f>E29</f>
        <v>16584.61208</v>
      </c>
    </row>
    <row r="29" spans="1:5" ht="12.75">
      <c r="A29" s="14">
        <v>1</v>
      </c>
      <c r="B29" s="22" t="s">
        <v>70</v>
      </c>
      <c r="C29" s="14"/>
      <c r="D29" s="22">
        <v>82102.04</v>
      </c>
      <c r="E29" s="21">
        <f>D29*20.2%</f>
        <v>16584.61208</v>
      </c>
    </row>
    <row r="30" spans="1:5" ht="12.75">
      <c r="A30" s="14">
        <v>2</v>
      </c>
      <c r="B30" s="22" t="s">
        <v>16</v>
      </c>
      <c r="C30" s="14"/>
      <c r="D30" s="21">
        <v>10364.99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</f>
        <v>62971.797</v>
      </c>
      <c r="E31" s="19"/>
    </row>
    <row r="32" spans="1:5" ht="12.75">
      <c r="A32" s="14"/>
      <c r="B32" s="14" t="s">
        <v>18</v>
      </c>
      <c r="C32" s="14"/>
      <c r="D32" s="18">
        <f>D19*5%</f>
        <v>32744.037</v>
      </c>
      <c r="E32" s="14"/>
    </row>
    <row r="33" spans="1:5" ht="12.75">
      <c r="A33" s="14"/>
      <c r="B33" s="14" t="s">
        <v>19</v>
      </c>
      <c r="C33" s="14"/>
      <c r="D33" s="14">
        <v>1828.06</v>
      </c>
      <c r="E33" s="14"/>
    </row>
    <row r="34" spans="1:5" ht="12.75">
      <c r="A34" s="14"/>
      <c r="B34" s="14" t="s">
        <v>21</v>
      </c>
      <c r="C34" s="14"/>
      <c r="D34" s="18">
        <f>12316.9+2488.01</f>
        <v>14804.91</v>
      </c>
      <c r="E34" s="18"/>
    </row>
    <row r="35" spans="1:5" ht="12.75">
      <c r="A35" s="14"/>
      <c r="B35" s="395" t="s">
        <v>61</v>
      </c>
      <c r="C35" s="14"/>
      <c r="D35" s="14">
        <v>3500</v>
      </c>
      <c r="E35" s="14"/>
    </row>
    <row r="36" spans="1:5" ht="12.75">
      <c r="A36" s="14"/>
      <c r="B36" s="22" t="s">
        <v>29</v>
      </c>
      <c r="C36" s="14"/>
      <c r="D36" s="14">
        <f>585.66+38.95</f>
        <v>624.61</v>
      </c>
      <c r="E36" s="14"/>
    </row>
    <row r="37" spans="1:5" ht="12.75">
      <c r="A37" s="14"/>
      <c r="B37" s="395" t="s">
        <v>62</v>
      </c>
      <c r="C37" s="14"/>
      <c r="D37" s="14">
        <v>3510.36</v>
      </c>
      <c r="E37" s="14"/>
    </row>
    <row r="38" spans="1:5" ht="12.75">
      <c r="A38" s="14"/>
      <c r="B38" s="14" t="s">
        <v>22</v>
      </c>
      <c r="C38" s="14"/>
      <c r="D38" s="14">
        <v>5959.82</v>
      </c>
      <c r="E38" s="14"/>
    </row>
    <row r="39" spans="1:5" ht="12.75">
      <c r="A39" s="14">
        <v>4</v>
      </c>
      <c r="B39" s="20" t="s">
        <v>199</v>
      </c>
      <c r="C39" s="14"/>
      <c r="D39" s="19">
        <v>76297.02</v>
      </c>
      <c r="E39" s="19"/>
    </row>
    <row r="40" spans="1:5" ht="12.75">
      <c r="A40" s="14">
        <v>5</v>
      </c>
      <c r="B40" s="20" t="s">
        <v>24</v>
      </c>
      <c r="C40" s="14"/>
      <c r="D40" s="19">
        <f>D22+E22+D28+E28+D31+E31+D39+E39</f>
        <v>445756.35302000004</v>
      </c>
      <c r="E40" s="14"/>
    </row>
    <row r="41" spans="1:5" ht="12.75">
      <c r="A41" s="14">
        <v>6</v>
      </c>
      <c r="B41" s="14" t="s">
        <v>33</v>
      </c>
      <c r="C41" s="14"/>
      <c r="D41" s="19">
        <f>D19*6%</f>
        <v>39292.844399999994</v>
      </c>
      <c r="E41" s="14"/>
    </row>
    <row r="42" spans="1:5" ht="12.75">
      <c r="A42" s="14">
        <v>7</v>
      </c>
      <c r="B42" s="20" t="s">
        <v>25</v>
      </c>
      <c r="C42" s="14"/>
      <c r="D42" s="19">
        <f>D40+D41</f>
        <v>485049.19742000004</v>
      </c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>
        <v>8</v>
      </c>
      <c r="B44" s="20" t="s">
        <v>87</v>
      </c>
      <c r="C44" s="14"/>
      <c r="D44" s="19">
        <f>(D16+D18)-D42</f>
        <v>32437.54257999995</v>
      </c>
      <c r="E44" s="14"/>
    </row>
    <row r="45" spans="1:5" ht="12.75">
      <c r="A45" s="14">
        <v>9</v>
      </c>
      <c r="B45" s="20" t="s">
        <v>47</v>
      </c>
      <c r="C45" s="14"/>
      <c r="D45" s="19">
        <f>D10+D44</f>
        <v>-744035.2174200001</v>
      </c>
      <c r="E45" s="14"/>
    </row>
    <row r="46" spans="1:5" ht="12.75">
      <c r="A46" s="3"/>
      <c r="B46" s="426" t="s">
        <v>88</v>
      </c>
      <c r="C46" s="3"/>
      <c r="D46" s="429">
        <f>D17</f>
        <v>137394</v>
      </c>
      <c r="E46" s="3"/>
    </row>
    <row r="47" spans="1:5" ht="12.75">
      <c r="A47" s="3"/>
      <c r="B47" s="426" t="s">
        <v>200</v>
      </c>
      <c r="C47" s="3"/>
      <c r="D47" s="429">
        <f>8243.64+619.91</f>
        <v>8863.55</v>
      </c>
      <c r="E47" s="3"/>
    </row>
    <row r="48" spans="1:5" ht="12.75">
      <c r="A48" s="3"/>
      <c r="B48" s="426" t="s">
        <v>201</v>
      </c>
      <c r="C48" s="3"/>
      <c r="D48" s="429">
        <f>D46-D47</f>
        <v>128530.45</v>
      </c>
      <c r="E48" s="3"/>
    </row>
    <row r="49" spans="1:5" ht="12.75">
      <c r="A49" s="3"/>
      <c r="B49" s="426"/>
      <c r="C49" s="3"/>
      <c r="D49" s="429"/>
      <c r="E49" s="3"/>
    </row>
    <row r="50" spans="1:5" ht="12.75">
      <c r="A50" s="1"/>
      <c r="B50" s="1" t="s">
        <v>31</v>
      </c>
      <c r="C50" s="1"/>
      <c r="D50" s="1" t="s">
        <v>0</v>
      </c>
      <c r="E50" s="1"/>
    </row>
    <row r="51" spans="1:5" ht="12.75">
      <c r="A51" s="1"/>
      <c r="B51" s="1" t="s">
        <v>32</v>
      </c>
      <c r="C51" s="1"/>
      <c r="D51" s="1" t="s">
        <v>27</v>
      </c>
      <c r="E51" s="1"/>
    </row>
  </sheetData>
  <sheetProtection/>
  <mergeCells count="2">
    <mergeCell ref="D7:E7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7">
      <selection activeCell="B30" sqref="B30"/>
    </sheetView>
  </sheetViews>
  <sheetFormatPr defaultColWidth="9.00390625" defaultRowHeight="12.75"/>
  <cols>
    <col min="1" max="1" width="5.875" style="0" customWidth="1"/>
    <col min="2" max="2" width="43.625" style="0" customWidth="1"/>
    <col min="3" max="3" width="8.375" style="0" customWidth="1"/>
    <col min="4" max="4" width="12.00390625" style="0" customWidth="1"/>
    <col min="7" max="7" width="3.75390625" style="0" customWidth="1"/>
    <col min="8" max="8" width="40.625" style="0" customWidth="1"/>
    <col min="10" max="10" width="10.125" style="0" customWidth="1"/>
    <col min="13" max="13" width="5.625" style="0" customWidth="1"/>
    <col min="15" max="15" width="39.125" style="0" customWidth="1"/>
    <col min="17" max="17" width="9.625" style="0" bestFit="1" customWidth="1"/>
    <col min="19" max="19" width="5.125" style="0" customWidth="1"/>
    <col min="21" max="21" width="39.625" style="0" customWidth="1"/>
    <col min="23" max="23" width="11.125" style="0" customWidth="1"/>
    <col min="24" max="24" width="11.25390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159</v>
      </c>
    </row>
    <row r="5" spans="1:4" ht="12.75">
      <c r="A5" s="375"/>
      <c r="B5" s="375"/>
      <c r="C5" s="375"/>
      <c r="D5" s="375"/>
    </row>
    <row r="6" spans="1:5" ht="12.75">
      <c r="A6" s="576"/>
      <c r="B6" s="576"/>
      <c r="C6" s="576"/>
      <c r="D6" s="576"/>
      <c r="E6" s="358"/>
    </row>
    <row r="7" spans="1:5" ht="12.75">
      <c r="A7" s="359"/>
      <c r="B7" s="359"/>
      <c r="C7" s="378"/>
      <c r="D7" s="360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54</v>
      </c>
      <c r="D9" s="579" t="s">
        <v>146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380" t="s">
        <v>80</v>
      </c>
      <c r="C11" s="365"/>
      <c r="D11" s="366">
        <v>-51887.03</v>
      </c>
      <c r="E11" s="367"/>
    </row>
    <row r="12" spans="1:5" ht="12.75">
      <c r="A12" s="368"/>
      <c r="B12" s="369" t="s">
        <v>5</v>
      </c>
      <c r="C12" s="380" t="s">
        <v>55</v>
      </c>
      <c r="D12" s="374">
        <v>7083</v>
      </c>
      <c r="E12" s="368"/>
    </row>
    <row r="13" spans="1:5" ht="12.75">
      <c r="A13" s="368"/>
      <c r="B13" s="369" t="s">
        <v>6</v>
      </c>
      <c r="C13" s="380" t="s">
        <v>55</v>
      </c>
      <c r="D13" s="374">
        <v>5084.02</v>
      </c>
      <c r="E13" s="368"/>
    </row>
    <row r="14" spans="1:5" ht="12.75">
      <c r="A14" s="368"/>
      <c r="B14" s="370" t="s">
        <v>28</v>
      </c>
      <c r="C14" s="380" t="s">
        <v>9</v>
      </c>
      <c r="D14" s="374">
        <v>210333.36</v>
      </c>
      <c r="E14" s="368"/>
    </row>
    <row r="15" spans="1:5" ht="15.75">
      <c r="A15" s="368"/>
      <c r="B15" s="372" t="s">
        <v>7</v>
      </c>
      <c r="C15" s="365"/>
      <c r="D15" s="368"/>
      <c r="E15" s="368"/>
    </row>
    <row r="16" spans="1:5" ht="12.75">
      <c r="A16" s="368">
        <v>1</v>
      </c>
      <c r="B16" s="368" t="s">
        <v>8</v>
      </c>
      <c r="C16" s="380" t="s">
        <v>9</v>
      </c>
      <c r="D16" s="374">
        <v>204759.48</v>
      </c>
      <c r="E16" s="368"/>
    </row>
    <row r="17" spans="1:5" ht="12.75">
      <c r="A17" s="368">
        <v>2</v>
      </c>
      <c r="B17" s="368" t="s">
        <v>104</v>
      </c>
      <c r="C17" s="365"/>
      <c r="D17" s="374">
        <v>4800</v>
      </c>
      <c r="E17" s="368"/>
    </row>
    <row r="18" spans="1:5" ht="15.75">
      <c r="A18" s="368"/>
      <c r="B18" s="372" t="s">
        <v>10</v>
      </c>
      <c r="C18" s="365"/>
      <c r="D18" s="373">
        <f>D16+D17</f>
        <v>209559.48</v>
      </c>
      <c r="E18" s="368"/>
    </row>
    <row r="19" spans="1:5" ht="15.75">
      <c r="A19" s="368"/>
      <c r="B19" s="372"/>
      <c r="C19" s="365"/>
      <c r="D19" s="371"/>
      <c r="E19" s="368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19">
        <f>D22+D27</f>
        <v>61679.11</v>
      </c>
      <c r="E21" s="19">
        <f>E22</f>
        <v>12091.56244</v>
      </c>
    </row>
    <row r="22" spans="1:5" ht="12.75">
      <c r="A22" s="14">
        <v>1</v>
      </c>
      <c r="B22" s="20" t="s">
        <v>11</v>
      </c>
      <c r="C22" s="395" t="s">
        <v>9</v>
      </c>
      <c r="D22" s="19">
        <f>D23+D24+D25+D26</f>
        <v>59859.22</v>
      </c>
      <c r="E22" s="19">
        <f>E23+E24+E25+E26</f>
        <v>12091.56244</v>
      </c>
    </row>
    <row r="23" spans="1:5" ht="12.75">
      <c r="A23" s="14"/>
      <c r="B23" s="14" t="s">
        <v>12</v>
      </c>
      <c r="C23" s="14"/>
      <c r="D23" s="14">
        <v>7645.51</v>
      </c>
      <c r="E23" s="18">
        <f>D23*20.2%</f>
        <v>1544.39302</v>
      </c>
    </row>
    <row r="24" spans="1:5" ht="12.75">
      <c r="A24" s="14"/>
      <c r="B24" s="14" t="s">
        <v>13</v>
      </c>
      <c r="C24" s="14"/>
      <c r="D24" s="396">
        <v>23720.19</v>
      </c>
      <c r="E24" s="18">
        <f>D24*20.2%</f>
        <v>4791.47838</v>
      </c>
    </row>
    <row r="25" spans="1:5" ht="12.75">
      <c r="A25" s="14"/>
      <c r="B25" s="14" t="s">
        <v>14</v>
      </c>
      <c r="C25" s="14"/>
      <c r="D25" s="14">
        <v>27635.27</v>
      </c>
      <c r="E25" s="18">
        <f>D25*20.2%</f>
        <v>5582.32454</v>
      </c>
    </row>
    <row r="26" spans="1:5" ht="12.75">
      <c r="A26" s="14"/>
      <c r="B26" s="14" t="s">
        <v>155</v>
      </c>
      <c r="C26" s="14"/>
      <c r="D26" s="14">
        <v>858.25</v>
      </c>
      <c r="E26" s="18">
        <f>D26*20.2%</f>
        <v>173.36649999999997</v>
      </c>
    </row>
    <row r="27" spans="1:5" ht="12.75" customHeight="1">
      <c r="A27" s="14">
        <v>2</v>
      </c>
      <c r="B27" s="395" t="s">
        <v>16</v>
      </c>
      <c r="C27" s="14"/>
      <c r="D27" s="14">
        <v>1819.89</v>
      </c>
      <c r="E27" s="18"/>
    </row>
    <row r="28" spans="1:5" ht="12.75" customHeight="1" hidden="1">
      <c r="A28" s="401" t="s">
        <v>71</v>
      </c>
      <c r="B28" s="402" t="s">
        <v>69</v>
      </c>
      <c r="C28" s="14"/>
      <c r="D28" s="20">
        <f>D30+D31</f>
        <v>56859.62</v>
      </c>
      <c r="E28" s="19">
        <f>E30</f>
        <v>9525.12416</v>
      </c>
    </row>
    <row r="29" spans="1:5" ht="13.5" customHeight="1">
      <c r="A29" s="401"/>
      <c r="B29" s="402" t="s">
        <v>69</v>
      </c>
      <c r="C29" s="14"/>
      <c r="D29" s="20">
        <f>D30+D31</f>
        <v>56859.62</v>
      </c>
      <c r="E29" s="19">
        <f>E30</f>
        <v>9525.12416</v>
      </c>
    </row>
    <row r="30" spans="1:5" ht="12.75">
      <c r="A30" s="14">
        <v>1</v>
      </c>
      <c r="B30" s="22" t="s">
        <v>203</v>
      </c>
      <c r="C30" s="14"/>
      <c r="D30" s="22">
        <v>47154.08</v>
      </c>
      <c r="E30" s="18">
        <f>D30*20.2%</f>
        <v>9525.12416</v>
      </c>
    </row>
    <row r="31" spans="1:5" ht="12.75">
      <c r="A31" s="14">
        <v>2</v>
      </c>
      <c r="B31" s="22" t="s">
        <v>16</v>
      </c>
      <c r="C31" s="14"/>
      <c r="D31" s="22">
        <v>9705.54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D33+D34+D35+D36+D37+D38+D39</f>
        <v>25588.134000000002</v>
      </c>
      <c r="E32" s="19"/>
    </row>
    <row r="33" spans="1:5" ht="12.75">
      <c r="A33" s="14"/>
      <c r="B33" s="14" t="s">
        <v>18</v>
      </c>
      <c r="C33" s="14"/>
      <c r="D33" s="18">
        <f>D18*5%</f>
        <v>10477.974000000002</v>
      </c>
      <c r="E33" s="14"/>
    </row>
    <row r="34" spans="1:5" ht="12.75">
      <c r="A34" s="14"/>
      <c r="B34" s="14" t="s">
        <v>19</v>
      </c>
      <c r="C34" s="14"/>
      <c r="D34" s="14">
        <v>738.74</v>
      </c>
      <c r="E34" s="14"/>
    </row>
    <row r="35" spans="1:5" ht="12.75">
      <c r="A35" s="14"/>
      <c r="B35" s="14" t="s">
        <v>21</v>
      </c>
      <c r="C35" s="14"/>
      <c r="D35" s="18">
        <f>7074.03+1428.95</f>
        <v>8502.98</v>
      </c>
      <c r="E35" s="18"/>
    </row>
    <row r="36" spans="1:5" ht="12.75">
      <c r="A36" s="14"/>
      <c r="B36" s="22" t="s">
        <v>20</v>
      </c>
      <c r="C36" s="14"/>
      <c r="D36" s="14">
        <v>0</v>
      </c>
      <c r="E36" s="14"/>
    </row>
    <row r="37" spans="1:5" ht="12.75">
      <c r="A37" s="14"/>
      <c r="B37" s="395" t="s">
        <v>62</v>
      </c>
      <c r="C37" s="14"/>
      <c r="D37" s="14">
        <v>2016.12</v>
      </c>
      <c r="E37" s="14"/>
    </row>
    <row r="38" spans="1:5" ht="12.75">
      <c r="A38" s="14"/>
      <c r="B38" s="395" t="s">
        <v>29</v>
      </c>
      <c r="C38" s="14"/>
      <c r="D38" s="14">
        <f>390.44+38.95</f>
        <v>429.39</v>
      </c>
      <c r="E38" s="14"/>
    </row>
    <row r="39" spans="1:5" ht="12.75">
      <c r="A39" s="14"/>
      <c r="B39" s="14" t="s">
        <v>22</v>
      </c>
      <c r="C39" s="14"/>
      <c r="D39" s="14">
        <v>3422.93</v>
      </c>
      <c r="E39" s="14"/>
    </row>
    <row r="40" spans="1:5" ht="12.75">
      <c r="A40" s="14">
        <v>4</v>
      </c>
      <c r="B40" s="20" t="s">
        <v>199</v>
      </c>
      <c r="C40" s="14"/>
      <c r="D40" s="19">
        <f>38099.57+5720.49</f>
        <v>43820.06</v>
      </c>
      <c r="E40" s="19"/>
    </row>
    <row r="41" spans="1:5" ht="12.75">
      <c r="A41" s="14">
        <v>5</v>
      </c>
      <c r="B41" s="20" t="s">
        <v>24</v>
      </c>
      <c r="C41" s="14"/>
      <c r="D41" s="19">
        <f>D21+E21+D28+E28+D32+E32+D40+E40</f>
        <v>209563.61059999999</v>
      </c>
      <c r="E41" s="14"/>
    </row>
    <row r="42" spans="1:5" ht="12.75">
      <c r="A42" s="14">
        <v>6</v>
      </c>
      <c r="B42" s="14" t="s">
        <v>33</v>
      </c>
      <c r="C42" s="14"/>
      <c r="D42" s="19">
        <f>D18*6%</f>
        <v>12573.568800000001</v>
      </c>
      <c r="E42" s="14"/>
    </row>
    <row r="43" spans="1:5" ht="12.75">
      <c r="A43" s="14">
        <v>7</v>
      </c>
      <c r="B43" s="20" t="s">
        <v>25</v>
      </c>
      <c r="C43" s="14"/>
      <c r="D43" s="19">
        <f>D41+D42</f>
        <v>222137.1794</v>
      </c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>
        <v>8</v>
      </c>
      <c r="B45" s="20" t="s">
        <v>87</v>
      </c>
      <c r="C45" s="14"/>
      <c r="D45" s="19">
        <f>D18-D43</f>
        <v>-12577.699399999983</v>
      </c>
      <c r="E45" s="14"/>
    </row>
    <row r="46" spans="1:5" ht="12.75">
      <c r="A46" s="14">
        <v>9</v>
      </c>
      <c r="B46" s="20" t="s">
        <v>47</v>
      </c>
      <c r="C46" s="14"/>
      <c r="D46" s="19">
        <f>D11+D45</f>
        <v>-64464.72939999998</v>
      </c>
      <c r="E46" s="14"/>
    </row>
    <row r="47" spans="1:5" ht="12.75">
      <c r="A47" s="3"/>
      <c r="B47" s="426"/>
      <c r="C47" s="3"/>
      <c r="D47" s="429"/>
      <c r="E47" s="3"/>
    </row>
    <row r="48" spans="1:5" ht="12.75">
      <c r="A48" s="3"/>
      <c r="B48" s="426"/>
      <c r="C48" s="3"/>
      <c r="D48" s="429"/>
      <c r="E48" s="3"/>
    </row>
    <row r="49" spans="1:5" ht="12.75">
      <c r="A49" s="1"/>
      <c r="B49" s="1" t="s">
        <v>31</v>
      </c>
      <c r="C49" s="1"/>
      <c r="D49" s="1" t="s">
        <v>0</v>
      </c>
      <c r="E49" s="1"/>
    </row>
    <row r="50" spans="1:5" ht="12.75">
      <c r="A50" s="1"/>
      <c r="B50" s="1" t="s">
        <v>32</v>
      </c>
      <c r="C50" s="1"/>
      <c r="D50" s="1" t="s">
        <v>27</v>
      </c>
      <c r="E50" s="1"/>
    </row>
    <row r="51" ht="12.75">
      <c r="B51" t="s">
        <v>56</v>
      </c>
    </row>
    <row r="52" ht="12.75">
      <c r="B52" t="s">
        <v>57</v>
      </c>
    </row>
  </sheetData>
  <sheetProtection/>
  <mergeCells count="4">
    <mergeCell ref="A6:B6"/>
    <mergeCell ref="C6:D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zoomScalePageLayoutView="0" workbookViewId="0" topLeftCell="A22">
      <selection activeCell="B40" sqref="B40"/>
    </sheetView>
  </sheetViews>
  <sheetFormatPr defaultColWidth="9.00390625" defaultRowHeight="12.75"/>
  <cols>
    <col min="1" max="1" width="6.75390625" style="0" customWidth="1"/>
    <col min="2" max="2" width="39.875" style="0" customWidth="1"/>
    <col min="3" max="3" width="8.375" style="0" customWidth="1"/>
    <col min="4" max="4" width="15.375" style="0" customWidth="1"/>
    <col min="7" max="7" width="3.75390625" style="0" customWidth="1"/>
    <col min="8" max="8" width="40.25390625" style="0" customWidth="1"/>
    <col min="10" max="10" width="10.125" style="0" customWidth="1"/>
    <col min="15" max="15" width="38.625" style="0" customWidth="1"/>
    <col min="17" max="17" width="9.625" style="0" bestFit="1" customWidth="1"/>
    <col min="19" max="19" width="5.25390625" style="0" customWidth="1"/>
    <col min="20" max="20" width="6.375" style="0" customWidth="1"/>
    <col min="21" max="21" width="42.75390625" style="0" customWidth="1"/>
    <col min="23" max="23" width="12.25390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160</v>
      </c>
    </row>
    <row r="5" spans="1:5" ht="12.75">
      <c r="A5" s="576"/>
      <c r="B5" s="576"/>
      <c r="C5" s="576"/>
      <c r="D5" s="576"/>
      <c r="E5" s="358"/>
    </row>
    <row r="6" spans="1:5" ht="15.75">
      <c r="A6" s="359"/>
      <c r="B6" s="362" t="s">
        <v>1</v>
      </c>
      <c r="C6" s="363" t="s">
        <v>3</v>
      </c>
      <c r="D6" s="577" t="s">
        <v>4</v>
      </c>
      <c r="E6" s="578"/>
    </row>
    <row r="7" spans="1:5" ht="15.75">
      <c r="A7" s="364"/>
      <c r="B7" s="362" t="s">
        <v>2</v>
      </c>
      <c r="C7" s="363" t="s">
        <v>54</v>
      </c>
      <c r="D7" s="579" t="s">
        <v>146</v>
      </c>
      <c r="E7" s="580"/>
    </row>
    <row r="8" spans="1:5" ht="12.75">
      <c r="A8" s="365"/>
      <c r="B8" s="365"/>
      <c r="C8" s="365"/>
      <c r="D8" s="366"/>
      <c r="E8" s="367"/>
    </row>
    <row r="9" spans="1:5" ht="12.75">
      <c r="A9" s="365"/>
      <c r="B9" s="422" t="s">
        <v>98</v>
      </c>
      <c r="C9" s="365"/>
      <c r="D9" s="366">
        <v>292956.18</v>
      </c>
      <c r="E9" s="367"/>
    </row>
    <row r="10" spans="1:5" ht="12.75">
      <c r="A10" s="365"/>
      <c r="B10" s="422" t="s">
        <v>127</v>
      </c>
      <c r="C10" s="365"/>
      <c r="D10" s="366">
        <v>183228.64</v>
      </c>
      <c r="E10" s="367"/>
    </row>
    <row r="11" spans="1:5" ht="12.75">
      <c r="A11" s="368"/>
      <c r="B11" s="369" t="s">
        <v>5</v>
      </c>
      <c r="C11" s="380" t="s">
        <v>55</v>
      </c>
      <c r="D11" s="374">
        <v>9546.8</v>
      </c>
      <c r="E11" s="368"/>
    </row>
    <row r="12" spans="1:5" ht="12.75">
      <c r="A12" s="368"/>
      <c r="B12" s="369" t="s">
        <v>6</v>
      </c>
      <c r="C12" s="380" t="s">
        <v>55</v>
      </c>
      <c r="D12" s="374">
        <v>5841.2</v>
      </c>
      <c r="E12" s="368"/>
    </row>
    <row r="13" spans="1:5" ht="12.75">
      <c r="A13" s="368"/>
      <c r="B13" s="370" t="s">
        <v>28</v>
      </c>
      <c r="C13" s="380" t="s">
        <v>9</v>
      </c>
      <c r="D13" s="374">
        <v>290690.06</v>
      </c>
      <c r="E13" s="368"/>
    </row>
    <row r="14" spans="1:5" ht="15.75">
      <c r="A14" s="368"/>
      <c r="B14" s="372" t="s">
        <v>7</v>
      </c>
      <c r="C14" s="365"/>
      <c r="D14" s="368"/>
      <c r="E14" s="368"/>
    </row>
    <row r="15" spans="1:5" ht="12.75">
      <c r="A15" s="368">
        <v>1</v>
      </c>
      <c r="B15" s="368" t="s">
        <v>8</v>
      </c>
      <c r="C15" s="380" t="s">
        <v>9</v>
      </c>
      <c r="D15" s="374">
        <v>201877.39</v>
      </c>
      <c r="E15" s="368"/>
    </row>
    <row r="16" spans="1:5" ht="12.75">
      <c r="A16" s="368">
        <v>2</v>
      </c>
      <c r="B16" s="368" t="s">
        <v>88</v>
      </c>
      <c r="C16" s="365"/>
      <c r="D16" s="374">
        <v>69299.5</v>
      </c>
      <c r="E16" s="368"/>
    </row>
    <row r="17" spans="1:5" ht="12.75">
      <c r="A17" s="368">
        <v>3</v>
      </c>
      <c r="B17" s="368" t="s">
        <v>104</v>
      </c>
      <c r="C17" s="365"/>
      <c r="D17" s="374">
        <v>12161.16</v>
      </c>
      <c r="E17" s="368"/>
    </row>
    <row r="18" spans="1:5" ht="15.75">
      <c r="A18" s="368"/>
      <c r="B18" s="372" t="s">
        <v>10</v>
      </c>
      <c r="C18" s="365"/>
      <c r="D18" s="373">
        <f>D15+D16+D17</f>
        <v>283338.05</v>
      </c>
      <c r="E18" s="368"/>
    </row>
    <row r="19" spans="1:5" ht="15.75">
      <c r="A19" s="368"/>
      <c r="B19" s="372"/>
      <c r="C19" s="365"/>
      <c r="D19" s="371"/>
      <c r="E19" s="368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20">
        <f>D22+D26</f>
        <v>33288.100000000006</v>
      </c>
      <c r="E21" s="19">
        <f>E22</f>
        <v>6304.25638</v>
      </c>
    </row>
    <row r="22" spans="1:5" ht="12.75">
      <c r="A22" s="14">
        <v>1</v>
      </c>
      <c r="B22" s="20" t="s">
        <v>11</v>
      </c>
      <c r="C22" s="395" t="s">
        <v>9</v>
      </c>
      <c r="D22" s="20">
        <f>D23+D25</f>
        <v>31209.190000000002</v>
      </c>
      <c r="E22" s="19">
        <f>E23+E25</f>
        <v>6304.25638</v>
      </c>
    </row>
    <row r="23" spans="1:5" ht="12.75">
      <c r="A23" s="14"/>
      <c r="B23" s="14" t="s">
        <v>12</v>
      </c>
      <c r="C23" s="14"/>
      <c r="D23" s="14">
        <v>29295.04</v>
      </c>
      <c r="E23" s="18">
        <f>D23*20.2%</f>
        <v>5917.59808</v>
      </c>
    </row>
    <row r="24" spans="1:5" ht="12.75">
      <c r="A24" s="14"/>
      <c r="B24" s="14" t="s">
        <v>13</v>
      </c>
      <c r="C24" s="14"/>
      <c r="D24" s="396"/>
      <c r="E24" s="18"/>
    </row>
    <row r="25" spans="1:5" ht="12.75">
      <c r="A25" s="14"/>
      <c r="B25" s="14" t="s">
        <v>155</v>
      </c>
      <c r="C25" s="14"/>
      <c r="D25" s="14">
        <v>1914.15</v>
      </c>
      <c r="E25" s="18">
        <f>D25*20.2%</f>
        <v>386.6583</v>
      </c>
    </row>
    <row r="26" spans="1:5" ht="12.75">
      <c r="A26" s="14">
        <v>2</v>
      </c>
      <c r="B26" s="395" t="s">
        <v>16</v>
      </c>
      <c r="C26" s="14"/>
      <c r="D26" s="14">
        <v>2078.91</v>
      </c>
      <c r="E26" s="18"/>
    </row>
    <row r="27" spans="1:5" ht="12.75">
      <c r="A27" s="401" t="s">
        <v>71</v>
      </c>
      <c r="B27" s="402" t="s">
        <v>69</v>
      </c>
      <c r="C27" s="14"/>
      <c r="D27" s="20">
        <f>D28+D29</f>
        <v>56707.450000000004</v>
      </c>
      <c r="E27" s="19">
        <f>E28</f>
        <v>10880.8108</v>
      </c>
    </row>
    <row r="28" spans="1:5" ht="12.75">
      <c r="A28" s="14">
        <v>1</v>
      </c>
      <c r="B28" s="22" t="s">
        <v>203</v>
      </c>
      <c r="C28" s="14"/>
      <c r="D28" s="22">
        <v>53865.4</v>
      </c>
      <c r="E28" s="18">
        <f>D28*20.2%</f>
        <v>10880.8108</v>
      </c>
    </row>
    <row r="29" spans="1:5" ht="12.75">
      <c r="A29" s="14">
        <v>2</v>
      </c>
      <c r="B29" s="22" t="s">
        <v>16</v>
      </c>
      <c r="C29" s="14"/>
      <c r="D29" s="22">
        <v>2842.05</v>
      </c>
      <c r="E29" s="14"/>
    </row>
    <row r="30" spans="1:5" ht="12.75">
      <c r="A30" s="401" t="s">
        <v>72</v>
      </c>
      <c r="B30" s="20" t="s">
        <v>17</v>
      </c>
      <c r="C30" s="14"/>
      <c r="D30" s="19">
        <f>D31+D32+D33+D34+D35+D36+D37+D38</f>
        <v>37811.9125</v>
      </c>
      <c r="E30" s="19"/>
    </row>
    <row r="31" spans="1:5" ht="12.75">
      <c r="A31" s="14"/>
      <c r="B31" s="14" t="s">
        <v>18</v>
      </c>
      <c r="C31" s="14"/>
      <c r="D31" s="18">
        <f>D18*5%</f>
        <v>14166.9025</v>
      </c>
      <c r="E31" s="14"/>
    </row>
    <row r="32" spans="1:5" ht="12.75">
      <c r="A32" s="14"/>
      <c r="B32" s="14" t="s">
        <v>19</v>
      </c>
      <c r="C32" s="14"/>
      <c r="D32" s="14">
        <v>1433.71</v>
      </c>
      <c r="E32" s="14"/>
    </row>
    <row r="33" spans="1:5" ht="12.75">
      <c r="A33" s="14"/>
      <c r="B33" s="14" t="s">
        <v>21</v>
      </c>
      <c r="C33" s="14"/>
      <c r="D33" s="18">
        <v>9713.19</v>
      </c>
      <c r="E33" s="18"/>
    </row>
    <row r="34" spans="1:5" ht="12.75">
      <c r="A34" s="14"/>
      <c r="B34" s="395" t="s">
        <v>29</v>
      </c>
      <c r="C34" s="14"/>
      <c r="D34" s="14">
        <f>976.1+38.95</f>
        <v>1015.0500000000001</v>
      </c>
      <c r="E34" s="14"/>
    </row>
    <row r="35" spans="1:5" ht="12.75">
      <c r="A35" s="14"/>
      <c r="B35" s="395" t="s">
        <v>62</v>
      </c>
      <c r="C35" s="14"/>
      <c r="D35" s="14">
        <v>2303.07</v>
      </c>
      <c r="E35" s="14"/>
    </row>
    <row r="36" spans="1:5" ht="12.75">
      <c r="A36" s="14"/>
      <c r="B36" s="395" t="s">
        <v>61</v>
      </c>
      <c r="C36" s="14"/>
      <c r="D36" s="14">
        <v>2594.48</v>
      </c>
      <c r="E36" s="14"/>
    </row>
    <row r="37" spans="1:5" ht="12.75">
      <c r="A37" s="14"/>
      <c r="B37" s="22" t="s">
        <v>34</v>
      </c>
      <c r="C37" s="14"/>
      <c r="D37" s="14">
        <v>2675.4</v>
      </c>
      <c r="E37" s="14"/>
    </row>
    <row r="38" spans="1:5" ht="12.75">
      <c r="A38" s="14"/>
      <c r="B38" s="14" t="s">
        <v>22</v>
      </c>
      <c r="C38" s="14"/>
      <c r="D38" s="14">
        <v>3910.11</v>
      </c>
      <c r="E38" s="14"/>
    </row>
    <row r="39" spans="1:5" ht="12.75">
      <c r="A39" s="14">
        <v>4</v>
      </c>
      <c r="B39" s="20" t="s">
        <v>199</v>
      </c>
      <c r="C39" s="14"/>
      <c r="D39" s="19">
        <f>43522.16+6534.68</f>
        <v>50056.840000000004</v>
      </c>
      <c r="E39" s="19"/>
    </row>
    <row r="40" spans="1:5" ht="12.75">
      <c r="A40" s="14">
        <v>5</v>
      </c>
      <c r="B40" s="20" t="s">
        <v>24</v>
      </c>
      <c r="C40" s="14"/>
      <c r="D40" s="19">
        <f>D21+E21+D27+E27+D30+E30+D39+E39</f>
        <v>195049.36968</v>
      </c>
      <c r="E40" s="14"/>
    </row>
    <row r="41" spans="1:5" ht="12.75">
      <c r="A41" s="14">
        <v>6</v>
      </c>
      <c r="B41" s="14" t="s">
        <v>33</v>
      </c>
      <c r="C41" s="14"/>
      <c r="D41" s="19">
        <f>D18*6%</f>
        <v>17000.283</v>
      </c>
      <c r="E41" s="14"/>
    </row>
    <row r="42" spans="1:5" ht="12.75">
      <c r="A42" s="14">
        <v>7</v>
      </c>
      <c r="B42" s="20" t="s">
        <v>25</v>
      </c>
      <c r="C42" s="14"/>
      <c r="D42" s="19">
        <f>D40+D41</f>
        <v>212049.65268</v>
      </c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>
        <v>8</v>
      </c>
      <c r="B44" s="20" t="s">
        <v>87</v>
      </c>
      <c r="C44" s="14"/>
      <c r="D44" s="19">
        <f>(D15+D17)-D42</f>
        <v>1988.8973200000182</v>
      </c>
      <c r="E44" s="14"/>
    </row>
    <row r="45" spans="1:5" ht="12.75">
      <c r="A45" s="14">
        <v>9</v>
      </c>
      <c r="B45" s="20" t="s">
        <v>47</v>
      </c>
      <c r="C45" s="14"/>
      <c r="D45" s="19">
        <f>D9+D44</f>
        <v>294945.07732000004</v>
      </c>
      <c r="E45" s="14"/>
    </row>
    <row r="46" spans="1:5" ht="12.75">
      <c r="A46" s="3"/>
      <c r="B46" s="426" t="s">
        <v>88</v>
      </c>
      <c r="C46" s="3"/>
      <c r="D46" s="429">
        <f>D10+D16</f>
        <v>252528.14</v>
      </c>
      <c r="E46" s="3"/>
    </row>
    <row r="47" spans="1:5" ht="12.75">
      <c r="A47" s="3"/>
      <c r="B47" s="426" t="s">
        <v>143</v>
      </c>
      <c r="C47" s="3"/>
      <c r="D47" s="429">
        <v>677813.1</v>
      </c>
      <c r="E47" s="3"/>
    </row>
    <row r="48" spans="1:5" ht="12.75">
      <c r="A48" s="3"/>
      <c r="B48" s="426" t="s">
        <v>129</v>
      </c>
      <c r="C48" s="3"/>
      <c r="D48" s="429">
        <f>D46-D47</f>
        <v>-425284.95999999996</v>
      </c>
      <c r="E48" s="3"/>
    </row>
    <row r="49" spans="1:5" ht="12.75">
      <c r="A49" s="3"/>
      <c r="B49" s="426"/>
      <c r="C49" s="3"/>
      <c r="D49" s="429"/>
      <c r="E49" s="3"/>
    </row>
    <row r="50" spans="1:5" ht="12.75">
      <c r="A50" s="1"/>
      <c r="B50" s="1" t="s">
        <v>31</v>
      </c>
      <c r="C50" s="1"/>
      <c r="D50" s="1" t="s">
        <v>0</v>
      </c>
      <c r="E50" s="1"/>
    </row>
    <row r="51" spans="1:5" ht="12.75">
      <c r="A51" s="1"/>
      <c r="B51" s="1" t="s">
        <v>32</v>
      </c>
      <c r="C51" s="1"/>
      <c r="D51" s="1" t="s">
        <v>27</v>
      </c>
      <c r="E51" s="1"/>
    </row>
  </sheetData>
  <sheetProtection/>
  <mergeCells count="4">
    <mergeCell ref="A5:B5"/>
    <mergeCell ref="C5:D5"/>
    <mergeCell ref="D6:E6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workbookViewId="0" topLeftCell="A21">
      <selection activeCell="D47" sqref="D47"/>
    </sheetView>
  </sheetViews>
  <sheetFormatPr defaultColWidth="9.00390625" defaultRowHeight="12.75"/>
  <cols>
    <col min="1" max="1" width="5.25390625" style="0" customWidth="1"/>
    <col min="2" max="2" width="41.00390625" style="0" customWidth="1"/>
    <col min="3" max="3" width="9.25390625" style="0" customWidth="1"/>
    <col min="4" max="4" width="13.25390625" style="0" customWidth="1"/>
    <col min="7" max="7" width="3.75390625" style="0" customWidth="1"/>
    <col min="8" max="8" width="42.00390625" style="0" customWidth="1"/>
    <col min="10" max="10" width="10.25390625" style="0" customWidth="1"/>
    <col min="13" max="13" width="4.125" style="0" customWidth="1"/>
    <col min="15" max="15" width="36.75390625" style="0" customWidth="1"/>
    <col min="17" max="17" width="9.75390625" style="0" customWidth="1"/>
    <col min="20" max="20" width="7.75390625" style="0" customWidth="1"/>
    <col min="21" max="21" width="44.375" style="0" customWidth="1"/>
    <col min="23" max="23" width="11.37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161</v>
      </c>
    </row>
    <row r="5" spans="1:5" ht="12.75">
      <c r="A5" s="575"/>
      <c r="B5" s="575"/>
      <c r="C5" s="575"/>
      <c r="D5" s="576"/>
      <c r="E5" s="358"/>
    </row>
    <row r="6" spans="1:5" ht="12.75">
      <c r="A6" s="378"/>
      <c r="B6" s="378"/>
      <c r="C6" s="378"/>
      <c r="D6" s="360"/>
      <c r="E6" s="361"/>
    </row>
    <row r="7" spans="1:5" ht="15.75">
      <c r="A7" s="359"/>
      <c r="B7" s="362" t="s">
        <v>1</v>
      </c>
      <c r="C7" s="363" t="s">
        <v>3</v>
      </c>
      <c r="D7" s="577" t="s">
        <v>4</v>
      </c>
      <c r="E7" s="578"/>
    </row>
    <row r="8" spans="1:5" ht="15.75">
      <c r="A8" s="364"/>
      <c r="B8" s="362" t="s">
        <v>2</v>
      </c>
      <c r="C8" s="363" t="s">
        <v>54</v>
      </c>
      <c r="D8" s="579" t="s">
        <v>162</v>
      </c>
      <c r="E8" s="580"/>
    </row>
    <row r="9" spans="1:5" ht="12.75">
      <c r="A9" s="365"/>
      <c r="B9" s="365"/>
      <c r="C9" s="365"/>
      <c r="D9" s="366"/>
      <c r="E9" s="367"/>
    </row>
    <row r="10" spans="1:5" ht="12.75">
      <c r="A10" s="365"/>
      <c r="B10" s="422" t="s">
        <v>98</v>
      </c>
      <c r="C10" s="365"/>
      <c r="D10" s="366">
        <v>273752.57</v>
      </c>
      <c r="E10" s="367"/>
    </row>
    <row r="11" spans="1:5" ht="12.75">
      <c r="A11" s="365"/>
      <c r="B11" s="422" t="s">
        <v>127</v>
      </c>
      <c r="C11" s="365"/>
      <c r="D11" s="366">
        <v>129717.79</v>
      </c>
      <c r="E11" s="367"/>
    </row>
    <row r="12" spans="1:5" ht="12.75">
      <c r="A12" s="368"/>
      <c r="B12" s="369" t="s">
        <v>5</v>
      </c>
      <c r="C12" s="380" t="s">
        <v>55</v>
      </c>
      <c r="D12" s="374">
        <v>9568.5</v>
      </c>
      <c r="E12" s="368"/>
    </row>
    <row r="13" spans="1:5" ht="12.75">
      <c r="A13" s="368"/>
      <c r="B13" s="369" t="s">
        <v>6</v>
      </c>
      <c r="C13" s="380" t="s">
        <v>55</v>
      </c>
      <c r="D13" s="374">
        <v>5924.6</v>
      </c>
      <c r="E13" s="368"/>
    </row>
    <row r="14" spans="1:5" ht="12.75">
      <c r="A14" s="368"/>
      <c r="B14" s="370" t="s">
        <v>28</v>
      </c>
      <c r="C14" s="380" t="s">
        <v>9</v>
      </c>
      <c r="D14" s="374">
        <v>294620.28</v>
      </c>
      <c r="E14" s="368"/>
    </row>
    <row r="15" spans="1:5" ht="15.75">
      <c r="A15" s="368"/>
      <c r="B15" s="372" t="s">
        <v>7</v>
      </c>
      <c r="C15" s="365"/>
      <c r="D15" s="374"/>
      <c r="E15" s="368"/>
    </row>
    <row r="16" spans="1:5" ht="12.75">
      <c r="A16" s="368">
        <v>1</v>
      </c>
      <c r="B16" s="368" t="s">
        <v>8</v>
      </c>
      <c r="C16" s="380" t="s">
        <v>9</v>
      </c>
      <c r="D16" s="374">
        <v>208197.1</v>
      </c>
      <c r="E16" s="368"/>
    </row>
    <row r="17" spans="1:5" ht="12.75">
      <c r="A17" s="368">
        <v>2</v>
      </c>
      <c r="B17" s="368" t="s">
        <v>163</v>
      </c>
      <c r="C17" s="369" t="s">
        <v>9</v>
      </c>
      <c r="D17" s="368">
        <v>156000</v>
      </c>
      <c r="E17" s="368"/>
    </row>
    <row r="18" spans="1:5" ht="12.75">
      <c r="A18" s="368">
        <v>3</v>
      </c>
      <c r="B18" s="368" t="s">
        <v>88</v>
      </c>
      <c r="C18" s="365"/>
      <c r="D18" s="368">
        <v>75982</v>
      </c>
      <c r="E18" s="368"/>
    </row>
    <row r="19" spans="1:5" ht="15.75">
      <c r="A19" s="368"/>
      <c r="B19" s="372" t="s">
        <v>10</v>
      </c>
      <c r="C19" s="365"/>
      <c r="D19" s="373">
        <f>D16+D17+D18</f>
        <v>440179.1</v>
      </c>
      <c r="E19" s="368"/>
    </row>
    <row r="20" spans="1:5" ht="15.75">
      <c r="A20" s="368"/>
      <c r="B20" s="372"/>
      <c r="C20" s="365"/>
      <c r="D20" s="371"/>
      <c r="E20" s="36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20">
        <f>D23+D27</f>
        <v>46984.09</v>
      </c>
      <c r="E22" s="19">
        <f>E23</f>
        <v>9064.848979999999</v>
      </c>
    </row>
    <row r="23" spans="1:5" ht="12.75">
      <c r="A23" s="14">
        <v>1</v>
      </c>
      <c r="B23" s="20" t="s">
        <v>11</v>
      </c>
      <c r="C23" s="395" t="s">
        <v>9</v>
      </c>
      <c r="D23" s="20">
        <f>D24+D26</f>
        <v>44875.49</v>
      </c>
      <c r="E23" s="19">
        <f>E24+E26</f>
        <v>9064.848979999999</v>
      </c>
    </row>
    <row r="24" spans="1:5" ht="12.75">
      <c r="A24" s="14"/>
      <c r="B24" s="14" t="s">
        <v>12</v>
      </c>
      <c r="C24" s="14"/>
      <c r="D24" s="14">
        <v>40208.5</v>
      </c>
      <c r="E24" s="18">
        <f>D24*20.2%</f>
        <v>8122.116999999999</v>
      </c>
    </row>
    <row r="25" spans="1:5" ht="12.75">
      <c r="A25" s="14"/>
      <c r="B25" s="14" t="s">
        <v>13</v>
      </c>
      <c r="C25" s="14"/>
      <c r="D25" s="396"/>
      <c r="E25" s="18"/>
    </row>
    <row r="26" spans="1:5" ht="12.75">
      <c r="A26" s="14"/>
      <c r="B26" s="22" t="s">
        <v>155</v>
      </c>
      <c r="C26" s="14"/>
      <c r="D26" s="14">
        <v>4666.99</v>
      </c>
      <c r="E26" s="18">
        <f>D26*20.2%</f>
        <v>942.7319799999999</v>
      </c>
    </row>
    <row r="27" spans="1:5" ht="12.75">
      <c r="A27" s="14">
        <v>2</v>
      </c>
      <c r="B27" s="395" t="s">
        <v>16</v>
      </c>
      <c r="C27" s="14"/>
      <c r="D27" s="14">
        <v>2108.6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73454.93000000001</v>
      </c>
      <c r="E28" s="19">
        <f>E29</f>
        <v>11036.16496</v>
      </c>
    </row>
    <row r="29" spans="1:5" ht="12.75">
      <c r="A29" s="14">
        <v>1</v>
      </c>
      <c r="B29" s="22" t="s">
        <v>203</v>
      </c>
      <c r="C29" s="14"/>
      <c r="D29" s="22">
        <v>54634.48</v>
      </c>
      <c r="E29" s="18">
        <f>D29*20.2%</f>
        <v>11036.16496</v>
      </c>
    </row>
    <row r="30" spans="1:5" ht="12.75">
      <c r="A30" s="14">
        <v>2</v>
      </c>
      <c r="B30" s="22" t="s">
        <v>16</v>
      </c>
      <c r="C30" s="14"/>
      <c r="D30" s="22">
        <v>18820.45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</f>
        <v>40510.715</v>
      </c>
      <c r="E31" s="19"/>
    </row>
    <row r="32" spans="1:5" ht="12.75">
      <c r="A32" s="14"/>
      <c r="B32" s="14" t="s">
        <v>18</v>
      </c>
      <c r="C32" s="14"/>
      <c r="D32" s="18">
        <f>D19*5%</f>
        <v>22008.955</v>
      </c>
      <c r="E32" s="14"/>
    </row>
    <row r="33" spans="1:5" ht="12.75">
      <c r="A33" s="14"/>
      <c r="B33" s="14" t="s">
        <v>19</v>
      </c>
      <c r="C33" s="14"/>
      <c r="D33" s="14">
        <v>1343.61</v>
      </c>
      <c r="E33" s="14"/>
    </row>
    <row r="34" spans="1:5" ht="12.75">
      <c r="A34" s="14"/>
      <c r="B34" s="14" t="s">
        <v>21</v>
      </c>
      <c r="C34" s="14"/>
      <c r="D34" s="18">
        <f>8196.23+1655.64</f>
        <v>9851.869999999999</v>
      </c>
      <c r="E34" s="18"/>
    </row>
    <row r="35" spans="1:5" ht="12.75">
      <c r="A35" s="14"/>
      <c r="B35" s="395" t="s">
        <v>62</v>
      </c>
      <c r="C35" s="14"/>
      <c r="D35" s="14">
        <v>2335.95</v>
      </c>
      <c r="E35" s="14"/>
    </row>
    <row r="36" spans="1:5" ht="12.75">
      <c r="A36" s="14"/>
      <c r="B36" s="22" t="s">
        <v>105</v>
      </c>
      <c r="C36" s="14"/>
      <c r="D36" s="14">
        <v>575</v>
      </c>
      <c r="E36" s="14"/>
    </row>
    <row r="37" spans="1:5" ht="12.75">
      <c r="A37" s="14"/>
      <c r="B37" s="395" t="s">
        <v>29</v>
      </c>
      <c r="C37" s="14"/>
      <c r="D37" s="14">
        <f>390.44+38.95</f>
        <v>429.39</v>
      </c>
      <c r="E37" s="14"/>
    </row>
    <row r="38" spans="1:5" ht="12.75">
      <c r="A38" s="14"/>
      <c r="B38" s="14" t="s">
        <v>22</v>
      </c>
      <c r="C38" s="14"/>
      <c r="D38" s="14">
        <v>3965.94</v>
      </c>
      <c r="E38" s="14"/>
    </row>
    <row r="39" spans="1:5" ht="12.75">
      <c r="A39" s="14">
        <v>4</v>
      </c>
      <c r="B39" s="20" t="s">
        <v>199</v>
      </c>
      <c r="C39" s="14"/>
      <c r="D39" s="19">
        <f>44143.57+6627.98</f>
        <v>50771.55</v>
      </c>
      <c r="E39" s="19"/>
    </row>
    <row r="40" spans="1:5" ht="12.75">
      <c r="A40" s="14">
        <v>5</v>
      </c>
      <c r="B40" s="20" t="s">
        <v>24</v>
      </c>
      <c r="C40" s="14"/>
      <c r="D40" s="19">
        <f>D22+E22+D28+E28+D31+E31+D39+E39</f>
        <v>231822.29894</v>
      </c>
      <c r="E40" s="14"/>
    </row>
    <row r="41" spans="1:5" ht="12.75">
      <c r="A41" s="14">
        <v>6</v>
      </c>
      <c r="B41" s="14" t="s">
        <v>33</v>
      </c>
      <c r="C41" s="14"/>
      <c r="D41" s="19">
        <f>D19*6%</f>
        <v>26410.746</v>
      </c>
      <c r="E41" s="14"/>
    </row>
    <row r="42" spans="1:5" ht="12.75">
      <c r="A42" s="14">
        <v>7</v>
      </c>
      <c r="B42" s="20" t="s">
        <v>25</v>
      </c>
      <c r="C42" s="14"/>
      <c r="D42" s="19">
        <f>D40+D41</f>
        <v>258233.04494</v>
      </c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>
        <v>8</v>
      </c>
      <c r="B44" s="20" t="s">
        <v>87</v>
      </c>
      <c r="C44" s="14"/>
      <c r="D44" s="19">
        <f>(D16+0)-D42</f>
        <v>-50035.94493999999</v>
      </c>
      <c r="E44" s="14"/>
    </row>
    <row r="45" spans="1:5" ht="12.75">
      <c r="A45" s="14">
        <v>9</v>
      </c>
      <c r="B45" s="20" t="s">
        <v>47</v>
      </c>
      <c r="C45" s="14"/>
      <c r="D45" s="19">
        <f>D10+D44</f>
        <v>223716.62506000002</v>
      </c>
      <c r="E45" s="14"/>
    </row>
    <row r="46" spans="1:5" ht="12.75">
      <c r="A46" s="3"/>
      <c r="B46" s="426" t="s">
        <v>88</v>
      </c>
      <c r="C46" s="3"/>
      <c r="D46" s="429">
        <f>D11+D18+D17</f>
        <v>361699.79</v>
      </c>
      <c r="E46" s="3"/>
    </row>
    <row r="47" spans="1:5" ht="12.75">
      <c r="A47" s="3"/>
      <c r="B47" s="426" t="s">
        <v>143</v>
      </c>
      <c r="C47" s="3"/>
      <c r="D47" s="429">
        <v>618367.72</v>
      </c>
      <c r="E47" s="3"/>
    </row>
    <row r="48" spans="1:5" ht="12.75">
      <c r="A48" s="3"/>
      <c r="B48" s="426" t="s">
        <v>129</v>
      </c>
      <c r="C48" s="3"/>
      <c r="D48" s="429">
        <f>D46-D47</f>
        <v>-256667.93</v>
      </c>
      <c r="E48" s="3"/>
    </row>
    <row r="49" spans="1:5" ht="12.75">
      <c r="A49" s="3"/>
      <c r="B49" s="426"/>
      <c r="C49" s="3"/>
      <c r="D49" s="429"/>
      <c r="E49" s="3"/>
    </row>
    <row r="50" spans="1:5" ht="12.75">
      <c r="A50" s="1"/>
      <c r="B50" s="1" t="s">
        <v>31</v>
      </c>
      <c r="C50" s="1"/>
      <c r="D50" s="1" t="s">
        <v>0</v>
      </c>
      <c r="E50" s="1"/>
    </row>
    <row r="51" spans="1:5" ht="12.75">
      <c r="A51" s="1"/>
      <c r="B51" s="1" t="s">
        <v>32</v>
      </c>
      <c r="C51" s="1"/>
      <c r="D51" s="1" t="s">
        <v>27</v>
      </c>
      <c r="E51" s="1"/>
    </row>
  </sheetData>
  <sheetProtection/>
  <mergeCells count="4">
    <mergeCell ref="D8:E8"/>
    <mergeCell ref="A5:B5"/>
    <mergeCell ref="C5:D5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100" zoomScalePageLayoutView="0" workbookViewId="0" topLeftCell="A26">
      <selection activeCell="B31" sqref="B31"/>
    </sheetView>
  </sheetViews>
  <sheetFormatPr defaultColWidth="9.00390625" defaultRowHeight="12.75"/>
  <cols>
    <col min="1" max="1" width="5.625" style="0" customWidth="1"/>
    <col min="2" max="2" width="41.125" style="0" customWidth="1"/>
    <col min="3" max="3" width="9.25390625" style="0" customWidth="1"/>
    <col min="4" max="4" width="10.75390625" style="0" customWidth="1"/>
    <col min="7" max="7" width="3.75390625" style="0" customWidth="1"/>
    <col min="8" max="8" width="41.625" style="0" customWidth="1"/>
    <col min="10" max="10" width="10.875" style="0" customWidth="1"/>
    <col min="15" max="15" width="37.625" style="0" customWidth="1"/>
    <col min="17" max="17" width="10.125" style="0" bestFit="1" customWidth="1"/>
    <col min="19" max="19" width="5.625" style="0" customWidth="1"/>
    <col min="20" max="20" width="7.375" style="0" customWidth="1"/>
    <col min="21" max="21" width="44.00390625" style="0" customWidth="1"/>
    <col min="23" max="23" width="11.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164</v>
      </c>
    </row>
    <row r="5" spans="1:4" ht="12.75">
      <c r="A5" s="375"/>
      <c r="B5" s="375"/>
      <c r="C5" s="375"/>
      <c r="D5" s="375"/>
    </row>
    <row r="6" spans="1:5" ht="12.75">
      <c r="A6" s="575"/>
      <c r="B6" s="575"/>
      <c r="C6" s="575"/>
      <c r="D6" s="576"/>
      <c r="E6" s="358"/>
    </row>
    <row r="7" spans="1:5" ht="12.75">
      <c r="A7" s="378"/>
      <c r="B7" s="378"/>
      <c r="C7" s="378"/>
      <c r="D7" s="360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54</v>
      </c>
      <c r="D9" s="579" t="s">
        <v>162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422" t="s">
        <v>98</v>
      </c>
      <c r="C11" s="365"/>
      <c r="D11" s="366">
        <v>-282032.8</v>
      </c>
      <c r="E11" s="367"/>
    </row>
    <row r="12" spans="1:5" ht="12.75">
      <c r="A12" s="365"/>
      <c r="B12" s="422" t="s">
        <v>127</v>
      </c>
      <c r="C12" s="365"/>
      <c r="D12" s="366">
        <v>-20883.75</v>
      </c>
      <c r="E12" s="367"/>
    </row>
    <row r="13" spans="1:5" ht="12.75">
      <c r="A13" s="368"/>
      <c r="B13" s="369" t="s">
        <v>5</v>
      </c>
      <c r="C13" s="380" t="s">
        <v>55</v>
      </c>
      <c r="D13" s="374">
        <v>6474.6</v>
      </c>
      <c r="E13" s="368"/>
    </row>
    <row r="14" spans="1:5" ht="12.75">
      <c r="A14" s="368"/>
      <c r="B14" s="369" t="s">
        <v>6</v>
      </c>
      <c r="C14" s="380" t="s">
        <v>55</v>
      </c>
      <c r="D14" s="374">
        <v>4985.3</v>
      </c>
      <c r="E14" s="368"/>
    </row>
    <row r="15" spans="1:5" ht="12.75">
      <c r="A15" s="368"/>
      <c r="B15" s="370" t="s">
        <v>28</v>
      </c>
      <c r="C15" s="380" t="s">
        <v>9</v>
      </c>
      <c r="D15" s="368">
        <v>395994.12</v>
      </c>
      <c r="E15" s="368"/>
    </row>
    <row r="16" spans="1:5" ht="15.75">
      <c r="A16" s="368"/>
      <c r="B16" s="372" t="s">
        <v>7</v>
      </c>
      <c r="C16" s="365"/>
      <c r="D16" s="368"/>
      <c r="E16" s="368"/>
    </row>
    <row r="17" spans="1:5" ht="12.75">
      <c r="A17" s="368">
        <v>1</v>
      </c>
      <c r="B17" s="368" t="s">
        <v>8</v>
      </c>
      <c r="C17" s="380" t="s">
        <v>9</v>
      </c>
      <c r="D17" s="368">
        <v>281006.38</v>
      </c>
      <c r="E17" s="368"/>
    </row>
    <row r="18" spans="1:5" ht="12.75">
      <c r="A18" s="368">
        <v>2</v>
      </c>
      <c r="B18" s="368" t="s">
        <v>88</v>
      </c>
      <c r="C18" s="365"/>
      <c r="D18" s="368">
        <v>75742.7</v>
      </c>
      <c r="E18" s="368"/>
    </row>
    <row r="19" spans="1:5" ht="12.75">
      <c r="A19" s="368">
        <v>3</v>
      </c>
      <c r="B19" s="368" t="s">
        <v>104</v>
      </c>
      <c r="C19" s="365"/>
      <c r="D19" s="368">
        <v>2400</v>
      </c>
      <c r="E19" s="368"/>
    </row>
    <row r="20" spans="1:5" ht="15.75">
      <c r="A20" s="368"/>
      <c r="B20" s="372" t="s">
        <v>10</v>
      </c>
      <c r="C20" s="365"/>
      <c r="D20" s="371">
        <f>D17+D18+D19</f>
        <v>359149.08</v>
      </c>
      <c r="E20" s="368"/>
    </row>
    <row r="21" spans="1:5" ht="15.75">
      <c r="A21" s="368"/>
      <c r="B21" s="372"/>
      <c r="C21" s="365"/>
      <c r="D21" s="371"/>
      <c r="E21" s="368"/>
    </row>
    <row r="22" spans="1:5" ht="15.75">
      <c r="A22" s="14"/>
      <c r="B22" s="17" t="s">
        <v>66</v>
      </c>
      <c r="C22" s="14"/>
      <c r="D22" s="20"/>
      <c r="E22" s="51" t="s">
        <v>15</v>
      </c>
    </row>
    <row r="23" spans="1:5" ht="12.75">
      <c r="A23" s="401" t="s">
        <v>67</v>
      </c>
      <c r="B23" s="16" t="s">
        <v>68</v>
      </c>
      <c r="C23" s="14"/>
      <c r="D23" s="19">
        <f>D24+D29</f>
        <v>78439.9</v>
      </c>
      <c r="E23" s="19">
        <f>E24</f>
        <v>15486.453219999998</v>
      </c>
    </row>
    <row r="24" spans="1:5" ht="12.75">
      <c r="A24" s="14">
        <v>1</v>
      </c>
      <c r="B24" s="20" t="s">
        <v>11</v>
      </c>
      <c r="C24" s="395" t="s">
        <v>9</v>
      </c>
      <c r="D24" s="19">
        <f>D25+D26+D27+D28</f>
        <v>76665.61</v>
      </c>
      <c r="E24" s="19">
        <f>E25+E26+E27+E28</f>
        <v>15486.453219999998</v>
      </c>
    </row>
    <row r="25" spans="1:5" ht="12.75">
      <c r="A25" s="14"/>
      <c r="B25" s="14" t="s">
        <v>12</v>
      </c>
      <c r="C25" s="14"/>
      <c r="D25" s="14">
        <v>18805.4</v>
      </c>
      <c r="E25" s="18">
        <f>D25*20.2%</f>
        <v>3798.6908</v>
      </c>
    </row>
    <row r="26" spans="1:5" ht="12.75">
      <c r="A26" s="14"/>
      <c r="B26" s="14" t="s">
        <v>13</v>
      </c>
      <c r="C26" s="14"/>
      <c r="D26" s="396">
        <v>23395.26</v>
      </c>
      <c r="E26" s="18">
        <f>D26*20.2%</f>
        <v>4725.842519999999</v>
      </c>
    </row>
    <row r="27" spans="1:5" ht="12.75">
      <c r="A27" s="14"/>
      <c r="B27" s="14" t="s">
        <v>14</v>
      </c>
      <c r="C27" s="14"/>
      <c r="D27" s="14">
        <v>31624.19</v>
      </c>
      <c r="E27" s="18">
        <f>D27*20.2%</f>
        <v>6388.086379999999</v>
      </c>
    </row>
    <row r="28" spans="1:5" ht="12.75">
      <c r="A28" s="14"/>
      <c r="B28" s="22" t="s">
        <v>155</v>
      </c>
      <c r="C28" s="14"/>
      <c r="D28" s="14">
        <v>2840.76</v>
      </c>
      <c r="E28" s="18">
        <f>D28*20.2%</f>
        <v>573.83352</v>
      </c>
    </row>
    <row r="29" spans="1:5" ht="12.75">
      <c r="A29" s="14">
        <v>2</v>
      </c>
      <c r="B29" s="395" t="s">
        <v>16</v>
      </c>
      <c r="C29" s="14"/>
      <c r="D29" s="14">
        <v>1774.29</v>
      </c>
      <c r="E29" s="18"/>
    </row>
    <row r="30" spans="1:5" ht="12.75">
      <c r="A30" s="401" t="s">
        <v>71</v>
      </c>
      <c r="B30" s="402" t="s">
        <v>69</v>
      </c>
      <c r="C30" s="14"/>
      <c r="D30" s="20">
        <f>D31+D32</f>
        <v>66568.1</v>
      </c>
      <c r="E30" s="19">
        <f>E31</f>
        <v>9286.465199999999</v>
      </c>
    </row>
    <row r="31" spans="1:5" ht="12.75">
      <c r="A31" s="14">
        <v>1</v>
      </c>
      <c r="B31" s="22" t="s">
        <v>203</v>
      </c>
      <c r="C31" s="14"/>
      <c r="D31" s="22">
        <v>45972.6</v>
      </c>
      <c r="E31" s="18">
        <f>D31*20.2%</f>
        <v>9286.465199999999</v>
      </c>
    </row>
    <row r="32" spans="1:5" ht="12.75">
      <c r="A32" s="14">
        <v>2</v>
      </c>
      <c r="B32" s="22" t="s">
        <v>16</v>
      </c>
      <c r="C32" s="14"/>
      <c r="D32" s="22">
        <v>20595.5</v>
      </c>
      <c r="E32" s="14"/>
    </row>
    <row r="33" spans="1:5" ht="12.75">
      <c r="A33" s="401" t="s">
        <v>72</v>
      </c>
      <c r="B33" s="20" t="s">
        <v>17</v>
      </c>
      <c r="C33" s="14"/>
      <c r="D33" s="19">
        <f>D34+D35+D36+D37+D38+D39+D40+D41</f>
        <v>83546.51935999999</v>
      </c>
      <c r="E33" s="20"/>
    </row>
    <row r="34" spans="1:5" ht="12.75">
      <c r="A34" s="14"/>
      <c r="B34" s="14" t="s">
        <v>18</v>
      </c>
      <c r="C34" s="14"/>
      <c r="D34" s="18">
        <f>D20*14.2%</f>
        <v>50999.16936</v>
      </c>
      <c r="E34" s="20"/>
    </row>
    <row r="35" spans="1:5" ht="12.75">
      <c r="A35" s="14"/>
      <c r="B35" s="14" t="s">
        <v>19</v>
      </c>
      <c r="C35" s="14"/>
      <c r="D35" s="14">
        <v>749.25</v>
      </c>
      <c r="E35" s="14"/>
    </row>
    <row r="36" spans="1:5" ht="12.75">
      <c r="A36" s="14"/>
      <c r="B36" s="14" t="s">
        <v>21</v>
      </c>
      <c r="C36" s="14"/>
      <c r="D36" s="18">
        <f>6896.78+1393.15</f>
        <v>8289.93</v>
      </c>
      <c r="E36" s="14"/>
    </row>
    <row r="37" spans="1:5" ht="12.75">
      <c r="A37" s="14"/>
      <c r="B37" s="22" t="s">
        <v>20</v>
      </c>
      <c r="C37" s="14"/>
      <c r="D37" s="14">
        <v>5776</v>
      </c>
      <c r="E37" s="14"/>
    </row>
    <row r="38" spans="1:5" ht="12.75">
      <c r="A38" s="14"/>
      <c r="B38" s="395" t="s">
        <v>62</v>
      </c>
      <c r="C38" s="14"/>
      <c r="D38" s="14">
        <v>1965.61</v>
      </c>
      <c r="E38" s="14"/>
    </row>
    <row r="39" spans="1:5" ht="12.75">
      <c r="A39" s="14"/>
      <c r="B39" s="22" t="s">
        <v>119</v>
      </c>
      <c r="C39" s="14"/>
      <c r="D39" s="14">
        <v>12000</v>
      </c>
      <c r="E39" s="14"/>
    </row>
    <row r="40" spans="1:5" ht="12.75">
      <c r="A40" s="14"/>
      <c r="B40" s="395" t="s">
        <v>29</v>
      </c>
      <c r="C40" s="14"/>
      <c r="D40" s="14">
        <f>390.44+38.95</f>
        <v>429.39</v>
      </c>
      <c r="E40" s="14"/>
    </row>
    <row r="41" spans="1:5" ht="12.75">
      <c r="A41" s="14"/>
      <c r="B41" s="14" t="s">
        <v>22</v>
      </c>
      <c r="C41" s="14"/>
      <c r="D41" s="14">
        <v>3337.17</v>
      </c>
      <c r="E41" s="14"/>
    </row>
    <row r="42" spans="1:5" ht="12.75">
      <c r="A42" s="14">
        <v>4</v>
      </c>
      <c r="B42" s="20" t="s">
        <v>199</v>
      </c>
      <c r="C42" s="14"/>
      <c r="D42" s="19">
        <f>37144.95+5577.16</f>
        <v>42722.11</v>
      </c>
      <c r="E42" s="19"/>
    </row>
    <row r="43" spans="1:5" ht="12.75">
      <c r="A43" s="14">
        <v>5</v>
      </c>
      <c r="B43" s="20" t="s">
        <v>24</v>
      </c>
      <c r="C43" s="14"/>
      <c r="D43" s="19">
        <f>D23+E23+D30+E30+D33+E33+D42+E42</f>
        <v>296049.54777999996</v>
      </c>
      <c r="E43" s="14"/>
    </row>
    <row r="44" spans="1:5" ht="12.75">
      <c r="A44" s="14">
        <v>6</v>
      </c>
      <c r="B44" s="14" t="s">
        <v>33</v>
      </c>
      <c r="C44" s="14"/>
      <c r="D44" s="19">
        <f>D20*6%</f>
        <v>21548.9448</v>
      </c>
      <c r="E44" s="14"/>
    </row>
    <row r="45" spans="1:5" ht="12.75">
      <c r="A45" s="14">
        <v>7</v>
      </c>
      <c r="B45" s="20" t="s">
        <v>25</v>
      </c>
      <c r="C45" s="14"/>
      <c r="D45" s="19">
        <f>D43+D44</f>
        <v>317598.49257999996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>
        <v>8</v>
      </c>
      <c r="B47" s="20" t="s">
        <v>87</v>
      </c>
      <c r="C47" s="14"/>
      <c r="D47" s="19">
        <f>(D17+D19)-D45</f>
        <v>-34192.11257999996</v>
      </c>
      <c r="E47" s="14"/>
    </row>
    <row r="48" spans="1:5" ht="12.75">
      <c r="A48" s="14">
        <v>9</v>
      </c>
      <c r="B48" s="20" t="s">
        <v>47</v>
      </c>
      <c r="C48" s="14"/>
      <c r="D48" s="19">
        <f>D11+D47</f>
        <v>-316224.91257999995</v>
      </c>
      <c r="E48" s="14"/>
    </row>
    <row r="49" spans="1:5" ht="12.75">
      <c r="A49" s="3"/>
      <c r="B49" s="426" t="s">
        <v>88</v>
      </c>
      <c r="C49" s="3"/>
      <c r="D49" s="429">
        <f>D12+D18-4544.56</f>
        <v>50314.39</v>
      </c>
      <c r="E49" s="3"/>
    </row>
    <row r="50" spans="1:5" ht="12.75">
      <c r="A50" s="3"/>
      <c r="B50" s="426" t="s">
        <v>143</v>
      </c>
      <c r="C50" s="3"/>
      <c r="D50" s="429">
        <v>102054.31</v>
      </c>
      <c r="E50" s="3"/>
    </row>
    <row r="51" spans="1:5" ht="12.75">
      <c r="A51" s="3"/>
      <c r="B51" s="426" t="s">
        <v>129</v>
      </c>
      <c r="C51" s="3"/>
      <c r="D51" s="429">
        <f>D49-D50</f>
        <v>-51739.92</v>
      </c>
      <c r="E51" s="3"/>
    </row>
    <row r="52" spans="1:5" ht="12.75">
      <c r="A52" s="3"/>
      <c r="B52" s="426"/>
      <c r="C52" s="3"/>
      <c r="D52" s="429"/>
      <c r="E52" s="3"/>
    </row>
    <row r="53" spans="1:5" ht="12.75">
      <c r="A53" s="1"/>
      <c r="B53" s="1" t="s">
        <v>31</v>
      </c>
      <c r="C53" s="1"/>
      <c r="D53" s="1" t="s">
        <v>0</v>
      </c>
      <c r="E53" s="1"/>
    </row>
    <row r="54" spans="1:5" ht="12.75">
      <c r="A54" s="1"/>
      <c r="B54" s="1" t="s">
        <v>32</v>
      </c>
      <c r="C54" s="1"/>
      <c r="D54" s="1" t="s">
        <v>27</v>
      </c>
      <c r="E54" s="1"/>
    </row>
  </sheetData>
  <sheetProtection/>
  <mergeCells count="4">
    <mergeCell ref="A6:B6"/>
    <mergeCell ref="C6:D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zoomScalePageLayoutView="0" workbookViewId="0" topLeftCell="A18">
      <selection activeCell="E44" sqref="E44"/>
    </sheetView>
  </sheetViews>
  <sheetFormatPr defaultColWidth="9.00390625" defaultRowHeight="12.75"/>
  <cols>
    <col min="1" max="1" width="6.375" style="0" customWidth="1"/>
    <col min="2" max="2" width="41.75390625" style="0" customWidth="1"/>
    <col min="3" max="3" width="6.25390625" style="0" customWidth="1"/>
    <col min="4" max="5" width="12.00390625" style="0" customWidth="1"/>
    <col min="7" max="7" width="3.75390625" style="0" customWidth="1"/>
    <col min="8" max="8" width="40.00390625" style="0" customWidth="1"/>
    <col min="10" max="10" width="10.125" style="0" customWidth="1"/>
    <col min="13" max="13" width="6.375" style="0" customWidth="1"/>
    <col min="14" max="14" width="6.875" style="0" customWidth="1"/>
    <col min="15" max="15" width="38.875" style="0" customWidth="1"/>
    <col min="21" max="21" width="45.875" style="0" customWidth="1"/>
    <col min="23" max="23" width="11.25390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165</v>
      </c>
    </row>
    <row r="5" ht="12.75">
      <c r="B5" t="s">
        <v>49</v>
      </c>
    </row>
    <row r="6" spans="1:5" ht="12.75">
      <c r="A6" s="576"/>
      <c r="B6" s="576"/>
      <c r="C6" s="576"/>
      <c r="D6" s="357"/>
      <c r="E6" s="358"/>
    </row>
    <row r="7" spans="1:5" ht="12.75">
      <c r="A7" s="359"/>
      <c r="B7" s="359"/>
      <c r="C7" s="359"/>
      <c r="D7" s="394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35</v>
      </c>
      <c r="D9" s="579" t="s">
        <v>121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380" t="s">
        <v>80</v>
      </c>
      <c r="C11" s="365"/>
      <c r="D11" s="366">
        <v>-5265.09</v>
      </c>
      <c r="E11" s="367"/>
    </row>
    <row r="12" spans="1:5" ht="12.75">
      <c r="A12" s="368"/>
      <c r="B12" s="369" t="s">
        <v>5</v>
      </c>
      <c r="C12" s="368" t="s">
        <v>36</v>
      </c>
      <c r="D12" s="368">
        <v>1285.62</v>
      </c>
      <c r="E12" s="368"/>
    </row>
    <row r="13" spans="1:5" ht="12.75">
      <c r="A13" s="368"/>
      <c r="B13" s="369" t="s">
        <v>6</v>
      </c>
      <c r="C13" s="368" t="s">
        <v>36</v>
      </c>
      <c r="D13" s="368">
        <v>901.3</v>
      </c>
      <c r="E13" s="368"/>
    </row>
    <row r="14" spans="1:5" ht="12.75">
      <c r="A14" s="368"/>
      <c r="B14" s="370" t="s">
        <v>28</v>
      </c>
      <c r="C14" s="368" t="s">
        <v>9</v>
      </c>
      <c r="D14" s="371">
        <f>17332.05*2</f>
        <v>34664.1</v>
      </c>
      <c r="E14" s="368"/>
    </row>
    <row r="15" spans="1:5" ht="12.75">
      <c r="A15" s="368"/>
      <c r="B15" s="368"/>
      <c r="C15" s="368"/>
      <c r="D15" s="368"/>
      <c r="E15" s="368"/>
    </row>
    <row r="16" spans="1:5" ht="15.75">
      <c r="A16" s="368"/>
      <c r="B16" s="372" t="s">
        <v>7</v>
      </c>
      <c r="C16" s="368"/>
      <c r="D16" s="368"/>
      <c r="E16" s="368"/>
    </row>
    <row r="17" spans="1:5" ht="12.75">
      <c r="A17" s="368">
        <v>1</v>
      </c>
      <c r="B17" s="368" t="s">
        <v>8</v>
      </c>
      <c r="C17" s="368" t="s">
        <v>9</v>
      </c>
      <c r="D17" s="368">
        <v>31886.4</v>
      </c>
      <c r="E17" s="368"/>
    </row>
    <row r="18" spans="1:5" ht="12.75">
      <c r="A18" s="368"/>
      <c r="B18" s="368"/>
      <c r="C18" s="368"/>
      <c r="D18" s="368"/>
      <c r="E18" s="368"/>
    </row>
    <row r="19" spans="1:5" ht="15.75">
      <c r="A19" s="368"/>
      <c r="B19" s="372" t="s">
        <v>10</v>
      </c>
      <c r="C19" s="368"/>
      <c r="D19" s="371">
        <f>D17</f>
        <v>31886.4</v>
      </c>
      <c r="E19" s="368"/>
    </row>
    <row r="20" spans="1:5" ht="15.75">
      <c r="A20" s="368"/>
      <c r="B20" s="372"/>
      <c r="C20" s="368"/>
      <c r="D20" s="371"/>
      <c r="E20" s="36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20">
        <f>D23+D27</f>
        <v>9877.67</v>
      </c>
      <c r="E22" s="19">
        <f>E23</f>
        <v>1930.4917799999998</v>
      </c>
    </row>
    <row r="23" spans="1:5" ht="12.75">
      <c r="A23" s="14">
        <v>1</v>
      </c>
      <c r="B23" s="20" t="s">
        <v>11</v>
      </c>
      <c r="C23" s="395" t="s">
        <v>9</v>
      </c>
      <c r="D23" s="20">
        <f>D24</f>
        <v>9556.89</v>
      </c>
      <c r="E23" s="19">
        <f>E24</f>
        <v>1930.4917799999998</v>
      </c>
    </row>
    <row r="24" spans="1:5" ht="12.75">
      <c r="A24" s="14"/>
      <c r="B24" s="14" t="s">
        <v>12</v>
      </c>
      <c r="C24" s="14"/>
      <c r="D24" s="14">
        <v>9556.89</v>
      </c>
      <c r="E24" s="18">
        <f>D24*20.2%</f>
        <v>1930.4917799999998</v>
      </c>
    </row>
    <row r="25" spans="1:5" ht="12.75">
      <c r="A25" s="14"/>
      <c r="B25" s="14" t="s">
        <v>13</v>
      </c>
      <c r="C25" s="14"/>
      <c r="D25" s="396"/>
      <c r="E25" s="18"/>
    </row>
    <row r="26" spans="1:5" ht="12.75">
      <c r="A26" s="14"/>
      <c r="B26" s="14" t="s">
        <v>14</v>
      </c>
      <c r="C26" s="14"/>
      <c r="D26" s="14"/>
      <c r="E26" s="18"/>
    </row>
    <row r="27" spans="1:5" ht="12.75">
      <c r="A27" s="14">
        <v>2</v>
      </c>
      <c r="B27" s="395" t="s">
        <v>16</v>
      </c>
      <c r="C27" s="14"/>
      <c r="D27" s="14">
        <v>320.78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8804.099999999999</v>
      </c>
      <c r="E28" s="19">
        <f>E29</f>
        <v>1678.9149199999997</v>
      </c>
    </row>
    <row r="29" spans="1:5" ht="12.75">
      <c r="A29" s="14">
        <v>1</v>
      </c>
      <c r="B29" s="22" t="s">
        <v>203</v>
      </c>
      <c r="C29" s="14"/>
      <c r="D29" s="22">
        <v>8311.46</v>
      </c>
      <c r="E29" s="18">
        <f>D29*20.2%</f>
        <v>1678.9149199999997</v>
      </c>
    </row>
    <row r="30" spans="1:5" ht="12.75">
      <c r="A30" s="14">
        <v>2</v>
      </c>
      <c r="B30" s="22" t="s">
        <v>16</v>
      </c>
      <c r="C30" s="14"/>
      <c r="D30" s="22">
        <v>492.64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</f>
        <v>4051.77</v>
      </c>
      <c r="E31" s="19"/>
    </row>
    <row r="32" spans="1:5" ht="12.75">
      <c r="A32" s="14"/>
      <c r="B32" s="14" t="s">
        <v>18</v>
      </c>
      <c r="C32" s="14"/>
      <c r="D32" s="18">
        <f>D19*5%</f>
        <v>1594.3200000000002</v>
      </c>
      <c r="E32" s="14"/>
    </row>
    <row r="33" spans="1:5" ht="12.75">
      <c r="A33" s="14"/>
      <c r="B33" s="22" t="s">
        <v>21</v>
      </c>
      <c r="C33" s="14"/>
      <c r="D33" s="18">
        <f>1246.88+251.87</f>
        <v>1498.75</v>
      </c>
      <c r="E33" s="18"/>
    </row>
    <row r="34" spans="1:5" ht="12.75">
      <c r="A34" s="14"/>
      <c r="B34" s="395" t="s">
        <v>62</v>
      </c>
      <c r="C34" s="14"/>
      <c r="D34" s="14">
        <v>355.37</v>
      </c>
      <c r="E34" s="14"/>
    </row>
    <row r="35" spans="1:5" ht="12.75">
      <c r="A35" s="14"/>
      <c r="B35" s="22" t="s">
        <v>22</v>
      </c>
      <c r="C35" s="14"/>
      <c r="D35" s="14">
        <v>603.33</v>
      </c>
      <c r="E35" s="14"/>
    </row>
    <row r="36" spans="1:5" ht="12.75">
      <c r="A36" s="14">
        <v>4</v>
      </c>
      <c r="B36" s="20" t="s">
        <v>199</v>
      </c>
      <c r="C36" s="14"/>
      <c r="D36" s="19">
        <v>7763.79</v>
      </c>
      <c r="E36" s="19"/>
    </row>
    <row r="37" spans="1:5" ht="12.75">
      <c r="A37" s="14">
        <v>5</v>
      </c>
      <c r="B37" s="20" t="s">
        <v>24</v>
      </c>
      <c r="C37" s="14"/>
      <c r="D37" s="19">
        <f>D22+E22+D28+E28+D31+E31+E36+D36</f>
        <v>34106.7367</v>
      </c>
      <c r="E37" s="14"/>
    </row>
    <row r="38" spans="1:5" ht="12.75">
      <c r="A38" s="14">
        <v>6</v>
      </c>
      <c r="B38" s="14" t="s">
        <v>33</v>
      </c>
      <c r="C38" s="14"/>
      <c r="D38" s="19">
        <f>D19*6%</f>
        <v>1913.184</v>
      </c>
      <c r="E38" s="14"/>
    </row>
    <row r="39" spans="1:5" ht="12.75">
      <c r="A39" s="14">
        <v>7</v>
      </c>
      <c r="B39" s="20" t="s">
        <v>25</v>
      </c>
      <c r="C39" s="14"/>
      <c r="D39" s="19">
        <f>D37+D38</f>
        <v>36019.9207</v>
      </c>
      <c r="E39" s="14"/>
    </row>
    <row r="40" spans="1:5" ht="12.75">
      <c r="A40" s="14"/>
      <c r="B40" s="14"/>
      <c r="C40" s="14"/>
      <c r="D40" s="14"/>
      <c r="E40" s="14"/>
    </row>
    <row r="41" spans="1:5" ht="12.75">
      <c r="A41" s="14">
        <v>8</v>
      </c>
      <c r="B41" s="20" t="s">
        <v>87</v>
      </c>
      <c r="C41" s="14"/>
      <c r="D41" s="19">
        <f>D19-D39</f>
        <v>-4133.520700000001</v>
      </c>
      <c r="E41" s="14"/>
    </row>
    <row r="42" spans="1:5" ht="12.75">
      <c r="A42" s="14">
        <v>9</v>
      </c>
      <c r="B42" s="20" t="s">
        <v>47</v>
      </c>
      <c r="C42" s="14"/>
      <c r="D42" s="19">
        <f>D11+D41</f>
        <v>-9398.610700000001</v>
      </c>
      <c r="E42" s="14"/>
    </row>
    <row r="43" spans="1:5" ht="12.75">
      <c r="A43" s="3"/>
      <c r="B43" s="426"/>
      <c r="C43" s="3"/>
      <c r="D43" s="429"/>
      <c r="E43" s="3"/>
    </row>
    <row r="44" spans="1:5" ht="12.75">
      <c r="A44" s="3"/>
      <c r="B44" s="426"/>
      <c r="C44" s="3"/>
      <c r="D44" s="429"/>
      <c r="E44" s="3"/>
    </row>
    <row r="45" spans="1:5" ht="12.75">
      <c r="A45" s="3"/>
      <c r="B45" s="426"/>
      <c r="C45" s="3"/>
      <c r="D45" s="429"/>
      <c r="E45" s="3"/>
    </row>
    <row r="46" spans="1:5" ht="12.75">
      <c r="A46" s="1"/>
      <c r="B46" s="1" t="s">
        <v>31</v>
      </c>
      <c r="C46" s="1"/>
      <c r="D46" s="1" t="s">
        <v>0</v>
      </c>
      <c r="E46" s="1"/>
    </row>
    <row r="47" spans="1:5" ht="12.75">
      <c r="A47" s="1"/>
      <c r="B47" s="1" t="s">
        <v>32</v>
      </c>
      <c r="C47" s="1"/>
      <c r="D47" s="1" t="s">
        <v>27</v>
      </c>
      <c r="E47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19">
      <selection activeCell="H34" sqref="H34"/>
    </sheetView>
  </sheetViews>
  <sheetFormatPr defaultColWidth="9.00390625" defaultRowHeight="12.75"/>
  <cols>
    <col min="1" max="1" width="6.25390625" style="0" customWidth="1"/>
    <col min="2" max="2" width="41.625" style="0" customWidth="1"/>
    <col min="3" max="3" width="6.75390625" style="0" customWidth="1"/>
    <col min="4" max="4" width="12.75390625" style="0" customWidth="1"/>
    <col min="5" max="5" width="11.375" style="0" customWidth="1"/>
    <col min="7" max="7" width="3.75390625" style="0" customWidth="1"/>
    <col min="8" max="8" width="41.00390625" style="0" customWidth="1"/>
    <col min="14" max="14" width="7.00390625" style="0" customWidth="1"/>
    <col min="15" max="15" width="40.875" style="0" customWidth="1"/>
    <col min="17" max="17" width="10.875" style="0" customWidth="1"/>
    <col min="19" max="19" width="3.75390625" style="0" customWidth="1"/>
    <col min="20" max="20" width="6.375" style="0" customWidth="1"/>
    <col min="21" max="21" width="46.375" style="0" customWidth="1"/>
    <col min="23" max="23" width="12.87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166</v>
      </c>
    </row>
    <row r="5" ht="12.75">
      <c r="B5" t="s">
        <v>50</v>
      </c>
    </row>
    <row r="6" spans="1:5" ht="12.75">
      <c r="A6" s="378"/>
      <c r="B6" s="378"/>
      <c r="C6" s="378"/>
      <c r="D6" s="360"/>
      <c r="E6" s="379"/>
    </row>
    <row r="7" spans="1:5" ht="15.75">
      <c r="A7" s="359"/>
      <c r="B7" s="362" t="s">
        <v>1</v>
      </c>
      <c r="C7" s="363" t="s">
        <v>3</v>
      </c>
      <c r="D7" s="577" t="s">
        <v>4</v>
      </c>
      <c r="E7" s="578"/>
    </row>
    <row r="8" spans="1:5" ht="15.75">
      <c r="A8" s="364"/>
      <c r="B8" s="362" t="s">
        <v>2</v>
      </c>
      <c r="C8" s="363" t="s">
        <v>35</v>
      </c>
      <c r="D8" s="579" t="s">
        <v>115</v>
      </c>
      <c r="E8" s="580"/>
    </row>
    <row r="9" spans="1:5" ht="12.75">
      <c r="A9" s="365"/>
      <c r="B9" s="380"/>
      <c r="C9" s="365"/>
      <c r="D9" s="366"/>
      <c r="E9" s="367"/>
    </row>
    <row r="10" spans="1:5" ht="12.75">
      <c r="A10" s="365"/>
      <c r="B10" s="380" t="s">
        <v>80</v>
      </c>
      <c r="C10" s="365"/>
      <c r="D10" s="366">
        <v>17588.28</v>
      </c>
      <c r="E10" s="367"/>
    </row>
    <row r="11" spans="1:5" ht="12.75">
      <c r="A11" s="368"/>
      <c r="B11" s="369" t="s">
        <v>5</v>
      </c>
      <c r="C11" s="368" t="s">
        <v>36</v>
      </c>
      <c r="D11" s="374">
        <v>4710.9</v>
      </c>
      <c r="E11" s="368"/>
    </row>
    <row r="12" spans="1:5" ht="12.75">
      <c r="A12" s="368"/>
      <c r="B12" s="369" t="s">
        <v>6</v>
      </c>
      <c r="C12" s="368" t="s">
        <v>36</v>
      </c>
      <c r="D12" s="374">
        <v>2911.8</v>
      </c>
      <c r="E12" s="368"/>
    </row>
    <row r="13" spans="1:5" ht="12.75">
      <c r="A13" s="368"/>
      <c r="B13" s="370" t="s">
        <v>28</v>
      </c>
      <c r="C13" s="368" t="s">
        <v>9</v>
      </c>
      <c r="D13" s="373">
        <v>111338.34</v>
      </c>
      <c r="E13" s="368"/>
    </row>
    <row r="14" spans="1:5" ht="12.75">
      <c r="A14" s="368"/>
      <c r="B14" s="368"/>
      <c r="C14" s="368"/>
      <c r="D14" s="368"/>
      <c r="E14" s="368"/>
    </row>
    <row r="15" spans="1:5" ht="15.75">
      <c r="A15" s="368"/>
      <c r="B15" s="372" t="s">
        <v>7</v>
      </c>
      <c r="C15" s="368"/>
      <c r="D15" s="368"/>
      <c r="E15" s="368"/>
    </row>
    <row r="16" spans="1:5" ht="12.75">
      <c r="A16" s="368">
        <v>1</v>
      </c>
      <c r="B16" s="368" t="s">
        <v>8</v>
      </c>
      <c r="C16" s="368" t="s">
        <v>9</v>
      </c>
      <c r="D16" s="368">
        <v>122378.52</v>
      </c>
      <c r="E16" s="368"/>
    </row>
    <row r="17" spans="1:5" ht="12.75">
      <c r="A17" s="368">
        <v>2</v>
      </c>
      <c r="B17" s="368" t="s">
        <v>104</v>
      </c>
      <c r="C17" s="368"/>
      <c r="D17" s="368">
        <v>8815.71</v>
      </c>
      <c r="E17" s="368"/>
    </row>
    <row r="18" spans="1:5" ht="15.75">
      <c r="A18" s="368"/>
      <c r="B18" s="372" t="s">
        <v>10</v>
      </c>
      <c r="C18" s="368"/>
      <c r="D18" s="371">
        <f>D16+D17</f>
        <v>131194.23</v>
      </c>
      <c r="E18" s="368"/>
    </row>
    <row r="19" spans="1:5" ht="15.75">
      <c r="A19" s="368"/>
      <c r="B19" s="372"/>
      <c r="C19" s="368"/>
      <c r="D19" s="371"/>
      <c r="E19" s="368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20">
        <f>D22+D26</f>
        <v>26521.35</v>
      </c>
      <c r="E21" s="19">
        <f>E22</f>
        <v>5147.976059999999</v>
      </c>
    </row>
    <row r="22" spans="1:5" ht="12.75">
      <c r="A22" s="14">
        <v>1</v>
      </c>
      <c r="B22" s="20" t="s">
        <v>11</v>
      </c>
      <c r="C22" s="395" t="s">
        <v>9</v>
      </c>
      <c r="D22" s="20">
        <f>D23</f>
        <v>25485.03</v>
      </c>
      <c r="E22" s="19">
        <f>E23</f>
        <v>5147.976059999999</v>
      </c>
    </row>
    <row r="23" spans="1:5" ht="12.75">
      <c r="A23" s="14"/>
      <c r="B23" s="14" t="s">
        <v>12</v>
      </c>
      <c r="C23" s="14"/>
      <c r="D23" s="14">
        <v>25485.03</v>
      </c>
      <c r="E23" s="18">
        <f>D23*20.2%</f>
        <v>5147.976059999999</v>
      </c>
    </row>
    <row r="24" spans="1:5" ht="12.75">
      <c r="A24" s="14"/>
      <c r="B24" s="14" t="s">
        <v>13</v>
      </c>
      <c r="C24" s="14"/>
      <c r="D24" s="396"/>
      <c r="E24" s="18"/>
    </row>
    <row r="25" spans="1:5" ht="12.75">
      <c r="A25" s="14"/>
      <c r="B25" s="14" t="s">
        <v>14</v>
      </c>
      <c r="C25" s="14"/>
      <c r="D25" s="14"/>
      <c r="E25" s="18"/>
    </row>
    <row r="26" spans="1:5" ht="12.75">
      <c r="A26" s="14">
        <v>2</v>
      </c>
      <c r="B26" s="395" t="s">
        <v>16</v>
      </c>
      <c r="C26" s="14"/>
      <c r="D26" s="14">
        <v>1036.32</v>
      </c>
      <c r="E26" s="18"/>
    </row>
    <row r="27" spans="1:5" ht="12.75">
      <c r="A27" s="401" t="s">
        <v>71</v>
      </c>
      <c r="B27" s="402" t="s">
        <v>69</v>
      </c>
      <c r="C27" s="14"/>
      <c r="D27" s="19">
        <f>D28+D29+D30</f>
        <v>36961.49</v>
      </c>
      <c r="E27" s="19">
        <f>E28</f>
        <v>5424.013099999999</v>
      </c>
    </row>
    <row r="28" spans="1:5" ht="12.75">
      <c r="A28" s="14">
        <v>1</v>
      </c>
      <c r="B28" s="22" t="s">
        <v>203</v>
      </c>
      <c r="C28" s="14"/>
      <c r="D28" s="22">
        <v>26851.55</v>
      </c>
      <c r="E28" s="18">
        <f>D28*20.2%</f>
        <v>5424.013099999999</v>
      </c>
    </row>
    <row r="29" spans="1:5" ht="12.75">
      <c r="A29" s="14">
        <v>2</v>
      </c>
      <c r="B29" s="22" t="s">
        <v>16</v>
      </c>
      <c r="C29" s="14"/>
      <c r="D29" s="22">
        <v>10109.94</v>
      </c>
      <c r="E29" s="14"/>
    </row>
    <row r="30" spans="1:5" ht="12.75">
      <c r="A30" s="14">
        <v>3</v>
      </c>
      <c r="B30" s="22" t="s">
        <v>96</v>
      </c>
      <c r="C30" s="14"/>
      <c r="D30" s="21">
        <v>0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</f>
        <v>14928.2915</v>
      </c>
      <c r="E31" s="19"/>
    </row>
    <row r="32" spans="1:5" ht="12.75">
      <c r="A32" s="14"/>
      <c r="B32" s="14" t="s">
        <v>18</v>
      </c>
      <c r="C32" s="14"/>
      <c r="D32" s="18">
        <f>D18*5%</f>
        <v>6559.711500000001</v>
      </c>
      <c r="E32" s="14"/>
    </row>
    <row r="33" spans="1:5" ht="12.75">
      <c r="A33" s="14"/>
      <c r="B33" s="14" t="s">
        <v>19</v>
      </c>
      <c r="C33" s="14"/>
      <c r="D33" s="14">
        <v>0</v>
      </c>
      <c r="E33" s="14"/>
    </row>
    <row r="34" spans="1:5" ht="12.75">
      <c r="A34" s="14"/>
      <c r="B34" s="14" t="s">
        <v>21</v>
      </c>
      <c r="C34" s="14"/>
      <c r="D34" s="18">
        <f>4028.25+813.71</f>
        <v>4841.96</v>
      </c>
      <c r="E34" s="18"/>
    </row>
    <row r="35" spans="1:5" ht="12.75">
      <c r="A35" s="14"/>
      <c r="B35" s="395" t="s">
        <v>29</v>
      </c>
      <c r="C35" s="14"/>
      <c r="D35" s="14">
        <f>390.44+38.95</f>
        <v>429.39</v>
      </c>
      <c r="E35" s="14"/>
    </row>
    <row r="36" spans="1:5" ht="12.75">
      <c r="A36" s="14"/>
      <c r="B36" s="395" t="s">
        <v>62</v>
      </c>
      <c r="C36" s="14"/>
      <c r="D36" s="14">
        <v>1148.07</v>
      </c>
      <c r="E36" s="14"/>
    </row>
    <row r="37" spans="1:5" ht="12.75">
      <c r="A37" s="14"/>
      <c r="B37" s="395" t="s">
        <v>61</v>
      </c>
      <c r="C37" s="14"/>
      <c r="D37" s="14">
        <v>0</v>
      </c>
      <c r="E37" s="14"/>
    </row>
    <row r="38" spans="1:5" ht="12.75">
      <c r="A38" s="14"/>
      <c r="B38" s="22" t="s">
        <v>22</v>
      </c>
      <c r="C38" s="14"/>
      <c r="D38" s="14">
        <v>1949.16</v>
      </c>
      <c r="E38" s="14"/>
    </row>
    <row r="39" spans="1:5" ht="12.75">
      <c r="A39" s="14">
        <v>4</v>
      </c>
      <c r="B39" s="20" t="s">
        <v>199</v>
      </c>
      <c r="C39" s="14"/>
      <c r="D39" s="19">
        <f>21695.52+3257.49</f>
        <v>24953.010000000002</v>
      </c>
      <c r="E39" s="19"/>
    </row>
    <row r="40" spans="1:5" ht="12.75">
      <c r="A40" s="14">
        <v>5</v>
      </c>
      <c r="B40" s="20" t="s">
        <v>24</v>
      </c>
      <c r="C40" s="14"/>
      <c r="D40" s="19">
        <f>D21+E21+D27+E27+D31+E31+D39+E39</f>
        <v>113936.13066</v>
      </c>
      <c r="E40" s="14"/>
    </row>
    <row r="41" spans="1:5" ht="12.75">
      <c r="A41" s="14">
        <v>6</v>
      </c>
      <c r="B41" s="14" t="s">
        <v>33</v>
      </c>
      <c r="C41" s="14"/>
      <c r="D41" s="19">
        <f>D18*6%</f>
        <v>7871.6538</v>
      </c>
      <c r="E41" s="14"/>
    </row>
    <row r="42" spans="1:5" ht="12.75">
      <c r="A42" s="14">
        <v>7</v>
      </c>
      <c r="B42" s="20" t="s">
        <v>25</v>
      </c>
      <c r="C42" s="14"/>
      <c r="D42" s="19">
        <f>D40+D41</f>
        <v>121807.78446</v>
      </c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>
        <v>8</v>
      </c>
      <c r="B44" s="20" t="s">
        <v>87</v>
      </c>
      <c r="C44" s="14"/>
      <c r="D44" s="19">
        <f>D18-D42</f>
        <v>9386.445540000015</v>
      </c>
      <c r="E44" s="14"/>
    </row>
    <row r="45" spans="1:5" ht="12.75">
      <c r="A45" s="14">
        <v>9</v>
      </c>
      <c r="B45" s="20" t="s">
        <v>47</v>
      </c>
      <c r="C45" s="14"/>
      <c r="D45" s="19">
        <f>D10+D44</f>
        <v>26974.725540000014</v>
      </c>
      <c r="E45" s="14"/>
    </row>
    <row r="46" spans="1:5" ht="12.75">
      <c r="A46" s="3"/>
      <c r="B46" s="426"/>
      <c r="C46" s="3"/>
      <c r="D46" s="429"/>
      <c r="E46" s="3"/>
    </row>
    <row r="47" spans="1:5" ht="12.75">
      <c r="A47" s="3"/>
      <c r="B47" s="426"/>
      <c r="C47" s="3"/>
      <c r="D47" s="429"/>
      <c r="E47" s="3"/>
    </row>
    <row r="48" spans="1:5" ht="12.75">
      <c r="A48" s="3"/>
      <c r="B48" t="s">
        <v>31</v>
      </c>
      <c r="D48" t="s">
        <v>0</v>
      </c>
      <c r="E48" s="3"/>
    </row>
    <row r="49" spans="1:5" ht="12.75">
      <c r="A49" s="1"/>
      <c r="B49" s="1" t="s">
        <v>32</v>
      </c>
      <c r="C49" s="1"/>
      <c r="D49" s="1" t="s">
        <v>27</v>
      </c>
      <c r="E49" s="1"/>
    </row>
  </sheetData>
  <sheetProtection/>
  <mergeCells count="2">
    <mergeCell ref="D7:E7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zoomScalePageLayoutView="0" workbookViewId="0" topLeftCell="A23">
      <selection activeCell="B39" sqref="B39"/>
    </sheetView>
  </sheetViews>
  <sheetFormatPr defaultColWidth="9.00390625" defaultRowHeight="12.75"/>
  <cols>
    <col min="1" max="1" width="5.625" style="0" customWidth="1"/>
    <col min="2" max="2" width="40.875" style="0" customWidth="1"/>
    <col min="3" max="3" width="7.25390625" style="0" customWidth="1"/>
    <col min="4" max="4" width="12.00390625" style="0" customWidth="1"/>
    <col min="5" max="5" width="10.75390625" style="0" customWidth="1"/>
    <col min="7" max="7" width="3.75390625" style="0" customWidth="1"/>
    <col min="8" max="8" width="38.875" style="0" customWidth="1"/>
    <col min="13" max="13" width="6.25390625" style="0" customWidth="1"/>
    <col min="15" max="15" width="38.00390625" style="0" customWidth="1"/>
    <col min="21" max="21" width="44.75390625" style="0" customWidth="1"/>
    <col min="23" max="23" width="11.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167</v>
      </c>
    </row>
    <row r="5" ht="12.75">
      <c r="B5" t="s">
        <v>51</v>
      </c>
    </row>
    <row r="6" spans="1:5" ht="12.75">
      <c r="A6" s="576"/>
      <c r="B6" s="576"/>
      <c r="C6" s="576"/>
      <c r="D6" s="357"/>
      <c r="E6" s="358"/>
    </row>
    <row r="7" spans="1:5" ht="12.75">
      <c r="A7" s="359"/>
      <c r="B7" s="359"/>
      <c r="C7" s="359"/>
      <c r="D7" s="360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35</v>
      </c>
      <c r="D9" s="579" t="s">
        <v>121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380" t="s">
        <v>80</v>
      </c>
      <c r="C11" s="365"/>
      <c r="D11" s="366">
        <v>-16758</v>
      </c>
      <c r="E11" s="367"/>
    </row>
    <row r="12" spans="1:5" ht="12.75">
      <c r="A12" s="368"/>
      <c r="B12" s="369" t="s">
        <v>5</v>
      </c>
      <c r="C12" s="368" t="s">
        <v>36</v>
      </c>
      <c r="D12" s="374">
        <v>1084.9</v>
      </c>
      <c r="E12" s="368"/>
    </row>
    <row r="13" spans="1:5" ht="12.75">
      <c r="A13" s="368"/>
      <c r="B13" s="369" t="s">
        <v>6</v>
      </c>
      <c r="C13" s="368" t="s">
        <v>36</v>
      </c>
      <c r="D13" s="368">
        <v>604.88</v>
      </c>
      <c r="E13" s="368"/>
    </row>
    <row r="14" spans="1:5" ht="12.75">
      <c r="A14" s="368"/>
      <c r="B14" s="370" t="s">
        <v>28</v>
      </c>
      <c r="C14" s="368" t="s">
        <v>9</v>
      </c>
      <c r="D14" s="371">
        <v>23398.4</v>
      </c>
      <c r="E14" s="368"/>
    </row>
    <row r="15" spans="1:5" ht="12.75">
      <c r="A15" s="368"/>
      <c r="B15" s="368"/>
      <c r="C15" s="368"/>
      <c r="D15" s="368"/>
      <c r="E15" s="368"/>
    </row>
    <row r="16" spans="1:5" ht="15.75">
      <c r="A16" s="368"/>
      <c r="B16" s="372" t="s">
        <v>7</v>
      </c>
      <c r="C16" s="368"/>
      <c r="D16" s="368"/>
      <c r="E16" s="368"/>
    </row>
    <row r="17" spans="1:5" ht="12.75">
      <c r="A17" s="368">
        <v>1</v>
      </c>
      <c r="B17" s="368" t="s">
        <v>8</v>
      </c>
      <c r="C17" s="368" t="s">
        <v>9</v>
      </c>
      <c r="D17" s="368">
        <v>22471.18</v>
      </c>
      <c r="E17" s="368"/>
    </row>
    <row r="18" spans="1:5" ht="12.75">
      <c r="A18" s="368"/>
      <c r="B18" s="368"/>
      <c r="C18" s="368"/>
      <c r="D18" s="368"/>
      <c r="E18" s="368"/>
    </row>
    <row r="19" spans="1:5" ht="15.75">
      <c r="A19" s="368"/>
      <c r="B19" s="372" t="s">
        <v>10</v>
      </c>
      <c r="C19" s="368"/>
      <c r="D19" s="371">
        <f>D17</f>
        <v>22471.18</v>
      </c>
      <c r="E19" s="368"/>
    </row>
    <row r="20" spans="1:5" ht="15.75">
      <c r="A20" s="368"/>
      <c r="B20" s="372"/>
      <c r="C20" s="368"/>
      <c r="D20" s="371"/>
      <c r="E20" s="36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20">
        <f>D23+D27</f>
        <v>9772.17</v>
      </c>
      <c r="E22" s="19">
        <f>E23</f>
        <v>1930.4917799999998</v>
      </c>
    </row>
    <row r="23" spans="1:5" ht="12.75">
      <c r="A23" s="14">
        <v>1</v>
      </c>
      <c r="B23" s="20" t="s">
        <v>11</v>
      </c>
      <c r="C23" s="395" t="s">
        <v>9</v>
      </c>
      <c r="D23" s="20">
        <f>D24</f>
        <v>9556.89</v>
      </c>
      <c r="E23" s="19">
        <f>E24</f>
        <v>1930.4917799999998</v>
      </c>
    </row>
    <row r="24" spans="1:5" ht="12.75">
      <c r="A24" s="14"/>
      <c r="B24" s="14" t="s">
        <v>12</v>
      </c>
      <c r="C24" s="14"/>
      <c r="D24" s="14">
        <v>9556.89</v>
      </c>
      <c r="E24" s="18">
        <f>D24*20.2%</f>
        <v>1930.4917799999998</v>
      </c>
    </row>
    <row r="25" spans="1:5" ht="12.75">
      <c r="A25" s="14"/>
      <c r="B25" s="14" t="s">
        <v>13</v>
      </c>
      <c r="C25" s="14"/>
      <c r="D25" s="396"/>
      <c r="E25" s="18"/>
    </row>
    <row r="26" spans="1:5" ht="12.75">
      <c r="A26" s="14"/>
      <c r="B26" s="14" t="s">
        <v>14</v>
      </c>
      <c r="C26" s="14"/>
      <c r="D26" s="14"/>
      <c r="E26" s="18"/>
    </row>
    <row r="27" spans="1:5" ht="12.75">
      <c r="A27" s="14">
        <v>2</v>
      </c>
      <c r="B27" s="395" t="s">
        <v>16</v>
      </c>
      <c r="C27" s="14"/>
      <c r="D27" s="14">
        <v>215.28</v>
      </c>
      <c r="E27" s="18"/>
    </row>
    <row r="28" spans="1:5" ht="12.75">
      <c r="A28" s="401" t="s">
        <v>71</v>
      </c>
      <c r="B28" s="402" t="s">
        <v>69</v>
      </c>
      <c r="C28" s="22" t="s">
        <v>9</v>
      </c>
      <c r="D28" s="20">
        <f>D29+D30</f>
        <v>5751.2</v>
      </c>
      <c r="E28" s="19">
        <f>E29</f>
        <v>1126.7519599999998</v>
      </c>
    </row>
    <row r="29" spans="1:5" ht="12.75">
      <c r="A29" s="14">
        <v>1</v>
      </c>
      <c r="B29" s="22" t="s">
        <v>203</v>
      </c>
      <c r="C29" s="14"/>
      <c r="D29" s="22">
        <v>5577.98</v>
      </c>
      <c r="E29" s="18">
        <f>D29*20.2%</f>
        <v>1126.7519599999998</v>
      </c>
    </row>
    <row r="30" spans="1:5" ht="12.75">
      <c r="A30" s="14">
        <v>2</v>
      </c>
      <c r="B30" s="22" t="s">
        <v>16</v>
      </c>
      <c r="C30" s="14"/>
      <c r="D30" s="22">
        <v>173.22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</f>
        <v>13203.229</v>
      </c>
      <c r="E31" s="19"/>
    </row>
    <row r="32" spans="1:5" ht="12.75">
      <c r="A32" s="14"/>
      <c r="B32" s="14" t="s">
        <v>18</v>
      </c>
      <c r="C32" s="14"/>
      <c r="D32" s="18">
        <f>D19*5%</f>
        <v>1123.559</v>
      </c>
      <c r="E32" s="14"/>
    </row>
    <row r="33" spans="1:5" ht="12.75">
      <c r="A33" s="14"/>
      <c r="B33" s="14" t="s">
        <v>19</v>
      </c>
      <c r="C33" s="14"/>
      <c r="D33" s="14">
        <v>0</v>
      </c>
      <c r="E33" s="14"/>
    </row>
    <row r="34" spans="1:5" ht="12.75">
      <c r="A34" s="14"/>
      <c r="B34" s="14" t="s">
        <v>21</v>
      </c>
      <c r="C34" s="14"/>
      <c r="D34" s="21">
        <f>836.81+169.04</f>
        <v>1005.8499999999999</v>
      </c>
      <c r="E34" s="18"/>
    </row>
    <row r="35" spans="1:5" ht="12.75">
      <c r="A35" s="14"/>
      <c r="B35" s="395" t="s">
        <v>61</v>
      </c>
      <c r="C35" s="14"/>
      <c r="D35" s="14">
        <v>10430.42</v>
      </c>
      <c r="E35" s="14"/>
    </row>
    <row r="36" spans="1:5" ht="12.75">
      <c r="A36" s="14"/>
      <c r="B36" s="395" t="s">
        <v>62</v>
      </c>
      <c r="C36" s="14"/>
      <c r="D36" s="14">
        <v>238.49</v>
      </c>
      <c r="E36" s="14"/>
    </row>
    <row r="37" spans="1:5" ht="12.75">
      <c r="A37" s="14"/>
      <c r="B37" s="22" t="s">
        <v>22</v>
      </c>
      <c r="C37" s="14"/>
      <c r="D37" s="14">
        <v>404.91</v>
      </c>
      <c r="E37" s="14"/>
    </row>
    <row r="38" spans="1:5" ht="12.75">
      <c r="A38" s="14">
        <v>4</v>
      </c>
      <c r="B38" s="20" t="s">
        <v>199</v>
      </c>
      <c r="C38" s="14"/>
      <c r="D38" s="19">
        <f>4506.69+676.69</f>
        <v>5183.379999999999</v>
      </c>
      <c r="E38" s="19"/>
    </row>
    <row r="39" spans="1:5" ht="12.75">
      <c r="A39" s="14">
        <v>5</v>
      </c>
      <c r="B39" s="20" t="s">
        <v>24</v>
      </c>
      <c r="C39" s="14"/>
      <c r="D39" s="19">
        <f>D22+E22+D28+E28+D31+E31+D38+E38</f>
        <v>36967.22274</v>
      </c>
      <c r="E39" s="14"/>
    </row>
    <row r="40" spans="1:5" ht="12.75">
      <c r="A40" s="14">
        <v>6</v>
      </c>
      <c r="B40" s="14" t="s">
        <v>33</v>
      </c>
      <c r="C40" s="14"/>
      <c r="D40" s="19">
        <f>D19*6%</f>
        <v>1348.2708</v>
      </c>
      <c r="E40" s="14"/>
    </row>
    <row r="41" spans="1:5" ht="12.75">
      <c r="A41" s="14">
        <v>7</v>
      </c>
      <c r="B41" s="20" t="s">
        <v>25</v>
      </c>
      <c r="C41" s="14"/>
      <c r="D41" s="19">
        <f>D39+D40</f>
        <v>38315.493539999996</v>
      </c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>
        <v>8</v>
      </c>
      <c r="B43" s="20" t="s">
        <v>87</v>
      </c>
      <c r="C43" s="14"/>
      <c r="D43" s="19">
        <f>D19-D41</f>
        <v>-15844.313539999996</v>
      </c>
      <c r="E43" s="14"/>
    </row>
    <row r="44" spans="1:5" ht="12.75">
      <c r="A44" s="14">
        <v>9</v>
      </c>
      <c r="B44" s="20" t="s">
        <v>47</v>
      </c>
      <c r="C44" s="14"/>
      <c r="D44" s="19">
        <f>D11+D43</f>
        <v>-32602.313539999996</v>
      </c>
      <c r="E44" s="14"/>
    </row>
    <row r="45" spans="1:5" ht="12.75">
      <c r="A45" s="3"/>
      <c r="B45" s="426"/>
      <c r="C45" s="3"/>
      <c r="D45" s="429"/>
      <c r="E45" s="3"/>
    </row>
    <row r="46" spans="1:5" ht="12.75">
      <c r="A46" s="3"/>
      <c r="B46" s="426"/>
      <c r="C46" s="3"/>
      <c r="D46" s="429"/>
      <c r="E46" s="3"/>
    </row>
    <row r="47" spans="1:5" ht="12.75">
      <c r="A47" s="3"/>
      <c r="B47" s="447" t="s">
        <v>95</v>
      </c>
      <c r="C47" s="447"/>
      <c r="D47" s="448" t="s">
        <v>97</v>
      </c>
      <c r="E47" s="3"/>
    </row>
    <row r="48" spans="1:5" ht="12.75">
      <c r="A48" s="1"/>
      <c r="B48" s="1" t="s">
        <v>32</v>
      </c>
      <c r="C48" s="1"/>
      <c r="D48" s="1" t="s">
        <v>27</v>
      </c>
      <c r="E48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21">
      <selection activeCell="B39" sqref="B39"/>
    </sheetView>
  </sheetViews>
  <sheetFormatPr defaultColWidth="9.00390625" defaultRowHeight="12.75"/>
  <cols>
    <col min="1" max="1" width="5.125" style="0" customWidth="1"/>
    <col min="2" max="2" width="44.375" style="0" customWidth="1"/>
    <col min="3" max="3" width="6.75390625" style="0" customWidth="1"/>
    <col min="4" max="4" width="11.75390625" style="0" customWidth="1"/>
    <col min="5" max="5" width="10.125" style="0" customWidth="1"/>
    <col min="7" max="7" width="3.75390625" style="0" customWidth="1"/>
    <col min="8" max="8" width="40.125" style="0" customWidth="1"/>
    <col min="13" max="13" width="4.00390625" style="0" customWidth="1"/>
    <col min="15" max="15" width="37.75390625" style="0" customWidth="1"/>
    <col min="21" max="21" width="46.375" style="0" customWidth="1"/>
    <col min="23" max="23" width="12.1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168</v>
      </c>
    </row>
    <row r="5" ht="12.75">
      <c r="B5" t="s">
        <v>51</v>
      </c>
    </row>
    <row r="6" spans="1:5" ht="12.75">
      <c r="A6" s="576"/>
      <c r="B6" s="576"/>
      <c r="C6" s="576"/>
      <c r="D6" s="357"/>
      <c r="E6" s="358"/>
    </row>
    <row r="7" spans="1:5" ht="12.75">
      <c r="A7" s="359"/>
      <c r="B7" s="359"/>
      <c r="C7" s="359"/>
      <c r="D7" s="360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35</v>
      </c>
      <c r="D9" s="579" t="s">
        <v>121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380" t="s">
        <v>80</v>
      </c>
      <c r="C11" s="365"/>
      <c r="D11" s="366">
        <v>-18975.96</v>
      </c>
      <c r="E11" s="367"/>
    </row>
    <row r="12" spans="1:5" ht="12.75">
      <c r="A12" s="368"/>
      <c r="B12" s="369" t="s">
        <v>5</v>
      </c>
      <c r="C12" s="368" t="s">
        <v>36</v>
      </c>
      <c r="D12" s="368">
        <v>760.9</v>
      </c>
      <c r="E12" s="368"/>
    </row>
    <row r="13" spans="1:5" ht="12.75">
      <c r="A13" s="368"/>
      <c r="B13" s="369" t="s">
        <v>6</v>
      </c>
      <c r="C13" s="368" t="s">
        <v>36</v>
      </c>
      <c r="D13" s="368">
        <v>434.8</v>
      </c>
      <c r="E13" s="368"/>
    </row>
    <row r="14" spans="1:5" ht="12.75">
      <c r="A14" s="368"/>
      <c r="B14" s="370" t="s">
        <v>28</v>
      </c>
      <c r="C14" s="368" t="s">
        <v>9</v>
      </c>
      <c r="D14" s="371">
        <f>7045.86*2</f>
        <v>14091.72</v>
      </c>
      <c r="E14" s="368"/>
    </row>
    <row r="15" spans="1:5" ht="12.75">
      <c r="A15" s="368"/>
      <c r="B15" s="368"/>
      <c r="C15" s="368"/>
      <c r="D15" s="368"/>
      <c r="E15" s="368"/>
    </row>
    <row r="16" spans="1:5" ht="15.75">
      <c r="A16" s="368"/>
      <c r="B16" s="372" t="s">
        <v>7</v>
      </c>
      <c r="C16" s="368"/>
      <c r="D16" s="368"/>
      <c r="E16" s="368"/>
    </row>
    <row r="17" spans="1:5" ht="12.75">
      <c r="A17" s="368">
        <v>1</v>
      </c>
      <c r="B17" s="368" t="s">
        <v>8</v>
      </c>
      <c r="C17" s="368" t="s">
        <v>9</v>
      </c>
      <c r="D17" s="368">
        <v>12257.52</v>
      </c>
      <c r="E17" s="368"/>
    </row>
    <row r="18" spans="1:5" ht="12.75">
      <c r="A18" s="368"/>
      <c r="B18" s="368"/>
      <c r="C18" s="368"/>
      <c r="D18" s="368"/>
      <c r="E18" s="368"/>
    </row>
    <row r="19" spans="1:5" ht="15.75">
      <c r="A19" s="368"/>
      <c r="B19" s="372" t="s">
        <v>10</v>
      </c>
      <c r="C19" s="368"/>
      <c r="D19" s="371">
        <f>D17</f>
        <v>12257.52</v>
      </c>
      <c r="E19" s="368"/>
    </row>
    <row r="20" spans="1:5" ht="15.75">
      <c r="A20" s="368"/>
      <c r="B20" s="372"/>
      <c r="C20" s="368"/>
      <c r="D20" s="371"/>
      <c r="E20" s="36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20">
        <f>D23+D27</f>
        <v>3200.4900000000002</v>
      </c>
      <c r="E22" s="19">
        <f>E23</f>
        <v>615.23948</v>
      </c>
    </row>
    <row r="23" spans="1:5" ht="12.75">
      <c r="A23" s="14">
        <v>1</v>
      </c>
      <c r="B23" s="20" t="s">
        <v>11</v>
      </c>
      <c r="C23" s="395" t="s">
        <v>9</v>
      </c>
      <c r="D23" s="20">
        <f>D24+D26</f>
        <v>3045.7400000000002</v>
      </c>
      <c r="E23" s="19">
        <f>E24+E26</f>
        <v>615.23948</v>
      </c>
    </row>
    <row r="24" spans="1:5" ht="12.75">
      <c r="A24" s="14"/>
      <c r="B24" s="14" t="s">
        <v>12</v>
      </c>
      <c r="C24" s="14"/>
      <c r="D24" s="14">
        <v>2292.11</v>
      </c>
      <c r="E24" s="18">
        <f>D24*20.2%</f>
        <v>463.00622</v>
      </c>
    </row>
    <row r="25" spans="1:5" ht="12.75">
      <c r="A25" s="14"/>
      <c r="B25" s="14" t="s">
        <v>13</v>
      </c>
      <c r="C25" s="14"/>
      <c r="D25" s="396"/>
      <c r="E25" s="18"/>
    </row>
    <row r="26" spans="1:5" ht="12.75">
      <c r="A26" s="14"/>
      <c r="B26" s="22" t="s">
        <v>155</v>
      </c>
      <c r="C26" s="14"/>
      <c r="D26" s="14">
        <v>753.63</v>
      </c>
      <c r="E26" s="18">
        <f>D26*20.2%</f>
        <v>152.23326</v>
      </c>
    </row>
    <row r="27" spans="1:5" ht="12.75">
      <c r="A27" s="14">
        <v>2</v>
      </c>
      <c r="B27" s="395" t="s">
        <v>16</v>
      </c>
      <c r="C27" s="14"/>
      <c r="D27" s="14">
        <v>154.75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4424.1900000000005</v>
      </c>
      <c r="E28" s="19">
        <f>E29</f>
        <v>809.93314</v>
      </c>
    </row>
    <row r="29" spans="1:5" ht="12.75">
      <c r="A29" s="14">
        <v>1</v>
      </c>
      <c r="B29" s="22" t="s">
        <v>203</v>
      </c>
      <c r="C29" s="14"/>
      <c r="D29" s="22">
        <v>4009.57</v>
      </c>
      <c r="E29" s="18">
        <f>D29*20.2%</f>
        <v>809.93314</v>
      </c>
    </row>
    <row r="30" spans="1:5" ht="12.75">
      <c r="A30" s="14">
        <v>2</v>
      </c>
      <c r="B30" s="22" t="s">
        <v>16</v>
      </c>
      <c r="C30" s="14"/>
      <c r="D30" s="22">
        <v>414.62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</f>
        <v>2617.386</v>
      </c>
      <c r="E31" s="19"/>
    </row>
    <row r="32" spans="1:5" ht="12.75">
      <c r="A32" s="14"/>
      <c r="B32" s="14" t="s">
        <v>18</v>
      </c>
      <c r="C32" s="14"/>
      <c r="D32" s="18">
        <f>D19*5%</f>
        <v>612.8760000000001</v>
      </c>
      <c r="E32" s="14"/>
    </row>
    <row r="33" spans="1:5" ht="12.75">
      <c r="A33" s="14"/>
      <c r="B33" s="14" t="s">
        <v>19</v>
      </c>
      <c r="C33" s="14"/>
      <c r="D33" s="14">
        <v>0</v>
      </c>
      <c r="E33" s="14"/>
    </row>
    <row r="34" spans="1:5" ht="12.75">
      <c r="A34" s="14"/>
      <c r="B34" s="14" t="s">
        <v>21</v>
      </c>
      <c r="C34" s="14"/>
      <c r="D34" s="18">
        <f>601.51+121.51</f>
        <v>723.02</v>
      </c>
      <c r="E34" s="18"/>
    </row>
    <row r="35" spans="1:5" ht="12.75">
      <c r="A35" s="14"/>
      <c r="B35" s="22" t="s">
        <v>169</v>
      </c>
      <c r="C35" s="14"/>
      <c r="D35" s="14">
        <f>250+569</f>
        <v>819</v>
      </c>
      <c r="E35" s="14"/>
    </row>
    <row r="36" spans="1:5" ht="12.75">
      <c r="A36" s="14"/>
      <c r="B36" s="395" t="s">
        <v>62</v>
      </c>
      <c r="C36" s="14"/>
      <c r="D36" s="14">
        <v>171.43</v>
      </c>
      <c r="E36" s="14"/>
    </row>
    <row r="37" spans="1:5" ht="12.75">
      <c r="A37" s="14"/>
      <c r="B37" s="22" t="s">
        <v>22</v>
      </c>
      <c r="C37" s="14"/>
      <c r="D37" s="14">
        <v>291.06</v>
      </c>
      <c r="E37" s="14"/>
    </row>
    <row r="38" spans="1:5" ht="12.75">
      <c r="A38" s="14"/>
      <c r="B38" s="20" t="s">
        <v>199</v>
      </c>
      <c r="C38" s="14"/>
      <c r="D38" s="19">
        <f>3239.65+486.42</f>
        <v>3726.07</v>
      </c>
      <c r="E38" s="19"/>
    </row>
    <row r="39" spans="1:5" ht="12.75">
      <c r="A39" s="14"/>
      <c r="B39" s="20" t="s">
        <v>24</v>
      </c>
      <c r="C39" s="14"/>
      <c r="D39" s="19">
        <f>D22+E22+D28+E28+D31+E31+D38+E38</f>
        <v>15393.30862</v>
      </c>
      <c r="E39" s="14"/>
    </row>
    <row r="40" spans="1:5" ht="12.75">
      <c r="A40" s="14"/>
      <c r="B40" s="14" t="s">
        <v>33</v>
      </c>
      <c r="C40" s="14"/>
      <c r="D40" s="19">
        <f>D19*6%</f>
        <v>735.4512</v>
      </c>
      <c r="E40" s="14"/>
    </row>
    <row r="41" spans="1:5" ht="12.75">
      <c r="A41" s="14"/>
      <c r="B41" s="20" t="s">
        <v>25</v>
      </c>
      <c r="C41" s="14"/>
      <c r="D41" s="19">
        <f>D39+D40</f>
        <v>16128.75982</v>
      </c>
      <c r="E41" s="14"/>
    </row>
    <row r="42" spans="1:5" ht="12.75">
      <c r="A42" s="14">
        <v>5</v>
      </c>
      <c r="B42" s="14"/>
      <c r="C42" s="14"/>
      <c r="D42" s="14"/>
      <c r="E42" s="14"/>
    </row>
    <row r="43" spans="1:5" ht="12.75">
      <c r="A43" s="14">
        <v>6</v>
      </c>
      <c r="B43" s="20" t="s">
        <v>87</v>
      </c>
      <c r="C43" s="14"/>
      <c r="D43" s="19">
        <f>D19-D41</f>
        <v>-3871.239819999999</v>
      </c>
      <c r="E43" s="14"/>
    </row>
    <row r="44" spans="1:5" ht="12.75">
      <c r="A44" s="14">
        <v>7</v>
      </c>
      <c r="B44" s="20" t="s">
        <v>47</v>
      </c>
      <c r="C44" s="14"/>
      <c r="D44" s="19">
        <f>D11+D43</f>
        <v>-22847.199819999998</v>
      </c>
      <c r="E44" s="14"/>
    </row>
    <row r="45" spans="1:5" ht="12.75">
      <c r="A45" s="3"/>
      <c r="B45" s="426"/>
      <c r="C45" s="3"/>
      <c r="D45" s="429"/>
      <c r="E45" s="3"/>
    </row>
    <row r="46" spans="1:5" ht="12.75">
      <c r="A46" s="3"/>
      <c r="B46" s="426"/>
      <c r="C46" s="3"/>
      <c r="D46" s="429"/>
      <c r="E46" s="3"/>
    </row>
    <row r="47" spans="1:5" ht="12.75">
      <c r="A47" s="3"/>
      <c r="B47" s="426"/>
      <c r="C47" s="3"/>
      <c r="D47" s="429"/>
      <c r="E47" s="3"/>
    </row>
    <row r="48" spans="1:5" ht="12.75">
      <c r="A48" s="581" t="s">
        <v>31</v>
      </c>
      <c r="B48" s="581"/>
      <c r="C48" s="447" t="s">
        <v>97</v>
      </c>
      <c r="D48" s="429"/>
      <c r="E48" s="3"/>
    </row>
    <row r="49" spans="1:4" ht="12.75">
      <c r="A49" s="1" t="s">
        <v>32</v>
      </c>
      <c r="B49" s="1"/>
      <c r="C49" s="1" t="s">
        <v>27</v>
      </c>
      <c r="D49" s="1"/>
    </row>
  </sheetData>
  <sheetProtection/>
  <mergeCells count="4">
    <mergeCell ref="A6:C6"/>
    <mergeCell ref="D8:E8"/>
    <mergeCell ref="D9:E9"/>
    <mergeCell ref="A48:B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17">
      <selection activeCell="B38" sqref="B38"/>
    </sheetView>
  </sheetViews>
  <sheetFormatPr defaultColWidth="9.00390625" defaultRowHeight="12.75"/>
  <cols>
    <col min="1" max="1" width="6.00390625" style="0" customWidth="1"/>
    <col min="2" max="2" width="41.375" style="0" customWidth="1"/>
    <col min="3" max="3" width="6.375" style="0" customWidth="1"/>
    <col min="4" max="4" width="11.75390625" style="0" customWidth="1"/>
    <col min="5" max="5" width="11.875" style="0" customWidth="1"/>
    <col min="7" max="7" width="3.75390625" style="0" customWidth="1"/>
    <col min="8" max="8" width="40.125" style="0" customWidth="1"/>
    <col min="13" max="13" width="3.25390625" style="0" customWidth="1"/>
    <col min="15" max="15" width="38.625" style="0" customWidth="1"/>
    <col min="21" max="21" width="44.375" style="0" customWidth="1"/>
    <col min="23" max="23" width="12.25390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170</v>
      </c>
    </row>
    <row r="5" ht="12.75">
      <c r="B5" t="s">
        <v>50</v>
      </c>
    </row>
    <row r="6" spans="1:5" ht="12.75">
      <c r="A6" s="576"/>
      <c r="B6" s="576"/>
      <c r="C6" s="576"/>
      <c r="D6" s="357"/>
      <c r="E6" s="358"/>
    </row>
    <row r="7" spans="1:5" ht="12.75">
      <c r="A7" s="359"/>
      <c r="B7" s="359"/>
      <c r="C7" s="359"/>
      <c r="D7" s="394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35</v>
      </c>
      <c r="D9" s="579" t="s">
        <v>121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380" t="s">
        <v>80</v>
      </c>
      <c r="C11" s="365"/>
      <c r="D11" s="366">
        <v>20047.76</v>
      </c>
      <c r="E11" s="367"/>
    </row>
    <row r="12" spans="1:5" ht="12.75">
      <c r="A12" s="368"/>
      <c r="B12" s="369" t="s">
        <v>5</v>
      </c>
      <c r="C12" s="368" t="s">
        <v>36</v>
      </c>
      <c r="D12" s="368">
        <v>1079.25</v>
      </c>
      <c r="E12" s="368"/>
    </row>
    <row r="13" spans="1:5" ht="12.75">
      <c r="A13" s="368"/>
      <c r="B13" s="369" t="s">
        <v>6</v>
      </c>
      <c r="C13" s="368" t="s">
        <v>36</v>
      </c>
      <c r="D13" s="368">
        <v>613.1</v>
      </c>
      <c r="E13" s="368"/>
    </row>
    <row r="14" spans="1:5" ht="12.75">
      <c r="A14" s="368"/>
      <c r="B14" s="370" t="s">
        <v>28</v>
      </c>
      <c r="C14" s="368" t="s">
        <v>9</v>
      </c>
      <c r="D14" s="371">
        <v>22914.48</v>
      </c>
      <c r="E14" s="368"/>
    </row>
    <row r="15" spans="1:5" ht="12.75">
      <c r="A15" s="368"/>
      <c r="B15" s="368"/>
      <c r="C15" s="368"/>
      <c r="D15" s="368"/>
      <c r="E15" s="368"/>
    </row>
    <row r="16" spans="1:5" ht="15.75">
      <c r="A16" s="368"/>
      <c r="B16" s="372" t="s">
        <v>7</v>
      </c>
      <c r="C16" s="368"/>
      <c r="D16" s="368"/>
      <c r="E16" s="368"/>
    </row>
    <row r="17" spans="1:5" ht="12.75">
      <c r="A17" s="368">
        <v>1</v>
      </c>
      <c r="B17" s="368" t="s">
        <v>8</v>
      </c>
      <c r="C17" s="368" t="s">
        <v>9</v>
      </c>
      <c r="D17" s="368">
        <v>25074.2</v>
      </c>
      <c r="E17" s="368"/>
    </row>
    <row r="18" spans="1:5" ht="12.75">
      <c r="A18" s="368"/>
      <c r="B18" s="368"/>
      <c r="C18" s="368"/>
      <c r="D18" s="368"/>
      <c r="E18" s="368"/>
    </row>
    <row r="19" spans="1:5" ht="15.75">
      <c r="A19" s="368"/>
      <c r="B19" s="372" t="s">
        <v>10</v>
      </c>
      <c r="C19" s="368"/>
      <c r="D19" s="371">
        <f>D17</f>
        <v>25074.2</v>
      </c>
      <c r="E19" s="368"/>
    </row>
    <row r="20" spans="1:5" ht="15.75">
      <c r="A20" s="368"/>
      <c r="B20" s="372"/>
      <c r="C20" s="368"/>
      <c r="D20" s="371"/>
      <c r="E20" s="36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20">
        <f>D23+D27</f>
        <v>6686.820000000001</v>
      </c>
      <c r="E22" s="19">
        <f>E23</f>
        <v>1306.65922</v>
      </c>
    </row>
    <row r="23" spans="1:5" ht="12.75">
      <c r="A23" s="14">
        <v>1</v>
      </c>
      <c r="B23" s="20" t="s">
        <v>11</v>
      </c>
      <c r="C23" s="395" t="s">
        <v>9</v>
      </c>
      <c r="D23" s="20">
        <f>D24+D26</f>
        <v>6468.610000000001</v>
      </c>
      <c r="E23" s="19">
        <f>E24+E26</f>
        <v>1306.65922</v>
      </c>
    </row>
    <row r="24" spans="1:5" ht="12.75">
      <c r="A24" s="14"/>
      <c r="B24" s="14" t="s">
        <v>12</v>
      </c>
      <c r="C24" s="14"/>
      <c r="D24" s="14">
        <v>5734.13</v>
      </c>
      <c r="E24" s="18">
        <f>D24*20.2%</f>
        <v>1158.29426</v>
      </c>
    </row>
    <row r="25" spans="1:5" ht="12.75">
      <c r="A25" s="14"/>
      <c r="B25" s="14" t="s">
        <v>13</v>
      </c>
      <c r="C25" s="14"/>
      <c r="D25" s="396"/>
      <c r="E25" s="18"/>
    </row>
    <row r="26" spans="1:5" ht="12.75">
      <c r="A26" s="14"/>
      <c r="B26" s="22" t="s">
        <v>112</v>
      </c>
      <c r="C26" s="14"/>
      <c r="D26" s="14">
        <v>734.48</v>
      </c>
      <c r="E26" s="18">
        <f>D26*20.2%</f>
        <v>148.36496</v>
      </c>
    </row>
    <row r="27" spans="1:5" ht="12.75">
      <c r="A27" s="14">
        <v>2</v>
      </c>
      <c r="B27" s="395" t="s">
        <v>16</v>
      </c>
      <c r="C27" s="14"/>
      <c r="D27" s="14">
        <v>218.21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5829.36</v>
      </c>
      <c r="E28" s="19">
        <f>E29</f>
        <v>1142.0635599999998</v>
      </c>
    </row>
    <row r="29" spans="1:5" ht="12.75">
      <c r="A29" s="14">
        <v>1</v>
      </c>
      <c r="B29" s="22" t="s">
        <v>203</v>
      </c>
      <c r="C29" s="14"/>
      <c r="D29" s="22">
        <v>5653.78</v>
      </c>
      <c r="E29" s="18">
        <f>D29*20.2%</f>
        <v>1142.0635599999998</v>
      </c>
    </row>
    <row r="30" spans="1:5" ht="12.75">
      <c r="A30" s="14">
        <v>2</v>
      </c>
      <c r="B30" s="22" t="s">
        <v>16</v>
      </c>
      <c r="C30" s="14"/>
      <c r="D30" s="22">
        <v>175.58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</f>
        <v>2925.36</v>
      </c>
      <c r="E31" s="19"/>
    </row>
    <row r="32" spans="1:5" ht="12.75">
      <c r="A32" s="14"/>
      <c r="B32" s="14" t="s">
        <v>18</v>
      </c>
      <c r="C32" s="14"/>
      <c r="D32" s="18">
        <f>D19*5%</f>
        <v>1253.71</v>
      </c>
      <c r="E32" s="14"/>
    </row>
    <row r="33" spans="1:5" ht="12.75">
      <c r="A33" s="14"/>
      <c r="B33" s="14" t="s">
        <v>21</v>
      </c>
      <c r="C33" s="14"/>
      <c r="D33" s="18">
        <f>848.18+171.33</f>
        <v>1019.51</v>
      </c>
      <c r="E33" s="18"/>
    </row>
    <row r="34" spans="1:5" ht="12.75">
      <c r="A34" s="14"/>
      <c r="B34" s="395" t="s">
        <v>62</v>
      </c>
      <c r="C34" s="14"/>
      <c r="D34" s="14">
        <v>241.73</v>
      </c>
      <c r="E34" s="14"/>
    </row>
    <row r="35" spans="1:5" ht="12.75">
      <c r="A35" s="14"/>
      <c r="B35" s="395" t="s">
        <v>61</v>
      </c>
      <c r="C35" s="14"/>
      <c r="D35" s="14">
        <v>0</v>
      </c>
      <c r="E35" s="14"/>
    </row>
    <row r="36" spans="1:5" ht="12.75">
      <c r="A36" s="14"/>
      <c r="B36" s="22" t="s">
        <v>22</v>
      </c>
      <c r="C36" s="14"/>
      <c r="D36" s="14">
        <v>410.41</v>
      </c>
      <c r="E36" s="14"/>
    </row>
    <row r="37" spans="1:5" ht="12.75">
      <c r="A37" s="14">
        <v>4</v>
      </c>
      <c r="B37" s="20" t="s">
        <v>199</v>
      </c>
      <c r="C37" s="14"/>
      <c r="D37" s="19">
        <f>4568.16+685.89</f>
        <v>5254.05</v>
      </c>
      <c r="E37" s="19"/>
    </row>
    <row r="38" spans="1:5" ht="12.75">
      <c r="A38" s="14">
        <v>5</v>
      </c>
      <c r="B38" s="20" t="s">
        <v>24</v>
      </c>
      <c r="C38" s="14"/>
      <c r="D38" s="19">
        <f>D22+E22+D28+E28+D31+E31+D37+E37</f>
        <v>23144.31278</v>
      </c>
      <c r="E38" s="14"/>
    </row>
    <row r="39" spans="1:5" ht="12.75">
      <c r="A39" s="14">
        <v>6</v>
      </c>
      <c r="B39" s="14" t="s">
        <v>33</v>
      </c>
      <c r="C39" s="14"/>
      <c r="D39" s="19">
        <f>D19*6%</f>
        <v>1504.452</v>
      </c>
      <c r="E39" s="14"/>
    </row>
    <row r="40" spans="1:5" ht="12.75">
      <c r="A40" s="14">
        <v>7</v>
      </c>
      <c r="B40" s="20" t="s">
        <v>25</v>
      </c>
      <c r="C40" s="14"/>
      <c r="D40" s="19">
        <f>D38+D39</f>
        <v>24648.76478</v>
      </c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>
        <v>8</v>
      </c>
      <c r="B42" s="20" t="s">
        <v>87</v>
      </c>
      <c r="C42" s="14"/>
      <c r="D42" s="19">
        <f>D19-D40</f>
        <v>425.4352199999994</v>
      </c>
      <c r="E42" s="14"/>
    </row>
    <row r="43" spans="1:5" ht="12.75">
      <c r="A43" s="14">
        <v>9</v>
      </c>
      <c r="B43" s="20" t="s">
        <v>47</v>
      </c>
      <c r="C43" s="14"/>
      <c r="D43" s="19">
        <f>D11+D42</f>
        <v>20473.195219999998</v>
      </c>
      <c r="E43" s="14"/>
    </row>
    <row r="44" spans="1:5" ht="12.75">
      <c r="A44" s="3"/>
      <c r="B44" s="426"/>
      <c r="C44" s="3"/>
      <c r="D44" s="429"/>
      <c r="E44" s="3"/>
    </row>
    <row r="45" spans="1:5" ht="12.75">
      <c r="A45" s="3"/>
      <c r="B45" s="426"/>
      <c r="C45" s="3"/>
      <c r="D45" s="429"/>
      <c r="E45" s="3"/>
    </row>
    <row r="46" spans="1:5" ht="12.75">
      <c r="A46" s="3"/>
      <c r="B46" s="581" t="s">
        <v>31</v>
      </c>
      <c r="C46" s="581"/>
      <c r="D46" s="447" t="s">
        <v>97</v>
      </c>
      <c r="E46" s="429"/>
    </row>
    <row r="47" spans="1:5" ht="12.75">
      <c r="A47" s="1"/>
      <c r="B47" s="1" t="s">
        <v>32</v>
      </c>
      <c r="C47" s="1"/>
      <c r="D47" s="1" t="s">
        <v>27</v>
      </c>
      <c r="E47" s="1"/>
    </row>
    <row r="48" ht="12.75">
      <c r="A48" s="3"/>
    </row>
    <row r="49" ht="12.75">
      <c r="A49" s="1"/>
    </row>
  </sheetData>
  <sheetProtection/>
  <mergeCells count="4">
    <mergeCell ref="A6:C6"/>
    <mergeCell ref="D8:E8"/>
    <mergeCell ref="D9:E9"/>
    <mergeCell ref="B46:C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zoomScalePageLayoutView="0" workbookViewId="0" topLeftCell="A20">
      <selection activeCell="I45" sqref="I45"/>
    </sheetView>
  </sheetViews>
  <sheetFormatPr defaultColWidth="9.00390625" defaultRowHeight="12.75"/>
  <cols>
    <col min="1" max="1" width="5.875" style="0" customWidth="1"/>
    <col min="2" max="2" width="43.25390625" style="0" customWidth="1"/>
    <col min="3" max="3" width="6.25390625" style="0" customWidth="1"/>
    <col min="4" max="4" width="12.625" style="0" customWidth="1"/>
    <col min="5" max="5" width="10.75390625" style="0" customWidth="1"/>
    <col min="7" max="7" width="6.25390625" style="0" customWidth="1"/>
    <col min="8" max="8" width="41.375" style="0" customWidth="1"/>
    <col min="10" max="10" width="9.625" style="0" bestFit="1" customWidth="1"/>
    <col min="13" max="13" width="5.625" style="0" customWidth="1"/>
    <col min="15" max="15" width="38.875" style="0" customWidth="1"/>
    <col min="17" max="17" width="10.125" style="0" customWidth="1"/>
    <col min="19" max="19" width="3.625" style="0" customWidth="1"/>
    <col min="20" max="20" width="6.125" style="0" customWidth="1"/>
    <col min="21" max="21" width="50.625" style="0" customWidth="1"/>
    <col min="23" max="23" width="12.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171</v>
      </c>
    </row>
    <row r="5" spans="1:5" ht="12.75">
      <c r="A5" s="576"/>
      <c r="B5" s="576"/>
      <c r="C5" s="576"/>
      <c r="D5" s="357"/>
      <c r="E5" s="358"/>
    </row>
    <row r="6" spans="1:5" ht="12.75">
      <c r="A6" s="359"/>
      <c r="B6" s="359"/>
      <c r="C6" s="359"/>
      <c r="D6" s="360"/>
      <c r="E6" s="361"/>
    </row>
    <row r="7" spans="1:5" ht="15.75">
      <c r="A7" s="359"/>
      <c r="B7" s="362" t="s">
        <v>1</v>
      </c>
      <c r="C7" s="363" t="s">
        <v>3</v>
      </c>
      <c r="D7" s="577" t="s">
        <v>4</v>
      </c>
      <c r="E7" s="578"/>
    </row>
    <row r="8" spans="1:5" ht="15.75">
      <c r="A8" s="364"/>
      <c r="B8" s="362" t="s">
        <v>2</v>
      </c>
      <c r="C8" s="363" t="s">
        <v>35</v>
      </c>
      <c r="D8" s="579" t="s">
        <v>121</v>
      </c>
      <c r="E8" s="580"/>
    </row>
    <row r="9" spans="1:5" ht="12.75">
      <c r="A9" s="365"/>
      <c r="B9" s="365"/>
      <c r="C9" s="365"/>
      <c r="D9" s="366"/>
      <c r="E9" s="367"/>
    </row>
    <row r="10" spans="1:5" ht="12.75">
      <c r="A10" s="365"/>
      <c r="B10" s="380" t="s">
        <v>80</v>
      </c>
      <c r="C10" s="365"/>
      <c r="D10" s="366">
        <v>-50864.65</v>
      </c>
      <c r="E10" s="367"/>
    </row>
    <row r="11" spans="1:5" ht="12.75">
      <c r="A11" s="368"/>
      <c r="B11" s="369" t="s">
        <v>5</v>
      </c>
      <c r="C11" s="368" t="s">
        <v>36</v>
      </c>
      <c r="D11" s="368">
        <v>3722.8</v>
      </c>
      <c r="E11" s="368"/>
    </row>
    <row r="12" spans="1:5" ht="12.75">
      <c r="A12" s="368"/>
      <c r="B12" s="369" t="s">
        <v>6</v>
      </c>
      <c r="C12" s="368" t="s">
        <v>36</v>
      </c>
      <c r="D12" s="368">
        <v>2935</v>
      </c>
      <c r="E12" s="368"/>
    </row>
    <row r="13" spans="1:5" ht="12.75">
      <c r="A13" s="368"/>
      <c r="B13" s="370" t="s">
        <v>28</v>
      </c>
      <c r="C13" s="368" t="s">
        <v>9</v>
      </c>
      <c r="D13" s="371">
        <v>108468.78</v>
      </c>
      <c r="E13" s="368"/>
    </row>
    <row r="14" spans="1:5" ht="12.75">
      <c r="A14" s="368"/>
      <c r="B14" s="368"/>
      <c r="C14" s="368"/>
      <c r="D14" s="368"/>
      <c r="E14" s="368"/>
    </row>
    <row r="15" spans="1:5" ht="15.75">
      <c r="A15" s="368"/>
      <c r="B15" s="372" t="s">
        <v>7</v>
      </c>
      <c r="C15" s="368"/>
      <c r="D15" s="368"/>
      <c r="E15" s="368"/>
    </row>
    <row r="16" spans="1:5" ht="12.75">
      <c r="A16" s="368">
        <v>1</v>
      </c>
      <c r="B16" s="368" t="s">
        <v>8</v>
      </c>
      <c r="C16" s="368" t="s">
        <v>9</v>
      </c>
      <c r="D16" s="368">
        <v>104521.14</v>
      </c>
      <c r="E16" s="368"/>
    </row>
    <row r="17" spans="1:5" ht="12.75">
      <c r="A17" s="368"/>
      <c r="B17" s="368"/>
      <c r="C17" s="368"/>
      <c r="D17" s="368"/>
      <c r="E17" s="368"/>
    </row>
    <row r="18" spans="1:5" ht="15.75">
      <c r="A18" s="368"/>
      <c r="B18" s="372" t="s">
        <v>10</v>
      </c>
      <c r="C18" s="368"/>
      <c r="D18" s="371">
        <f>D16</f>
        <v>104521.14</v>
      </c>
      <c r="E18" s="368"/>
    </row>
    <row r="19" spans="1:5" ht="15.75">
      <c r="A19" s="368"/>
      <c r="B19" s="372"/>
      <c r="C19" s="368"/>
      <c r="D19" s="371"/>
      <c r="E19" s="368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20">
        <f>D22+D26</f>
        <v>23194.739999999998</v>
      </c>
      <c r="E21" s="19">
        <f>E22</f>
        <v>4474.3323199999995</v>
      </c>
    </row>
    <row r="22" spans="1:5" ht="12.75">
      <c r="A22" s="14">
        <v>1</v>
      </c>
      <c r="B22" s="20" t="s">
        <v>11</v>
      </c>
      <c r="C22" s="395" t="s">
        <v>9</v>
      </c>
      <c r="D22" s="20">
        <f>D23</f>
        <v>22150.16</v>
      </c>
      <c r="E22" s="19">
        <f>E23</f>
        <v>4474.3323199999995</v>
      </c>
    </row>
    <row r="23" spans="1:5" ht="12.75">
      <c r="A23" s="14"/>
      <c r="B23" s="14" t="s">
        <v>12</v>
      </c>
      <c r="C23" s="14"/>
      <c r="D23" s="14">
        <v>22150.16</v>
      </c>
      <c r="E23" s="18">
        <f>D23*20.2%</f>
        <v>4474.3323199999995</v>
      </c>
    </row>
    <row r="24" spans="1:5" ht="12.75">
      <c r="A24" s="14"/>
      <c r="B24" s="14" t="s">
        <v>13</v>
      </c>
      <c r="C24" s="14"/>
      <c r="D24" s="396"/>
      <c r="E24" s="18"/>
    </row>
    <row r="25" spans="1:5" ht="12.75">
      <c r="A25" s="14"/>
      <c r="B25" s="14" t="s">
        <v>14</v>
      </c>
      <c r="C25" s="14"/>
      <c r="D25" s="14"/>
      <c r="E25" s="18"/>
    </row>
    <row r="26" spans="1:5" ht="12.75">
      <c r="A26" s="14">
        <v>2</v>
      </c>
      <c r="B26" s="395" t="s">
        <v>16</v>
      </c>
      <c r="C26" s="14"/>
      <c r="D26" s="14">
        <v>1044.58</v>
      </c>
      <c r="E26" s="18"/>
    </row>
    <row r="27" spans="1:5" ht="12.75">
      <c r="A27" s="401" t="s">
        <v>71</v>
      </c>
      <c r="B27" s="402" t="s">
        <v>69</v>
      </c>
      <c r="C27" s="14"/>
      <c r="D27" s="19">
        <f>D28+D29+D30</f>
        <v>38704.29</v>
      </c>
      <c r="E27" s="19">
        <f>E28</f>
        <v>5467.22898</v>
      </c>
    </row>
    <row r="28" spans="1:5" ht="12.75">
      <c r="A28" s="14">
        <v>1</v>
      </c>
      <c r="B28" s="22" t="s">
        <v>203</v>
      </c>
      <c r="C28" s="14"/>
      <c r="D28" s="22">
        <v>27065.49</v>
      </c>
      <c r="E28" s="18">
        <f>D28*20.2%</f>
        <v>5467.22898</v>
      </c>
    </row>
    <row r="29" spans="1:5" ht="12.75">
      <c r="A29" s="14">
        <v>2</v>
      </c>
      <c r="B29" s="22" t="s">
        <v>16</v>
      </c>
      <c r="C29" s="14"/>
      <c r="D29" s="21">
        <v>2138.8</v>
      </c>
      <c r="E29" s="14"/>
    </row>
    <row r="30" spans="1:5" ht="12.75">
      <c r="A30" s="14">
        <v>3</v>
      </c>
      <c r="B30" s="22" t="s">
        <v>107</v>
      </c>
      <c r="C30" s="14"/>
      <c r="D30" s="21">
        <v>9500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</f>
        <v>42086.697</v>
      </c>
      <c r="E31" s="19"/>
    </row>
    <row r="32" spans="1:5" ht="12.75">
      <c r="A32" s="14"/>
      <c r="B32" s="14" t="s">
        <v>18</v>
      </c>
      <c r="C32" s="14"/>
      <c r="D32" s="18">
        <f>D18*5%</f>
        <v>5226.057000000001</v>
      </c>
      <c r="E32" s="14"/>
    </row>
    <row r="33" spans="1:5" ht="12.75">
      <c r="A33" s="14"/>
      <c r="B33" s="22" t="s">
        <v>172</v>
      </c>
      <c r="C33" s="14"/>
      <c r="D33" s="14">
        <v>27025.24</v>
      </c>
      <c r="E33" s="14"/>
    </row>
    <row r="34" spans="1:5" ht="12.75">
      <c r="A34" s="14"/>
      <c r="B34" s="14" t="s">
        <v>21</v>
      </c>
      <c r="C34" s="14"/>
      <c r="D34" s="18">
        <f>4060.35+820.19</f>
        <v>4880.54</v>
      </c>
      <c r="E34" s="18"/>
    </row>
    <row r="35" spans="1:5" ht="12.75">
      <c r="A35" s="14"/>
      <c r="B35" s="22" t="s">
        <v>62</v>
      </c>
      <c r="C35" s="14"/>
      <c r="D35" s="14">
        <v>1157.21</v>
      </c>
      <c r="E35" s="14"/>
    </row>
    <row r="36" spans="1:5" ht="12.75">
      <c r="A36" s="14"/>
      <c r="B36" s="395" t="s">
        <v>29</v>
      </c>
      <c r="C36" s="14"/>
      <c r="D36" s="14">
        <f>390.44+1442.52</f>
        <v>1832.96</v>
      </c>
      <c r="E36" s="14"/>
    </row>
    <row r="37" spans="1:5" ht="12.75">
      <c r="A37" s="14"/>
      <c r="B37" s="14" t="s">
        <v>22</v>
      </c>
      <c r="C37" s="14"/>
      <c r="D37" s="14">
        <v>1964.69</v>
      </c>
      <c r="E37" s="14"/>
    </row>
    <row r="38" spans="1:5" ht="12.75">
      <c r="A38" s="14">
        <v>4</v>
      </c>
      <c r="B38" s="20" t="s">
        <v>199</v>
      </c>
      <c r="C38" s="14"/>
      <c r="D38" s="19">
        <v>24985.07</v>
      </c>
      <c r="E38" s="19"/>
    </row>
    <row r="39" spans="1:5" ht="12.75">
      <c r="A39" s="14">
        <v>5</v>
      </c>
      <c r="B39" s="20" t="s">
        <v>24</v>
      </c>
      <c r="C39" s="14"/>
      <c r="D39" s="19">
        <f>D21+E21+D27+E27+D31+E31+D38+E38</f>
        <v>138912.3583</v>
      </c>
      <c r="E39" s="14"/>
    </row>
    <row r="40" spans="1:5" ht="12.75">
      <c r="A40" s="14">
        <v>6</v>
      </c>
      <c r="B40" s="14" t="s">
        <v>33</v>
      </c>
      <c r="C40" s="14"/>
      <c r="D40" s="19">
        <f>D18*6%</f>
        <v>6271.2684</v>
      </c>
      <c r="E40" s="14"/>
    </row>
    <row r="41" spans="1:5" ht="12.75">
      <c r="A41" s="14">
        <v>7</v>
      </c>
      <c r="B41" s="20" t="s">
        <v>25</v>
      </c>
      <c r="C41" s="14"/>
      <c r="D41" s="19">
        <f>D39+D40</f>
        <v>145183.6267</v>
      </c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>
        <v>8</v>
      </c>
      <c r="B43" s="20" t="s">
        <v>87</v>
      </c>
      <c r="C43" s="14"/>
      <c r="D43" s="19">
        <f>D18-D41</f>
        <v>-40662.486699999994</v>
      </c>
      <c r="E43" s="14"/>
    </row>
    <row r="44" spans="1:5" ht="12.75">
      <c r="A44" s="14">
        <v>9</v>
      </c>
      <c r="B44" s="20" t="s">
        <v>47</v>
      </c>
      <c r="C44" s="14"/>
      <c r="D44" s="19">
        <f>D10+D43</f>
        <v>-91527.1367</v>
      </c>
      <c r="E44" s="14"/>
    </row>
    <row r="45" spans="1:5" ht="12.75">
      <c r="A45" s="3"/>
      <c r="B45" s="426"/>
      <c r="C45" s="3"/>
      <c r="D45" s="429"/>
      <c r="E45" s="3"/>
    </row>
    <row r="46" spans="1:5" ht="12.75">
      <c r="A46" s="3"/>
      <c r="B46" s="426"/>
      <c r="C46" s="3"/>
      <c r="D46" s="429"/>
      <c r="E46" s="3"/>
    </row>
    <row r="47" spans="1:5" ht="12.75">
      <c r="A47" s="3"/>
      <c r="B47" s="581" t="s">
        <v>31</v>
      </c>
      <c r="C47" s="581"/>
      <c r="D47" s="447" t="s">
        <v>97</v>
      </c>
      <c r="E47" s="3"/>
    </row>
    <row r="48" spans="1:5" ht="12.75">
      <c r="A48" s="1"/>
      <c r="B48" s="1" t="s">
        <v>32</v>
      </c>
      <c r="C48" s="1"/>
      <c r="D48" s="1" t="s">
        <v>27</v>
      </c>
      <c r="E48" s="1"/>
    </row>
  </sheetData>
  <sheetProtection/>
  <mergeCells count="4">
    <mergeCell ref="D8:E8"/>
    <mergeCell ref="A5:C5"/>
    <mergeCell ref="D7:E7"/>
    <mergeCell ref="B47:C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zoomScalePageLayoutView="0" workbookViewId="0" topLeftCell="A29">
      <selection activeCell="D34" sqref="D34"/>
    </sheetView>
  </sheetViews>
  <sheetFormatPr defaultColWidth="9.00390625" defaultRowHeight="12.75"/>
  <cols>
    <col min="1" max="1" width="5.75390625" style="0" customWidth="1"/>
    <col min="2" max="2" width="42.625" style="0" customWidth="1"/>
    <col min="3" max="3" width="6.75390625" style="0" customWidth="1"/>
    <col min="4" max="4" width="10.00390625" style="0" customWidth="1"/>
    <col min="5" max="5" width="10.625" style="0" customWidth="1"/>
    <col min="7" max="7" width="3.75390625" style="0" customWidth="1"/>
    <col min="8" max="8" width="39.875" style="0" customWidth="1"/>
    <col min="10" max="10" width="11.00390625" style="0" customWidth="1"/>
    <col min="13" max="13" width="6.375" style="0" customWidth="1"/>
    <col min="14" max="14" width="37.125" style="0" customWidth="1"/>
    <col min="16" max="16" width="10.875" style="0" customWidth="1"/>
    <col min="17" max="17" width="13.00390625" style="0" customWidth="1"/>
    <col min="19" max="19" width="5.375" style="0" customWidth="1"/>
    <col min="20" max="20" width="41.625" style="0" customWidth="1"/>
    <col min="22" max="22" width="11.00390625" style="0" customWidth="1"/>
  </cols>
  <sheetData>
    <row r="1" spans="1:5" ht="15.75">
      <c r="A1" s="39"/>
      <c r="B1" s="40" t="s">
        <v>26</v>
      </c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5" ht="12.75">
      <c r="A3" s="39"/>
      <c r="B3" s="39" t="s">
        <v>30</v>
      </c>
      <c r="C3" s="39"/>
      <c r="D3" s="39"/>
      <c r="E3" s="39"/>
    </row>
    <row r="4" spans="1:5" ht="12.75">
      <c r="A4" s="39"/>
      <c r="B4" s="430" t="s">
        <v>110</v>
      </c>
      <c r="C4" s="39"/>
      <c r="D4" s="39"/>
      <c r="E4" s="39"/>
    </row>
    <row r="5" spans="1:5" ht="12.75">
      <c r="A5" s="39"/>
      <c r="B5" s="39" t="s">
        <v>42</v>
      </c>
      <c r="C5" s="39"/>
      <c r="D5" s="39"/>
      <c r="E5" s="39"/>
    </row>
    <row r="6" spans="1:5" ht="12.75">
      <c r="A6" s="488"/>
      <c r="B6" s="488"/>
      <c r="C6" s="488"/>
      <c r="D6" s="385"/>
      <c r="E6" s="41"/>
    </row>
    <row r="7" spans="1:5" ht="12.75">
      <c r="A7" s="391"/>
      <c r="B7" s="391"/>
      <c r="C7" s="391"/>
      <c r="D7" s="43"/>
      <c r="E7" s="44"/>
    </row>
    <row r="8" spans="1:5" ht="15.75">
      <c r="A8" s="42"/>
      <c r="B8" s="45" t="s">
        <v>1</v>
      </c>
      <c r="C8" s="46" t="s">
        <v>3</v>
      </c>
      <c r="D8" s="489" t="s">
        <v>4</v>
      </c>
      <c r="E8" s="490"/>
    </row>
    <row r="9" spans="1:5" ht="15.75">
      <c r="A9" s="47"/>
      <c r="B9" s="45" t="s">
        <v>2</v>
      </c>
      <c r="C9" s="46" t="s">
        <v>35</v>
      </c>
      <c r="D9" s="491" t="s">
        <v>111</v>
      </c>
      <c r="E9" s="492"/>
    </row>
    <row r="10" spans="1:5" ht="12.75">
      <c r="A10" s="48"/>
      <c r="B10" s="48"/>
      <c r="C10" s="48"/>
      <c r="D10" s="49"/>
      <c r="E10" s="50"/>
    </row>
    <row r="11" spans="1:5" ht="12.75">
      <c r="A11" s="48"/>
      <c r="B11" s="407" t="s">
        <v>80</v>
      </c>
      <c r="C11" s="48"/>
      <c r="D11" s="49">
        <v>111704.2</v>
      </c>
      <c r="E11" s="50"/>
    </row>
    <row r="12" spans="1:5" ht="12.75">
      <c r="A12" s="51"/>
      <c r="B12" s="52" t="s">
        <v>5</v>
      </c>
      <c r="C12" s="51" t="s">
        <v>36</v>
      </c>
      <c r="D12" s="51">
        <v>5182.7</v>
      </c>
      <c r="E12" s="51"/>
    </row>
    <row r="13" spans="1:5" ht="12.75">
      <c r="A13" s="51"/>
      <c r="B13" s="52" t="s">
        <v>6</v>
      </c>
      <c r="C13" s="51" t="s">
        <v>36</v>
      </c>
      <c r="D13" s="51">
        <v>4325</v>
      </c>
      <c r="E13" s="51"/>
    </row>
    <row r="14" spans="1:5" ht="12.75">
      <c r="A14" s="51"/>
      <c r="B14" s="53" t="s">
        <v>28</v>
      </c>
      <c r="C14" s="51" t="s">
        <v>9</v>
      </c>
      <c r="D14" s="51">
        <v>165235.06</v>
      </c>
      <c r="E14" s="51"/>
    </row>
    <row r="15" spans="1:5" ht="12.75">
      <c r="A15" s="51"/>
      <c r="B15" s="51"/>
      <c r="C15" s="51"/>
      <c r="D15" s="51"/>
      <c r="E15" s="51"/>
    </row>
    <row r="16" spans="1:5" ht="15.75">
      <c r="A16" s="51"/>
      <c r="B16" s="54" t="s">
        <v>7</v>
      </c>
      <c r="C16" s="51"/>
      <c r="D16" s="51"/>
      <c r="E16" s="51"/>
    </row>
    <row r="17" spans="1:5" ht="12.75">
      <c r="A17" s="51">
        <v>1</v>
      </c>
      <c r="B17" s="51" t="s">
        <v>8</v>
      </c>
      <c r="C17" s="51" t="s">
        <v>9</v>
      </c>
      <c r="D17" s="51">
        <v>151504.06</v>
      </c>
      <c r="E17" s="51"/>
    </row>
    <row r="18" spans="1:5" ht="12.75">
      <c r="A18" s="51">
        <v>3</v>
      </c>
      <c r="B18" s="51" t="s">
        <v>104</v>
      </c>
      <c r="C18" s="51"/>
      <c r="D18" s="51">
        <f>3000+1200+1949.91</f>
        <v>6149.91</v>
      </c>
      <c r="E18" s="51"/>
    </row>
    <row r="19" spans="1:5" ht="15.75">
      <c r="A19" s="51"/>
      <c r="B19" s="54" t="s">
        <v>10</v>
      </c>
      <c r="C19" s="51"/>
      <c r="D19" s="55">
        <f>D17+D18</f>
        <v>157653.97</v>
      </c>
      <c r="E19" s="51"/>
    </row>
    <row r="20" spans="1:5" ht="15.75">
      <c r="A20" s="51"/>
      <c r="B20" s="54"/>
      <c r="C20" s="51"/>
      <c r="D20" s="55"/>
      <c r="E20" s="51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19">
        <f>D23+D28</f>
        <v>25856.09</v>
      </c>
      <c r="E22" s="19">
        <f>E23</f>
        <v>4911.9936</v>
      </c>
    </row>
    <row r="23" spans="1:5" ht="12.75">
      <c r="A23" s="14">
        <v>1</v>
      </c>
      <c r="B23" s="20" t="s">
        <v>11</v>
      </c>
      <c r="C23" s="395" t="s">
        <v>9</v>
      </c>
      <c r="D23" s="19">
        <f>D24+D25+D26+D27</f>
        <v>24316.8</v>
      </c>
      <c r="E23" s="19">
        <f>E24+E25+E26+E27</f>
        <v>4911.9936</v>
      </c>
    </row>
    <row r="24" spans="1:5" ht="12.75">
      <c r="A24" s="14"/>
      <c r="B24" s="14" t="s">
        <v>12</v>
      </c>
      <c r="C24" s="14"/>
      <c r="D24" s="14">
        <v>22936.53</v>
      </c>
      <c r="E24" s="18">
        <f>D24*20.2%</f>
        <v>4633.1790599999995</v>
      </c>
    </row>
    <row r="25" spans="1:5" ht="12.75">
      <c r="A25" s="14"/>
      <c r="B25" s="14" t="s">
        <v>13</v>
      </c>
      <c r="C25" s="14"/>
      <c r="D25" s="396">
        <v>0</v>
      </c>
      <c r="E25" s="18">
        <f>D25*20.2%</f>
        <v>0</v>
      </c>
    </row>
    <row r="26" spans="1:5" ht="12.75">
      <c r="A26" s="14"/>
      <c r="B26" s="14" t="s">
        <v>14</v>
      </c>
      <c r="C26" s="14"/>
      <c r="D26" s="14">
        <v>0</v>
      </c>
      <c r="E26" s="18">
        <f>D26*20.2%</f>
        <v>0</v>
      </c>
    </row>
    <row r="27" spans="1:5" ht="12.75">
      <c r="A27" s="14"/>
      <c r="B27" s="22" t="s">
        <v>112</v>
      </c>
      <c r="C27" s="14"/>
      <c r="D27" s="14">
        <v>1380.27</v>
      </c>
      <c r="E27" s="18">
        <f>D27*20.2%</f>
        <v>278.81453999999997</v>
      </c>
    </row>
    <row r="28" spans="1:5" ht="12.75">
      <c r="A28" s="14">
        <v>2</v>
      </c>
      <c r="B28" s="395" t="s">
        <v>16</v>
      </c>
      <c r="C28" s="14"/>
      <c r="D28" s="14">
        <v>1539.29</v>
      </c>
      <c r="E28" s="18"/>
    </row>
    <row r="29" spans="1:5" ht="12.75">
      <c r="A29" s="401" t="s">
        <v>71</v>
      </c>
      <c r="B29" s="402" t="s">
        <v>69</v>
      </c>
      <c r="C29" s="14"/>
      <c r="D29" s="20">
        <f>D30+D31+D32</f>
        <v>50467.579999999994</v>
      </c>
      <c r="E29" s="19">
        <f>E30</f>
        <v>8056.479119999999</v>
      </c>
    </row>
    <row r="30" spans="1:5" ht="12.75">
      <c r="A30" s="14">
        <v>1</v>
      </c>
      <c r="B30" s="22" t="s">
        <v>70</v>
      </c>
      <c r="C30" s="14"/>
      <c r="D30" s="22">
        <v>39883.56</v>
      </c>
      <c r="E30" s="21">
        <f>D30*20.2%</f>
        <v>8056.479119999999</v>
      </c>
    </row>
    <row r="31" spans="1:5" ht="12.75">
      <c r="A31" s="14">
        <v>2</v>
      </c>
      <c r="B31" s="22" t="s">
        <v>16</v>
      </c>
      <c r="C31" s="14"/>
      <c r="D31" s="22">
        <v>2867.82</v>
      </c>
      <c r="E31" s="14"/>
    </row>
    <row r="32" spans="1:5" ht="12.75">
      <c r="A32" s="14">
        <v>3</v>
      </c>
      <c r="B32" s="22" t="s">
        <v>107</v>
      </c>
      <c r="C32" s="14"/>
      <c r="D32" s="22">
        <v>7716.2</v>
      </c>
      <c r="E32" s="14"/>
    </row>
    <row r="33" spans="1:5" ht="12.75">
      <c r="A33" s="401" t="s">
        <v>72</v>
      </c>
      <c r="B33" s="20" t="s">
        <v>17</v>
      </c>
      <c r="C33" s="14"/>
      <c r="D33" s="19">
        <f>D34+D35+D36+D37+D38+D39+D40+D41+D42</f>
        <v>33684.3785</v>
      </c>
      <c r="E33" s="19"/>
    </row>
    <row r="34" spans="1:5" ht="12.75">
      <c r="A34" s="14"/>
      <c r="B34" s="14" t="s">
        <v>18</v>
      </c>
      <c r="C34" s="14"/>
      <c r="D34" s="18">
        <f>D19*5%</f>
        <v>7882.6985</v>
      </c>
      <c r="E34" s="14"/>
    </row>
    <row r="35" spans="1:5" ht="12.75">
      <c r="A35" s="14"/>
      <c r="B35" s="14" t="s">
        <v>19</v>
      </c>
      <c r="C35" s="14"/>
      <c r="D35" s="14">
        <v>755.62</v>
      </c>
      <c r="E35" s="14"/>
    </row>
    <row r="36" spans="1:5" ht="12.75">
      <c r="A36" s="14"/>
      <c r="B36" s="14" t="s">
        <v>20</v>
      </c>
      <c r="C36" s="14"/>
      <c r="D36" s="14">
        <v>2888</v>
      </c>
      <c r="E36" s="14"/>
    </row>
    <row r="37" spans="1:5" ht="12.75">
      <c r="A37" s="14"/>
      <c r="B37" s="14" t="s">
        <v>21</v>
      </c>
      <c r="C37" s="14"/>
      <c r="D37" s="18">
        <f>5983.31+1208.63</f>
        <v>7191.9400000000005</v>
      </c>
      <c r="E37" s="18"/>
    </row>
    <row r="38" spans="1:5" ht="12.75">
      <c r="A38" s="14"/>
      <c r="B38" s="22" t="s">
        <v>113</v>
      </c>
      <c r="C38" s="14"/>
      <c r="D38" s="14">
        <v>2400</v>
      </c>
      <c r="E38" s="14"/>
    </row>
    <row r="39" spans="1:5" ht="12.75">
      <c r="A39" s="14"/>
      <c r="B39" s="22" t="s">
        <v>29</v>
      </c>
      <c r="C39" s="14"/>
      <c r="D39" s="14">
        <f>195.22+38.95</f>
        <v>234.17000000000002</v>
      </c>
      <c r="E39" s="14"/>
    </row>
    <row r="40" spans="1:5" ht="12.75">
      <c r="A40" s="14"/>
      <c r="B40" s="395" t="s">
        <v>62</v>
      </c>
      <c r="C40" s="14"/>
      <c r="D40" s="14">
        <v>1705.26</v>
      </c>
      <c r="E40" s="14"/>
    </row>
    <row r="41" spans="1:5" ht="12.75">
      <c r="A41" s="14"/>
      <c r="B41" s="395" t="s">
        <v>61</v>
      </c>
      <c r="C41" s="14"/>
      <c r="D41" s="14">
        <v>7731.53</v>
      </c>
      <c r="E41" s="14"/>
    </row>
    <row r="42" spans="1:5" ht="12.75">
      <c r="A42" s="14"/>
      <c r="B42" s="14" t="s">
        <v>22</v>
      </c>
      <c r="C42" s="14"/>
      <c r="D42" s="14">
        <v>2895.16</v>
      </c>
      <c r="E42" s="14"/>
    </row>
    <row r="43" spans="1:5" ht="12.75">
      <c r="A43" s="14">
        <v>4</v>
      </c>
      <c r="B43" s="20" t="s">
        <v>199</v>
      </c>
      <c r="C43" s="14"/>
      <c r="D43" s="19">
        <v>37063.59</v>
      </c>
      <c r="E43" s="19"/>
    </row>
    <row r="44" spans="1:5" ht="12.75">
      <c r="A44" s="14">
        <v>5</v>
      </c>
      <c r="B44" s="20" t="s">
        <v>24</v>
      </c>
      <c r="C44" s="14"/>
      <c r="D44" s="19">
        <f>D22+E22+D29+E29+D33+E33+D43+E43</f>
        <v>160040.11122</v>
      </c>
      <c r="E44" s="14"/>
    </row>
    <row r="45" spans="1:5" ht="12.75">
      <c r="A45" s="14">
        <v>6</v>
      </c>
      <c r="B45" s="14" t="s">
        <v>33</v>
      </c>
      <c r="C45" s="14"/>
      <c r="D45" s="19">
        <f>D19*6%</f>
        <v>9459.2382</v>
      </c>
      <c r="E45" s="14"/>
    </row>
    <row r="46" spans="1:5" ht="12.75">
      <c r="A46" s="14">
        <v>7</v>
      </c>
      <c r="B46" s="20" t="s">
        <v>25</v>
      </c>
      <c r="C46" s="14"/>
      <c r="D46" s="19">
        <f>D44+D45</f>
        <v>169499.34941999998</v>
      </c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14">
        <v>8</v>
      </c>
      <c r="B48" s="20" t="s">
        <v>87</v>
      </c>
      <c r="C48" s="14"/>
      <c r="D48" s="19">
        <f>D19-D46</f>
        <v>-11845.379419999983</v>
      </c>
      <c r="E48" s="14"/>
    </row>
    <row r="49" spans="1:5" ht="12.75">
      <c r="A49" s="14">
        <v>9</v>
      </c>
      <c r="B49" s="20" t="s">
        <v>47</v>
      </c>
      <c r="C49" s="14"/>
      <c r="D49" s="19">
        <f>D11+D48</f>
        <v>99858.82058000001</v>
      </c>
      <c r="E49" s="14"/>
    </row>
    <row r="50" spans="1:5" ht="12.75">
      <c r="A50" s="3"/>
      <c r="B50" s="426"/>
      <c r="C50" s="3"/>
      <c r="D50" s="429"/>
      <c r="E50" s="3"/>
    </row>
    <row r="51" spans="1:5" ht="12.75">
      <c r="A51" s="3"/>
      <c r="B51" s="1" t="s">
        <v>31</v>
      </c>
      <c r="C51" s="1"/>
      <c r="D51" s="1" t="s">
        <v>0</v>
      </c>
      <c r="E51" s="1"/>
    </row>
    <row r="52" spans="1:5" ht="12.75">
      <c r="A52" s="1"/>
      <c r="B52" s="1" t="s">
        <v>32</v>
      </c>
      <c r="C52" s="1"/>
      <c r="D52" s="1" t="s">
        <v>27</v>
      </c>
      <c r="E52" s="1"/>
    </row>
    <row r="53" spans="1:5" ht="12.75">
      <c r="A53" s="1"/>
      <c r="B53" s="1"/>
      <c r="C53" s="1"/>
      <c r="D53" s="1"/>
      <c r="E53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zoomScalePageLayoutView="0" workbookViewId="0" topLeftCell="A20">
      <selection activeCell="H28" sqref="H28:H29"/>
    </sheetView>
  </sheetViews>
  <sheetFormatPr defaultColWidth="9.00390625" defaultRowHeight="12.75"/>
  <cols>
    <col min="1" max="1" width="6.25390625" style="0" customWidth="1"/>
    <col min="2" max="2" width="37.625" style="0" customWidth="1"/>
    <col min="3" max="3" width="6.125" style="0" customWidth="1"/>
    <col min="4" max="4" width="12.00390625" style="0" customWidth="1"/>
    <col min="5" max="5" width="11.125" style="0" customWidth="1"/>
    <col min="7" max="7" width="5.875" style="0" customWidth="1"/>
    <col min="8" max="8" width="39.75390625" style="0" customWidth="1"/>
    <col min="13" max="13" width="4.75390625" style="0" customWidth="1"/>
    <col min="14" max="14" width="7.375" style="0" customWidth="1"/>
    <col min="15" max="15" width="38.25390625" style="0" customWidth="1"/>
    <col min="21" max="21" width="41.625" style="0" customWidth="1"/>
    <col min="23" max="23" width="11.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173</v>
      </c>
    </row>
    <row r="5" ht="12.75">
      <c r="B5" t="s">
        <v>49</v>
      </c>
    </row>
    <row r="6" spans="1:5" ht="12.75">
      <c r="A6" s="576"/>
      <c r="B6" s="576"/>
      <c r="C6" s="576"/>
      <c r="D6" s="357"/>
      <c r="E6" s="358"/>
    </row>
    <row r="7" spans="1:5" ht="12.75">
      <c r="A7" s="359"/>
      <c r="B7" s="359"/>
      <c r="C7" s="359"/>
      <c r="D7" s="360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35</v>
      </c>
      <c r="D9" s="579" t="s">
        <v>121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380" t="s">
        <v>80</v>
      </c>
      <c r="C11" s="365"/>
      <c r="D11" s="366">
        <v>-6175.26</v>
      </c>
      <c r="E11" s="367"/>
    </row>
    <row r="12" spans="1:5" ht="12.75">
      <c r="A12" s="368"/>
      <c r="B12" s="369" t="s">
        <v>5</v>
      </c>
      <c r="C12" s="368" t="s">
        <v>36</v>
      </c>
      <c r="D12" s="368">
        <v>1061.79</v>
      </c>
      <c r="E12" s="368"/>
    </row>
    <row r="13" spans="1:5" ht="12.75">
      <c r="A13" s="368"/>
      <c r="B13" s="369" t="s">
        <v>6</v>
      </c>
      <c r="C13" s="368" t="s">
        <v>36</v>
      </c>
      <c r="D13" s="368">
        <v>597.9</v>
      </c>
      <c r="E13" s="368"/>
    </row>
    <row r="14" spans="1:5" ht="12.75">
      <c r="A14" s="368"/>
      <c r="B14" s="370" t="s">
        <v>28</v>
      </c>
      <c r="C14" s="368" t="s">
        <v>9</v>
      </c>
      <c r="D14" s="371">
        <v>22968.16</v>
      </c>
      <c r="E14" s="368"/>
    </row>
    <row r="15" spans="1:5" ht="12.75">
      <c r="A15" s="368"/>
      <c r="B15" s="368"/>
      <c r="C15" s="368"/>
      <c r="D15" s="368"/>
      <c r="E15" s="368"/>
    </row>
    <row r="16" spans="1:5" ht="15.75">
      <c r="A16" s="368"/>
      <c r="B16" s="372" t="s">
        <v>7</v>
      </c>
      <c r="C16" s="368"/>
      <c r="D16" s="368"/>
      <c r="E16" s="368"/>
    </row>
    <row r="17" spans="1:5" ht="12.75">
      <c r="A17" s="368">
        <v>1</v>
      </c>
      <c r="B17" s="368" t="s">
        <v>8</v>
      </c>
      <c r="C17" s="368" t="s">
        <v>9</v>
      </c>
      <c r="D17" s="368">
        <v>21125.81</v>
      </c>
      <c r="E17" s="368"/>
    </row>
    <row r="18" spans="1:5" ht="12.75">
      <c r="A18" s="368"/>
      <c r="B18" s="368"/>
      <c r="C18" s="368"/>
      <c r="D18" s="368"/>
      <c r="E18" s="368"/>
    </row>
    <row r="19" spans="1:5" ht="15.75">
      <c r="A19" s="368"/>
      <c r="B19" s="372" t="s">
        <v>10</v>
      </c>
      <c r="C19" s="368"/>
      <c r="D19" s="371">
        <f>D17</f>
        <v>21125.81</v>
      </c>
      <c r="E19" s="368"/>
    </row>
    <row r="20" spans="1:5" ht="15.75">
      <c r="A20" s="368"/>
      <c r="B20" s="372"/>
      <c r="C20" s="368"/>
      <c r="D20" s="371"/>
      <c r="E20" s="36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20">
        <f>D23+D27</f>
        <v>2499.4900000000002</v>
      </c>
      <c r="E22" s="19">
        <f>E23</f>
        <v>461.91137999999995</v>
      </c>
    </row>
    <row r="23" spans="1:5" ht="12.75">
      <c r="A23" s="14">
        <v>1</v>
      </c>
      <c r="B23" s="20" t="s">
        <v>11</v>
      </c>
      <c r="C23" s="395" t="s">
        <v>9</v>
      </c>
      <c r="D23" s="20">
        <f>D24</f>
        <v>2286.69</v>
      </c>
      <c r="E23" s="19">
        <f>E24</f>
        <v>461.91137999999995</v>
      </c>
    </row>
    <row r="24" spans="1:5" ht="12.75">
      <c r="A24" s="14"/>
      <c r="B24" s="14" t="s">
        <v>12</v>
      </c>
      <c r="C24" s="14"/>
      <c r="D24" s="14">
        <v>2286.69</v>
      </c>
      <c r="E24" s="18">
        <f>D24*20.2%</f>
        <v>461.91137999999995</v>
      </c>
    </row>
    <row r="25" spans="1:5" ht="12.75">
      <c r="A25" s="14"/>
      <c r="B25" s="14" t="s">
        <v>13</v>
      </c>
      <c r="C25" s="14"/>
      <c r="D25" s="396"/>
      <c r="E25" s="18"/>
    </row>
    <row r="26" spans="1:5" ht="12.75">
      <c r="A26" s="14"/>
      <c r="B26" s="14" t="s">
        <v>14</v>
      </c>
      <c r="C26" s="14"/>
      <c r="D26" s="14"/>
      <c r="E26" s="18"/>
    </row>
    <row r="27" spans="1:5" ht="12.75">
      <c r="A27" s="14">
        <v>2</v>
      </c>
      <c r="B27" s="395" t="s">
        <v>16</v>
      </c>
      <c r="C27" s="14"/>
      <c r="D27" s="14">
        <v>212.8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5806.79</v>
      </c>
      <c r="E28" s="19">
        <f>E29</f>
        <v>1113.74922</v>
      </c>
    </row>
    <row r="29" spans="1:5" ht="12.75">
      <c r="A29" s="14">
        <v>1</v>
      </c>
      <c r="B29" s="22" t="s">
        <v>203</v>
      </c>
      <c r="C29" s="14"/>
      <c r="D29" s="22">
        <v>5513.61</v>
      </c>
      <c r="E29" s="18">
        <f>D29*20.2%</f>
        <v>1113.74922</v>
      </c>
    </row>
    <row r="30" spans="1:5" ht="12.75">
      <c r="A30" s="14">
        <v>2</v>
      </c>
      <c r="B30" s="22" t="s">
        <v>16</v>
      </c>
      <c r="C30" s="14"/>
      <c r="D30" s="22">
        <v>293.18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</f>
        <v>2686.5005</v>
      </c>
      <c r="E31" s="19"/>
    </row>
    <row r="32" spans="1:5" ht="12.75">
      <c r="A32" s="14"/>
      <c r="B32" s="14" t="s">
        <v>18</v>
      </c>
      <c r="C32" s="14"/>
      <c r="D32" s="18">
        <f>D19*5%</f>
        <v>1056.2905</v>
      </c>
      <c r="E32" s="14"/>
    </row>
    <row r="33" spans="1:5" ht="12.75">
      <c r="A33" s="14"/>
      <c r="B33" s="14" t="s">
        <v>21</v>
      </c>
      <c r="C33" s="14"/>
      <c r="D33" s="18">
        <f>827.15+167.08</f>
        <v>994.23</v>
      </c>
      <c r="E33" s="18"/>
    </row>
    <row r="34" spans="1:5" ht="12.75">
      <c r="A34" s="14"/>
      <c r="B34" s="395" t="s">
        <v>62</v>
      </c>
      <c r="C34" s="14"/>
      <c r="D34" s="14">
        <v>235.74</v>
      </c>
      <c r="E34" s="14"/>
    </row>
    <row r="35" spans="1:5" ht="12.75">
      <c r="A35" s="14"/>
      <c r="B35" s="395" t="s">
        <v>61</v>
      </c>
      <c r="C35" s="14"/>
      <c r="D35" s="14">
        <v>0</v>
      </c>
      <c r="E35" s="14"/>
    </row>
    <row r="36" spans="1:5" ht="12.75">
      <c r="A36" s="14"/>
      <c r="B36" s="22" t="s">
        <v>22</v>
      </c>
      <c r="C36" s="14"/>
      <c r="D36" s="14">
        <v>400.24</v>
      </c>
      <c r="E36" s="14"/>
    </row>
    <row r="37" spans="1:5" ht="12.75">
      <c r="A37" s="14">
        <v>4</v>
      </c>
      <c r="B37" s="20" t="s">
        <v>23</v>
      </c>
      <c r="C37" s="14"/>
      <c r="D37" s="19">
        <f>4454.9+668.88</f>
        <v>5123.78</v>
      </c>
      <c r="E37" s="19"/>
    </row>
    <row r="38" spans="1:5" ht="12.75">
      <c r="A38" s="14">
        <v>5</v>
      </c>
      <c r="B38" s="20" t="s">
        <v>24</v>
      </c>
      <c r="C38" s="14"/>
      <c r="D38" s="19">
        <f>D22+E22+D28+E28+D31+E31+D37+E37</f>
        <v>17692.2211</v>
      </c>
      <c r="E38" s="14"/>
    </row>
    <row r="39" spans="1:5" ht="12.75">
      <c r="A39" s="14">
        <v>6</v>
      </c>
      <c r="B39" s="14" t="s">
        <v>33</v>
      </c>
      <c r="C39" s="14"/>
      <c r="D39" s="19">
        <f>D19*6%</f>
        <v>1267.5486</v>
      </c>
      <c r="E39" s="14"/>
    </row>
    <row r="40" spans="1:5" ht="12.75">
      <c r="A40" s="14">
        <v>7</v>
      </c>
      <c r="B40" s="20" t="s">
        <v>25</v>
      </c>
      <c r="C40" s="14"/>
      <c r="D40" s="19">
        <f>D38+D39</f>
        <v>18959.769699999997</v>
      </c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>
        <v>8</v>
      </c>
      <c r="B42" s="20" t="s">
        <v>87</v>
      </c>
      <c r="C42" s="14"/>
      <c r="D42" s="19">
        <f>D19-D40</f>
        <v>2166.040300000004</v>
      </c>
      <c r="E42" s="14"/>
    </row>
    <row r="43" spans="1:5" ht="12.75">
      <c r="A43" s="14">
        <v>9</v>
      </c>
      <c r="B43" s="20" t="s">
        <v>47</v>
      </c>
      <c r="C43" s="14"/>
      <c r="D43" s="19">
        <f>D11+D42</f>
        <v>-4009.219699999996</v>
      </c>
      <c r="E43" s="14"/>
    </row>
    <row r="44" spans="1:5" ht="12.75">
      <c r="A44" s="3"/>
      <c r="B44" s="426"/>
      <c r="C44" s="3"/>
      <c r="D44" s="429"/>
      <c r="E44" s="3"/>
    </row>
    <row r="45" spans="1:5" ht="12.75">
      <c r="A45" s="3"/>
      <c r="B45" s="426"/>
      <c r="C45" s="3"/>
      <c r="D45" s="429"/>
      <c r="E45" s="3"/>
    </row>
    <row r="46" spans="1:5" ht="12.75">
      <c r="A46" s="1"/>
      <c r="B46" s="1" t="s">
        <v>31</v>
      </c>
      <c r="C46" s="1"/>
      <c r="D46" s="1" t="s">
        <v>0</v>
      </c>
      <c r="E46" s="1"/>
    </row>
    <row r="47" spans="1:5" ht="12.75">
      <c r="A47" s="1"/>
      <c r="B47" s="1" t="s">
        <v>32</v>
      </c>
      <c r="C47" s="1"/>
      <c r="D47" s="1" t="s">
        <v>27</v>
      </c>
      <c r="E47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0" customWidth="1"/>
    <col min="2" max="2" width="41.75390625" style="0" customWidth="1"/>
    <col min="3" max="3" width="7.75390625" style="0" customWidth="1"/>
    <col min="4" max="4" width="11.875" style="0" customWidth="1"/>
    <col min="5" max="5" width="11.25390625" style="0" customWidth="1"/>
    <col min="7" max="7" width="5.625" style="0" customWidth="1"/>
    <col min="8" max="8" width="40.875" style="0" customWidth="1"/>
    <col min="15" max="15" width="37.125" style="0" customWidth="1"/>
    <col min="21" max="21" width="45.875" style="0" customWidth="1"/>
    <col min="23" max="23" width="10.37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174</v>
      </c>
    </row>
    <row r="5" ht="12.75">
      <c r="B5" t="s">
        <v>50</v>
      </c>
    </row>
    <row r="6" spans="1:5" ht="12.75">
      <c r="A6" s="576"/>
      <c r="B6" s="576"/>
      <c r="C6" s="576"/>
      <c r="D6" s="357"/>
      <c r="E6" s="358"/>
    </row>
    <row r="7" spans="1:5" ht="12.75">
      <c r="A7" s="359"/>
      <c r="B7" s="359"/>
      <c r="C7" s="359"/>
      <c r="D7" s="360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35</v>
      </c>
      <c r="D9" s="579" t="s">
        <v>175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380" t="s">
        <v>80</v>
      </c>
      <c r="C11" s="365"/>
      <c r="D11" s="366">
        <v>-36876.87</v>
      </c>
      <c r="E11" s="367"/>
    </row>
    <row r="12" spans="1:5" ht="12.75">
      <c r="A12" s="368"/>
      <c r="B12" s="369" t="s">
        <v>5</v>
      </c>
      <c r="C12" s="368" t="s">
        <v>36</v>
      </c>
      <c r="D12" s="368">
        <v>1542</v>
      </c>
      <c r="E12" s="368"/>
    </row>
    <row r="13" spans="1:5" ht="12.75">
      <c r="A13" s="368"/>
      <c r="B13" s="369" t="s">
        <v>6</v>
      </c>
      <c r="C13" s="368" t="s">
        <v>36</v>
      </c>
      <c r="D13" s="368">
        <v>636.69</v>
      </c>
      <c r="E13" s="368"/>
    </row>
    <row r="14" spans="1:5" ht="12.75">
      <c r="A14" s="368"/>
      <c r="B14" s="370" t="s">
        <v>28</v>
      </c>
      <c r="C14" s="368" t="s">
        <v>9</v>
      </c>
      <c r="D14" s="368">
        <f>12243.54*2</f>
        <v>24487.08</v>
      </c>
      <c r="E14" s="368"/>
    </row>
    <row r="15" spans="1:5" ht="12.75">
      <c r="A15" s="368"/>
      <c r="B15" s="368"/>
      <c r="C15" s="368"/>
      <c r="D15" s="368"/>
      <c r="E15" s="368"/>
    </row>
    <row r="16" spans="1:5" ht="15.75">
      <c r="A16" s="368"/>
      <c r="B16" s="372" t="s">
        <v>7</v>
      </c>
      <c r="C16" s="368"/>
      <c r="D16" s="368"/>
      <c r="E16" s="368"/>
    </row>
    <row r="17" spans="1:5" ht="12.75">
      <c r="A17" s="368">
        <v>1</v>
      </c>
      <c r="B17" s="368" t="s">
        <v>8</v>
      </c>
      <c r="C17" s="368" t="s">
        <v>9</v>
      </c>
      <c r="D17" s="368">
        <v>21954.82</v>
      </c>
      <c r="E17" s="368"/>
    </row>
    <row r="18" spans="1:5" ht="12.75">
      <c r="A18" s="368"/>
      <c r="B18" s="368"/>
      <c r="C18" s="368"/>
      <c r="D18" s="368"/>
      <c r="E18" s="368"/>
    </row>
    <row r="19" spans="1:5" ht="15.75">
      <c r="A19" s="368"/>
      <c r="B19" s="372" t="s">
        <v>10</v>
      </c>
      <c r="C19" s="368"/>
      <c r="D19" s="371">
        <f>D17</f>
        <v>21954.82</v>
      </c>
      <c r="E19" s="368"/>
    </row>
    <row r="20" spans="1:5" ht="15.75">
      <c r="A20" s="368"/>
      <c r="B20" s="372"/>
      <c r="C20" s="368"/>
      <c r="D20" s="371"/>
      <c r="E20" s="36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20">
        <f>D23+D27</f>
        <v>7412.84</v>
      </c>
      <c r="E22" s="19">
        <f>E23</f>
        <v>1451.6204799999998</v>
      </c>
    </row>
    <row r="23" spans="1:5" ht="12.75">
      <c r="A23" s="14">
        <v>1</v>
      </c>
      <c r="B23" s="20" t="s">
        <v>11</v>
      </c>
      <c r="C23" s="395" t="s">
        <v>9</v>
      </c>
      <c r="D23" s="20">
        <f>D24</f>
        <v>7186.24</v>
      </c>
      <c r="E23" s="19">
        <f>E24</f>
        <v>1451.6204799999998</v>
      </c>
    </row>
    <row r="24" spans="1:5" ht="12.75">
      <c r="A24" s="14"/>
      <c r="B24" s="14" t="s">
        <v>12</v>
      </c>
      <c r="C24" s="14"/>
      <c r="D24" s="14">
        <v>7186.24</v>
      </c>
      <c r="E24" s="18">
        <f>D24*20.2%</f>
        <v>1451.6204799999998</v>
      </c>
    </row>
    <row r="25" spans="1:5" ht="12.75">
      <c r="A25" s="14"/>
      <c r="B25" s="14" t="s">
        <v>13</v>
      </c>
      <c r="C25" s="14"/>
      <c r="D25" s="396"/>
      <c r="E25" s="18"/>
    </row>
    <row r="26" spans="1:5" ht="12.75">
      <c r="A26" s="14"/>
      <c r="B26" s="14" t="s">
        <v>14</v>
      </c>
      <c r="C26" s="14"/>
      <c r="D26" s="14"/>
      <c r="E26" s="18"/>
    </row>
    <row r="27" spans="1:5" ht="12.75">
      <c r="A27" s="14">
        <v>2</v>
      </c>
      <c r="B27" s="395" t="s">
        <v>16</v>
      </c>
      <c r="C27" s="14"/>
      <c r="D27" s="14">
        <v>226.6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6472.32</v>
      </c>
      <c r="E28" s="19">
        <f>E29</f>
        <v>1186.0066399999998</v>
      </c>
    </row>
    <row r="29" spans="1:5" ht="12.75">
      <c r="A29" s="14">
        <v>1</v>
      </c>
      <c r="B29" s="22" t="s">
        <v>203</v>
      </c>
      <c r="C29" s="14"/>
      <c r="D29" s="22">
        <v>5871.32</v>
      </c>
      <c r="E29" s="18">
        <f>D29*20.2%</f>
        <v>1186.0066399999998</v>
      </c>
    </row>
    <row r="30" spans="1:5" ht="12.75">
      <c r="A30" s="14">
        <v>2</v>
      </c>
      <c r="B30" s="22" t="s">
        <v>16</v>
      </c>
      <c r="C30" s="14"/>
      <c r="D30" s="22">
        <v>601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</f>
        <v>3017.701</v>
      </c>
      <c r="E31" s="19"/>
    </row>
    <row r="32" spans="1:5" ht="12.75">
      <c r="A32" s="14"/>
      <c r="B32" s="14" t="s">
        <v>18</v>
      </c>
      <c r="C32" s="14"/>
      <c r="D32" s="18">
        <f>D19*5%</f>
        <v>1097.741</v>
      </c>
      <c r="E32" s="14"/>
    </row>
    <row r="33" spans="1:5" ht="12.75">
      <c r="A33" s="14"/>
      <c r="B33" s="14" t="s">
        <v>19</v>
      </c>
      <c r="C33" s="14"/>
      <c r="D33" s="14">
        <v>184</v>
      </c>
      <c r="E33" s="14"/>
    </row>
    <row r="34" spans="1:5" ht="12.75">
      <c r="A34" s="14"/>
      <c r="B34" s="14" t="s">
        <v>21</v>
      </c>
      <c r="C34" s="14"/>
      <c r="D34" s="21">
        <f>880.81+177.92</f>
        <v>1058.73</v>
      </c>
      <c r="E34" s="18"/>
    </row>
    <row r="35" spans="1:5" ht="12.75">
      <c r="A35" s="14"/>
      <c r="B35" s="395" t="s">
        <v>62</v>
      </c>
      <c r="C35" s="14"/>
      <c r="D35" s="22">
        <v>251.03</v>
      </c>
      <c r="E35" s="14"/>
    </row>
    <row r="36" spans="1:5" ht="12.75">
      <c r="A36" s="14"/>
      <c r="B36" s="22" t="s">
        <v>22</v>
      </c>
      <c r="C36" s="14"/>
      <c r="D36" s="14">
        <v>426.2</v>
      </c>
      <c r="E36" s="14"/>
    </row>
    <row r="37" spans="1:5" ht="12.75">
      <c r="A37" s="14">
        <v>4</v>
      </c>
      <c r="B37" s="20" t="s">
        <v>23</v>
      </c>
      <c r="C37" s="14"/>
      <c r="D37" s="19">
        <f>4744.09+712.28</f>
        <v>5456.37</v>
      </c>
      <c r="E37" s="19"/>
    </row>
    <row r="38" spans="1:5" ht="12.75">
      <c r="A38" s="14">
        <v>5</v>
      </c>
      <c r="B38" s="20" t="s">
        <v>24</v>
      </c>
      <c r="C38" s="14"/>
      <c r="D38" s="19">
        <f>D22+E22+D28+E28+D31+E31+D37+E37</f>
        <v>24996.85812</v>
      </c>
      <c r="E38" s="14"/>
    </row>
    <row r="39" spans="1:5" ht="12.75">
      <c r="A39" s="14">
        <v>6</v>
      </c>
      <c r="B39" s="14" t="s">
        <v>33</v>
      </c>
      <c r="C39" s="14"/>
      <c r="D39" s="19">
        <f>D19*6%</f>
        <v>1317.2892</v>
      </c>
      <c r="E39" s="14"/>
    </row>
    <row r="40" spans="1:5" ht="12.75">
      <c r="A40" s="14">
        <v>7</v>
      </c>
      <c r="B40" s="20" t="s">
        <v>25</v>
      </c>
      <c r="C40" s="14"/>
      <c r="D40" s="19">
        <f>D38+D39</f>
        <v>26314.14732</v>
      </c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>
        <v>8</v>
      </c>
      <c r="B42" s="20" t="s">
        <v>87</v>
      </c>
      <c r="C42" s="14"/>
      <c r="D42" s="19">
        <f>D19-D40</f>
        <v>-4359.32732</v>
      </c>
      <c r="E42" s="14"/>
    </row>
    <row r="43" spans="1:5" ht="12.75">
      <c r="A43" s="14">
        <v>9</v>
      </c>
      <c r="B43" s="20" t="s">
        <v>47</v>
      </c>
      <c r="C43" s="14"/>
      <c r="D43" s="19">
        <f>D11+D42</f>
        <v>-41236.19732000001</v>
      </c>
      <c r="E43" s="14"/>
    </row>
    <row r="44" spans="1:5" ht="12.75">
      <c r="A44" s="3"/>
      <c r="B44" s="426"/>
      <c r="C44" s="3"/>
      <c r="D44" s="429"/>
      <c r="E44" s="3"/>
    </row>
    <row r="45" spans="1:5" ht="12.75">
      <c r="A45" s="3"/>
      <c r="B45" s="426"/>
      <c r="C45" s="3"/>
      <c r="D45" s="429"/>
      <c r="E45" s="3"/>
    </row>
    <row r="46" spans="1:5" ht="12.75">
      <c r="A46" s="1"/>
      <c r="B46" s="1" t="s">
        <v>31</v>
      </c>
      <c r="C46" s="1"/>
      <c r="D46" s="1" t="s">
        <v>0</v>
      </c>
      <c r="E46" s="1"/>
    </row>
    <row r="47" spans="1:5" ht="12.75">
      <c r="A47" s="1"/>
      <c r="B47" s="1" t="s">
        <v>32</v>
      </c>
      <c r="C47" s="1"/>
      <c r="D47" s="1" t="s">
        <v>27</v>
      </c>
      <c r="E47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22">
      <selection activeCell="A51" sqref="A51"/>
    </sheetView>
  </sheetViews>
  <sheetFormatPr defaultColWidth="9.00390625" defaultRowHeight="12.75"/>
  <cols>
    <col min="1" max="1" width="4.75390625" style="0" customWidth="1"/>
    <col min="2" max="2" width="39.125" style="0" customWidth="1"/>
    <col min="3" max="3" width="6.75390625" style="0" customWidth="1"/>
    <col min="4" max="4" width="11.875" style="0" customWidth="1"/>
    <col min="5" max="5" width="11.75390625" style="0" customWidth="1"/>
    <col min="7" max="7" width="5.875" style="0" customWidth="1"/>
    <col min="8" max="8" width="41.00390625" style="0" customWidth="1"/>
    <col min="15" max="15" width="39.25390625" style="0" customWidth="1"/>
    <col min="17" max="17" width="11.25390625" style="0" customWidth="1"/>
    <col min="21" max="21" width="42.125" style="0" customWidth="1"/>
    <col min="23" max="23" width="11.875" style="0" customWidth="1"/>
    <col min="24" max="24" width="10.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176</v>
      </c>
    </row>
    <row r="5" ht="12.75">
      <c r="B5" t="s">
        <v>52</v>
      </c>
    </row>
    <row r="6" spans="1:5" ht="12.75">
      <c r="A6" s="576"/>
      <c r="B6" s="576"/>
      <c r="C6" s="576"/>
      <c r="D6" s="357"/>
      <c r="E6" s="358"/>
    </row>
    <row r="7" spans="1:5" ht="12.75">
      <c r="A7" s="359"/>
      <c r="B7" s="359"/>
      <c r="C7" s="359"/>
      <c r="D7" s="360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35</v>
      </c>
      <c r="D9" s="579" t="s">
        <v>121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422" t="s">
        <v>98</v>
      </c>
      <c r="C11" s="365"/>
      <c r="D11" s="366">
        <v>-17218.81</v>
      </c>
      <c r="E11" s="367"/>
    </row>
    <row r="12" spans="1:5" ht="12.75">
      <c r="A12" s="365"/>
      <c r="B12" s="422" t="s">
        <v>127</v>
      </c>
      <c r="C12" s="365"/>
      <c r="D12" s="366">
        <v>11850.82</v>
      </c>
      <c r="E12" s="367"/>
    </row>
    <row r="13" spans="1:5" ht="12.75">
      <c r="A13" s="368"/>
      <c r="B13" s="369" t="s">
        <v>5</v>
      </c>
      <c r="C13" s="368" t="s">
        <v>36</v>
      </c>
      <c r="D13" s="368">
        <v>1287.74</v>
      </c>
      <c r="E13" s="368"/>
    </row>
    <row r="14" spans="1:5" ht="12.75">
      <c r="A14" s="368"/>
      <c r="B14" s="369" t="s">
        <v>6</v>
      </c>
      <c r="C14" s="368" t="s">
        <v>36</v>
      </c>
      <c r="D14" s="368">
        <v>727.95</v>
      </c>
      <c r="E14" s="368"/>
    </row>
    <row r="15" spans="1:5" ht="12.75">
      <c r="A15" s="368"/>
      <c r="B15" s="370" t="s">
        <v>28</v>
      </c>
      <c r="C15" s="368" t="s">
        <v>9</v>
      </c>
      <c r="D15" s="371">
        <v>34873.85</v>
      </c>
      <c r="E15" s="368"/>
    </row>
    <row r="16" spans="1:5" ht="12.75">
      <c r="A16" s="368"/>
      <c r="B16" s="368"/>
      <c r="C16" s="368"/>
      <c r="D16" s="368"/>
      <c r="E16" s="368"/>
    </row>
    <row r="17" spans="1:5" ht="15.75">
      <c r="A17" s="368"/>
      <c r="B17" s="372" t="s">
        <v>7</v>
      </c>
      <c r="C17" s="368"/>
      <c r="D17" s="368"/>
      <c r="E17" s="368"/>
    </row>
    <row r="18" spans="1:5" ht="12.75">
      <c r="A18" s="368">
        <v>1</v>
      </c>
      <c r="B18" s="368" t="s">
        <v>8</v>
      </c>
      <c r="C18" s="368" t="s">
        <v>9</v>
      </c>
      <c r="D18" s="368">
        <v>24662.18</v>
      </c>
      <c r="E18" s="368"/>
    </row>
    <row r="19" spans="1:5" ht="12.75">
      <c r="A19" s="368">
        <v>2</v>
      </c>
      <c r="B19" s="368" t="s">
        <v>88</v>
      </c>
      <c r="C19" s="368"/>
      <c r="D19" s="368">
        <v>7641.84</v>
      </c>
      <c r="E19" s="368"/>
    </row>
    <row r="20" spans="1:5" ht="15.75">
      <c r="A20" s="368"/>
      <c r="B20" s="372" t="s">
        <v>10</v>
      </c>
      <c r="C20" s="368"/>
      <c r="D20" s="371">
        <f>D18+D19</f>
        <v>32304.02</v>
      </c>
      <c r="E20" s="368"/>
    </row>
    <row r="21" spans="1:5" ht="15.75">
      <c r="A21" s="368"/>
      <c r="B21" s="372"/>
      <c r="C21" s="368"/>
      <c r="D21" s="371"/>
      <c r="E21" s="368"/>
    </row>
    <row r="22" spans="1:5" ht="15.75">
      <c r="A22" s="14"/>
      <c r="B22" s="17" t="s">
        <v>66</v>
      </c>
      <c r="C22" s="14"/>
      <c r="D22" s="20"/>
      <c r="E22" s="51" t="s">
        <v>15</v>
      </c>
    </row>
    <row r="23" spans="1:5" ht="12.75">
      <c r="A23" s="401" t="s">
        <v>67</v>
      </c>
      <c r="B23" s="16" t="s">
        <v>68</v>
      </c>
      <c r="C23" s="14"/>
      <c r="D23" s="20">
        <f>D24+D28</f>
        <v>7591.88</v>
      </c>
      <c r="E23" s="19">
        <f>E24</f>
        <v>1481.2256</v>
      </c>
    </row>
    <row r="24" spans="1:5" ht="12.75">
      <c r="A24" s="14">
        <v>1</v>
      </c>
      <c r="B24" s="20" t="s">
        <v>11</v>
      </c>
      <c r="C24" s="395" t="s">
        <v>9</v>
      </c>
      <c r="D24" s="20">
        <f>D25+D27</f>
        <v>7332.8</v>
      </c>
      <c r="E24" s="19">
        <f>E25+E27</f>
        <v>1481.2256</v>
      </c>
    </row>
    <row r="25" spans="1:5" ht="12.75">
      <c r="A25" s="14"/>
      <c r="B25" s="14" t="s">
        <v>12</v>
      </c>
      <c r="C25" s="14"/>
      <c r="D25" s="14">
        <v>6371.26</v>
      </c>
      <c r="E25" s="18">
        <f>D25*20.2%</f>
        <v>1286.99452</v>
      </c>
    </row>
    <row r="26" spans="1:5" ht="12.75">
      <c r="A26" s="14"/>
      <c r="B26" s="14" t="s">
        <v>13</v>
      </c>
      <c r="C26" s="14"/>
      <c r="D26" s="396"/>
      <c r="E26" s="18"/>
    </row>
    <row r="27" spans="1:5" ht="12.75">
      <c r="A27" s="14"/>
      <c r="B27" s="14" t="s">
        <v>155</v>
      </c>
      <c r="C27" s="14"/>
      <c r="D27" s="14">
        <v>961.54</v>
      </c>
      <c r="E27" s="18">
        <f>D27*20.2%</f>
        <v>194.23108</v>
      </c>
    </row>
    <row r="28" spans="1:5" ht="12.75">
      <c r="A28" s="14">
        <v>2</v>
      </c>
      <c r="B28" s="395" t="s">
        <v>16</v>
      </c>
      <c r="C28" s="14"/>
      <c r="D28" s="14">
        <v>259.08</v>
      </c>
      <c r="E28" s="18"/>
    </row>
    <row r="29" spans="1:5" ht="12.75">
      <c r="A29" s="401" t="s">
        <v>71</v>
      </c>
      <c r="B29" s="402" t="s">
        <v>69</v>
      </c>
      <c r="C29" s="14"/>
      <c r="D29" s="20">
        <f>D30+D31</f>
        <v>11628.73</v>
      </c>
      <c r="E29" s="19">
        <f>E30</f>
        <v>1356.00378</v>
      </c>
    </row>
    <row r="30" spans="1:5" ht="12.75">
      <c r="A30" s="14">
        <v>1</v>
      </c>
      <c r="B30" s="22" t="s">
        <v>203</v>
      </c>
      <c r="C30" s="14"/>
      <c r="D30" s="22">
        <v>6712.89</v>
      </c>
      <c r="E30" s="18">
        <f>D30*20.2%</f>
        <v>1356.00378</v>
      </c>
    </row>
    <row r="31" spans="1:5" ht="12.75">
      <c r="A31" s="14">
        <v>2</v>
      </c>
      <c r="B31" s="22" t="s">
        <v>16</v>
      </c>
      <c r="C31" s="14"/>
      <c r="D31" s="22">
        <v>4915.84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D33+D34+D35+D36+D37+D38</f>
        <v>3600.0009999999997</v>
      </c>
      <c r="E32" s="19"/>
    </row>
    <row r="33" spans="1:5" ht="12.75">
      <c r="A33" s="14"/>
      <c r="B33" s="14" t="s">
        <v>18</v>
      </c>
      <c r="C33" s="14"/>
      <c r="D33" s="18">
        <f>D20*5%</f>
        <v>1615.201</v>
      </c>
      <c r="E33" s="14"/>
    </row>
    <row r="34" spans="1:5" ht="12.75">
      <c r="A34" s="14"/>
      <c r="B34" s="14" t="s">
        <v>19</v>
      </c>
      <c r="C34" s="14"/>
      <c r="D34" s="14">
        <v>0</v>
      </c>
      <c r="E34" s="14"/>
    </row>
    <row r="35" spans="1:5" ht="12.75">
      <c r="A35" s="14"/>
      <c r="B35" s="14" t="s">
        <v>21</v>
      </c>
      <c r="C35" s="14"/>
      <c r="D35" s="18">
        <f>1007.06+203.43</f>
        <v>1210.49</v>
      </c>
      <c r="E35" s="18"/>
    </row>
    <row r="36" spans="1:5" ht="12.75">
      <c r="A36" s="14"/>
      <c r="B36" s="395" t="s">
        <v>62</v>
      </c>
      <c r="C36" s="14"/>
      <c r="D36" s="14">
        <v>287.02</v>
      </c>
      <c r="E36" s="14"/>
    </row>
    <row r="37" spans="1:5" ht="12.75">
      <c r="A37" s="14"/>
      <c r="B37" s="395" t="s">
        <v>61</v>
      </c>
      <c r="C37" s="14"/>
      <c r="D37" s="14">
        <v>0</v>
      </c>
      <c r="E37" s="14"/>
    </row>
    <row r="38" spans="1:5" ht="12.75">
      <c r="A38" s="14"/>
      <c r="B38" s="22" t="s">
        <v>22</v>
      </c>
      <c r="C38" s="14"/>
      <c r="D38" s="14">
        <v>487.29</v>
      </c>
      <c r="E38" s="14"/>
    </row>
    <row r="39" spans="1:5" ht="12.75">
      <c r="A39" s="14">
        <v>4</v>
      </c>
      <c r="B39" s="20" t="s">
        <v>23</v>
      </c>
      <c r="C39" s="14"/>
      <c r="D39" s="19">
        <f>5423.88+814.37</f>
        <v>6238.25</v>
      </c>
      <c r="E39" s="19"/>
    </row>
    <row r="40" spans="1:5" ht="12.75">
      <c r="A40" s="14">
        <v>5</v>
      </c>
      <c r="B40" s="20" t="s">
        <v>24</v>
      </c>
      <c r="C40" s="14"/>
      <c r="D40" s="19">
        <f>D23+E23+D29+E29+D32+E32+D39+E39</f>
        <v>31896.090379999998</v>
      </c>
      <c r="E40" s="14"/>
    </row>
    <row r="41" spans="1:5" ht="12.75">
      <c r="A41" s="14">
        <v>6</v>
      </c>
      <c r="B41" s="14" t="s">
        <v>33</v>
      </c>
      <c r="C41" s="14"/>
      <c r="D41" s="19">
        <f>D20*6%</f>
        <v>1938.2412</v>
      </c>
      <c r="E41" s="14"/>
    </row>
    <row r="42" spans="1:5" ht="12.75">
      <c r="A42" s="14">
        <v>7</v>
      </c>
      <c r="B42" s="20" t="s">
        <v>25</v>
      </c>
      <c r="C42" s="14"/>
      <c r="D42" s="19">
        <f>D40+D41</f>
        <v>33834.33158</v>
      </c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>
        <v>8</v>
      </c>
      <c r="B44" s="20" t="s">
        <v>87</v>
      </c>
      <c r="C44" s="14"/>
      <c r="D44" s="19">
        <f>D18-D42</f>
        <v>-9172.151579999998</v>
      </c>
      <c r="E44" s="14"/>
    </row>
    <row r="45" spans="1:5" ht="12.75">
      <c r="A45" s="14">
        <v>9</v>
      </c>
      <c r="B45" s="20" t="s">
        <v>47</v>
      </c>
      <c r="C45" s="14"/>
      <c r="D45" s="19">
        <f>D11+D44</f>
        <v>-26390.96158</v>
      </c>
      <c r="E45" s="14"/>
    </row>
    <row r="46" spans="1:5" ht="12.75">
      <c r="A46" s="3"/>
      <c r="B46" s="426" t="s">
        <v>88</v>
      </c>
      <c r="C46" s="3"/>
      <c r="D46" s="429">
        <f>D12+D19</f>
        <v>19492.66</v>
      </c>
      <c r="E46" s="3"/>
    </row>
    <row r="47" spans="1:5" ht="12.75">
      <c r="A47" s="3"/>
      <c r="B47" s="426"/>
      <c r="C47" s="3"/>
      <c r="D47" s="429"/>
      <c r="E47" s="3"/>
    </row>
    <row r="48" spans="1:5" ht="12.75">
      <c r="A48" s="1"/>
      <c r="B48" s="1" t="s">
        <v>31</v>
      </c>
      <c r="C48" s="1"/>
      <c r="D48" s="1" t="s">
        <v>0</v>
      </c>
      <c r="E48" s="1"/>
    </row>
    <row r="49" spans="1:5" ht="12.75">
      <c r="A49" s="1"/>
      <c r="B49" s="1" t="s">
        <v>32</v>
      </c>
      <c r="C49" s="1"/>
      <c r="D49" s="1" t="s">
        <v>27</v>
      </c>
      <c r="E49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28">
      <selection activeCell="F55" sqref="F55"/>
    </sheetView>
  </sheetViews>
  <sheetFormatPr defaultColWidth="9.00390625" defaultRowHeight="12.75"/>
  <cols>
    <col min="1" max="1" width="5.875" style="0" customWidth="1"/>
    <col min="2" max="2" width="43.25390625" style="0" customWidth="1"/>
    <col min="3" max="3" width="6.25390625" style="0" customWidth="1"/>
    <col min="4" max="4" width="12.625" style="0" customWidth="1"/>
    <col min="5" max="5" width="10.75390625" style="0" customWidth="1"/>
    <col min="7" max="7" width="6.25390625" style="0" customWidth="1"/>
    <col min="8" max="8" width="41.375" style="0" customWidth="1"/>
    <col min="10" max="10" width="9.625" style="0" bestFit="1" customWidth="1"/>
    <col min="13" max="13" width="5.625" style="0" customWidth="1"/>
    <col min="15" max="15" width="38.875" style="0" customWidth="1"/>
    <col min="17" max="17" width="10.125" style="0" customWidth="1"/>
    <col min="19" max="19" width="3.625" style="0" customWidth="1"/>
    <col min="20" max="20" width="6.125" style="0" customWidth="1"/>
    <col min="21" max="21" width="50.625" style="0" customWidth="1"/>
    <col min="23" max="23" width="12.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177</v>
      </c>
    </row>
    <row r="5" ht="12.75">
      <c r="B5" t="s">
        <v>53</v>
      </c>
    </row>
    <row r="6" spans="1:5" ht="12.75">
      <c r="A6" s="576"/>
      <c r="B6" s="576"/>
      <c r="C6" s="576"/>
      <c r="D6" s="357"/>
      <c r="E6" s="358"/>
    </row>
    <row r="7" spans="1:5" ht="12.75">
      <c r="A7" s="359"/>
      <c r="B7" s="359"/>
      <c r="C7" s="359"/>
      <c r="D7" s="394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35</v>
      </c>
      <c r="D9" s="579" t="s">
        <v>157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422" t="s">
        <v>98</v>
      </c>
      <c r="C11" s="365"/>
      <c r="D11" s="366">
        <v>138583.11</v>
      </c>
      <c r="E11" s="367"/>
    </row>
    <row r="12" spans="1:5" ht="12.75">
      <c r="A12" s="365"/>
      <c r="B12" s="422" t="s">
        <v>127</v>
      </c>
      <c r="C12" s="365"/>
      <c r="D12" s="366">
        <v>-182042.56</v>
      </c>
      <c r="E12" s="367"/>
    </row>
    <row r="13" spans="1:5" ht="12.75">
      <c r="A13" s="368"/>
      <c r="B13" s="369" t="s">
        <v>5</v>
      </c>
      <c r="C13" s="368" t="s">
        <v>36</v>
      </c>
      <c r="D13" s="368">
        <v>5570.3</v>
      </c>
      <c r="E13" s="368"/>
    </row>
    <row r="14" spans="1:5" ht="12.75">
      <c r="A14" s="368"/>
      <c r="B14" s="369" t="s">
        <v>6</v>
      </c>
      <c r="C14" s="368" t="s">
        <v>36</v>
      </c>
      <c r="D14" s="368">
        <v>4485.1</v>
      </c>
      <c r="E14" s="368"/>
    </row>
    <row r="15" spans="1:5" ht="12.75">
      <c r="A15" s="368"/>
      <c r="B15" s="370" t="s">
        <v>28</v>
      </c>
      <c r="C15" s="368" t="s">
        <v>9</v>
      </c>
      <c r="D15" s="371">
        <v>222897.81</v>
      </c>
      <c r="E15" s="368"/>
    </row>
    <row r="16" spans="1:5" ht="12.75">
      <c r="A16" s="368"/>
      <c r="B16" s="368"/>
      <c r="C16" s="368"/>
      <c r="D16" s="368"/>
      <c r="E16" s="368"/>
    </row>
    <row r="17" spans="1:5" ht="15.75">
      <c r="A17" s="368"/>
      <c r="B17" s="372" t="s">
        <v>7</v>
      </c>
      <c r="C17" s="368"/>
      <c r="D17" s="368"/>
      <c r="E17" s="368"/>
    </row>
    <row r="18" spans="1:5" ht="12.75">
      <c r="A18" s="368">
        <v>1</v>
      </c>
      <c r="B18" s="368" t="s">
        <v>8</v>
      </c>
      <c r="C18" s="368" t="s">
        <v>9</v>
      </c>
      <c r="D18" s="368">
        <v>168521.52</v>
      </c>
      <c r="E18" s="368"/>
    </row>
    <row r="19" spans="1:5" ht="12.75">
      <c r="A19" s="368">
        <v>2</v>
      </c>
      <c r="B19" s="368" t="s">
        <v>88</v>
      </c>
      <c r="C19" s="368"/>
      <c r="D19" s="368">
        <v>54339</v>
      </c>
      <c r="E19" s="368"/>
    </row>
    <row r="20" spans="1:5" ht="15.75">
      <c r="A20" s="368"/>
      <c r="B20" s="372" t="s">
        <v>10</v>
      </c>
      <c r="C20" s="368"/>
      <c r="D20" s="371">
        <f>D18+D19</f>
        <v>222860.52</v>
      </c>
      <c r="E20" s="368"/>
    </row>
    <row r="21" spans="1:5" ht="15.75">
      <c r="A21" s="368"/>
      <c r="B21" s="372"/>
      <c r="C21" s="368"/>
      <c r="D21" s="371"/>
      <c r="E21" s="368"/>
    </row>
    <row r="22" spans="1:5" ht="15.75">
      <c r="A22" s="14"/>
      <c r="B22" s="17" t="s">
        <v>66</v>
      </c>
      <c r="C22" s="14"/>
      <c r="D22" s="20"/>
      <c r="E22" s="51" t="s">
        <v>15</v>
      </c>
    </row>
    <row r="23" spans="1:5" ht="12.75">
      <c r="A23" s="401" t="s">
        <v>67</v>
      </c>
      <c r="B23" s="16" t="s">
        <v>68</v>
      </c>
      <c r="C23" s="14"/>
      <c r="D23" s="20">
        <f>D24+D28</f>
        <v>26895.87</v>
      </c>
      <c r="E23" s="19">
        <f>E24</f>
        <v>5110.519199999999</v>
      </c>
    </row>
    <row r="24" spans="1:5" ht="12.75">
      <c r="A24" s="14">
        <v>1</v>
      </c>
      <c r="B24" s="20" t="s">
        <v>11</v>
      </c>
      <c r="C24" s="395" t="s">
        <v>9</v>
      </c>
      <c r="D24" s="20">
        <f>D25+D27</f>
        <v>25299.6</v>
      </c>
      <c r="E24" s="19">
        <f>E25+E27</f>
        <v>5110.519199999999</v>
      </c>
    </row>
    <row r="25" spans="1:5" ht="12.75">
      <c r="A25" s="14"/>
      <c r="B25" s="14" t="s">
        <v>12</v>
      </c>
      <c r="C25" s="14"/>
      <c r="D25" s="14">
        <v>21662.28</v>
      </c>
      <c r="E25" s="18">
        <f>D25*20.2%</f>
        <v>4375.780559999999</v>
      </c>
    </row>
    <row r="26" spans="1:5" ht="12.75">
      <c r="A26" s="14"/>
      <c r="B26" s="14" t="s">
        <v>13</v>
      </c>
      <c r="C26" s="14"/>
      <c r="D26" s="396"/>
      <c r="E26" s="18"/>
    </row>
    <row r="27" spans="1:5" ht="12.75">
      <c r="A27" s="14"/>
      <c r="B27" s="14" t="s">
        <v>155</v>
      </c>
      <c r="C27" s="14"/>
      <c r="D27" s="14">
        <v>3637.32</v>
      </c>
      <c r="E27" s="18">
        <f>D27*20.2%</f>
        <v>734.73864</v>
      </c>
    </row>
    <row r="28" spans="1:5" ht="12.75">
      <c r="A28" s="14">
        <v>2</v>
      </c>
      <c r="B28" s="395" t="s">
        <v>16</v>
      </c>
      <c r="C28" s="14"/>
      <c r="D28" s="14">
        <v>1596.27</v>
      </c>
      <c r="E28" s="18"/>
    </row>
    <row r="29" spans="1:5" ht="12.75">
      <c r="A29" s="401" t="s">
        <v>71</v>
      </c>
      <c r="B29" s="402" t="s">
        <v>69</v>
      </c>
      <c r="C29" s="14"/>
      <c r="D29" s="20">
        <f>D30+D31+D32</f>
        <v>59756.26</v>
      </c>
      <c r="E29" s="19">
        <f>E30</f>
        <v>8354.70788</v>
      </c>
    </row>
    <row r="30" spans="1:5" ht="12.75">
      <c r="A30" s="14">
        <v>1</v>
      </c>
      <c r="B30" s="22" t="s">
        <v>203</v>
      </c>
      <c r="C30" s="14"/>
      <c r="D30" s="22">
        <v>41359.94</v>
      </c>
      <c r="E30" s="18">
        <f>D30*20.2%</f>
        <v>8354.70788</v>
      </c>
    </row>
    <row r="31" spans="1:5" ht="12.75">
      <c r="A31" s="14">
        <v>2</v>
      </c>
      <c r="B31" s="22" t="s">
        <v>16</v>
      </c>
      <c r="C31" s="14"/>
      <c r="D31" s="22">
        <f>7094.11+1802.21</f>
        <v>8896.32</v>
      </c>
      <c r="E31" s="14"/>
    </row>
    <row r="32" spans="1:5" ht="12.75">
      <c r="A32" s="14">
        <v>3</v>
      </c>
      <c r="B32" s="22" t="s">
        <v>107</v>
      </c>
      <c r="C32" s="14"/>
      <c r="D32" s="22">
        <v>9500</v>
      </c>
      <c r="E32" s="14"/>
    </row>
    <row r="33" spans="1:5" ht="12.75">
      <c r="A33" s="401" t="s">
        <v>72</v>
      </c>
      <c r="B33" s="20" t="s">
        <v>17</v>
      </c>
      <c r="C33" s="14"/>
      <c r="D33" s="19">
        <f>D34+D35+D36+D37+D38+D39+D40+D41+D42</f>
        <v>41145.326</v>
      </c>
      <c r="E33" s="19"/>
    </row>
    <row r="34" spans="1:5" ht="12.75">
      <c r="A34" s="14"/>
      <c r="B34" s="14" t="s">
        <v>18</v>
      </c>
      <c r="C34" s="14"/>
      <c r="D34" s="18">
        <f>D20*5%</f>
        <v>11143.026</v>
      </c>
      <c r="E34" s="14"/>
    </row>
    <row r="35" spans="1:5" ht="12.75">
      <c r="A35" s="14"/>
      <c r="B35" s="14" t="s">
        <v>19</v>
      </c>
      <c r="C35" s="14"/>
      <c r="D35" s="14">
        <v>630.03</v>
      </c>
      <c r="E35" s="14"/>
    </row>
    <row r="36" spans="1:5" ht="12.75">
      <c r="A36" s="14"/>
      <c r="B36" s="14" t="s">
        <v>21</v>
      </c>
      <c r="C36" s="14"/>
      <c r="D36" s="18">
        <f>6204.79+1253.37</f>
        <v>7458.16</v>
      </c>
      <c r="E36" s="18"/>
    </row>
    <row r="37" spans="1:5" ht="12.75">
      <c r="A37" s="14"/>
      <c r="B37" s="22" t="s">
        <v>20</v>
      </c>
      <c r="C37" s="14"/>
      <c r="D37" s="14">
        <v>8664</v>
      </c>
      <c r="E37" s="14"/>
    </row>
    <row r="38" spans="1:5" ht="12.75">
      <c r="A38" s="14"/>
      <c r="B38" s="395" t="s">
        <v>62</v>
      </c>
      <c r="C38" s="14"/>
      <c r="D38" s="14">
        <v>1768.39</v>
      </c>
      <c r="E38" s="14"/>
    </row>
    <row r="39" spans="1:5" ht="12.75">
      <c r="A39" s="14"/>
      <c r="B39" s="395" t="s">
        <v>29</v>
      </c>
      <c r="C39" s="14"/>
      <c r="D39" s="14">
        <f>390.44+38.95</f>
        <v>429.39</v>
      </c>
      <c r="E39" s="14"/>
    </row>
    <row r="40" spans="1:5" ht="12.75">
      <c r="A40" s="14"/>
      <c r="B40" s="395" t="s">
        <v>61</v>
      </c>
      <c r="C40" s="14"/>
      <c r="D40" s="14">
        <v>2000</v>
      </c>
      <c r="E40" s="14"/>
    </row>
    <row r="41" spans="1:5" ht="12.75">
      <c r="A41" s="14"/>
      <c r="B41" s="22" t="s">
        <v>178</v>
      </c>
      <c r="C41" s="14"/>
      <c r="D41" s="14">
        <f>1250+4800</f>
        <v>6050</v>
      </c>
      <c r="E41" s="14"/>
    </row>
    <row r="42" spans="1:5" ht="12.75">
      <c r="A42" s="14"/>
      <c r="B42" s="22" t="s">
        <v>22</v>
      </c>
      <c r="C42" s="14"/>
      <c r="D42" s="14">
        <v>3002.33</v>
      </c>
      <c r="E42" s="14"/>
    </row>
    <row r="43" spans="1:5" ht="12.75">
      <c r="A43" s="14">
        <v>4</v>
      </c>
      <c r="B43" s="20" t="s">
        <v>199</v>
      </c>
      <c r="C43" s="14"/>
      <c r="D43" s="19">
        <f>33418.01+5017.58</f>
        <v>38435.590000000004</v>
      </c>
      <c r="E43" s="19"/>
    </row>
    <row r="44" spans="1:5" ht="12.75">
      <c r="A44" s="14">
        <v>5</v>
      </c>
      <c r="B44" s="20" t="s">
        <v>24</v>
      </c>
      <c r="C44" s="14"/>
      <c r="D44" s="19">
        <f>D23+E23+D29+E29+D33+E33+D43+E43</f>
        <v>179698.27307999998</v>
      </c>
      <c r="E44" s="14"/>
    </row>
    <row r="45" spans="1:5" ht="12.75">
      <c r="A45" s="14">
        <v>6</v>
      </c>
      <c r="B45" s="14" t="s">
        <v>33</v>
      </c>
      <c r="C45" s="14"/>
      <c r="D45" s="19">
        <f>D20*6%</f>
        <v>13371.631199999998</v>
      </c>
      <c r="E45" s="14"/>
    </row>
    <row r="46" spans="1:5" ht="12.75">
      <c r="A46" s="14">
        <v>7</v>
      </c>
      <c r="B46" s="20" t="s">
        <v>25</v>
      </c>
      <c r="C46" s="14"/>
      <c r="D46" s="19">
        <f>D44+D45</f>
        <v>193069.90428</v>
      </c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14">
        <v>8</v>
      </c>
      <c r="B48" s="20" t="s">
        <v>87</v>
      </c>
      <c r="C48" s="14"/>
      <c r="D48" s="19">
        <f>D18-D46</f>
        <v>-24548.38428</v>
      </c>
      <c r="E48" s="14"/>
    </row>
    <row r="49" spans="1:5" ht="12.75">
      <c r="A49" s="14">
        <v>9</v>
      </c>
      <c r="B49" s="20" t="s">
        <v>47</v>
      </c>
      <c r="C49" s="14"/>
      <c r="D49" s="19">
        <f>D11+D48</f>
        <v>114034.72571999999</v>
      </c>
      <c r="E49" s="14"/>
    </row>
    <row r="50" spans="1:5" ht="12.75">
      <c r="A50" s="3"/>
      <c r="B50" s="426" t="s">
        <v>88</v>
      </c>
      <c r="C50" s="3"/>
      <c r="D50" s="429">
        <f>D12+D19-3260.34</f>
        <v>-130963.9</v>
      </c>
      <c r="E50" s="3"/>
    </row>
    <row r="51" spans="1:5" ht="12.75">
      <c r="A51" s="3"/>
      <c r="B51" s="426" t="s">
        <v>143</v>
      </c>
      <c r="C51" s="3"/>
      <c r="D51" s="429">
        <v>0</v>
      </c>
      <c r="E51" s="3"/>
    </row>
    <row r="52" spans="1:5" ht="12.75">
      <c r="A52" s="3"/>
      <c r="B52" s="426" t="s">
        <v>129</v>
      </c>
      <c r="C52" s="3"/>
      <c r="D52" s="429">
        <f>D50</f>
        <v>-130963.9</v>
      </c>
      <c r="E52" s="3"/>
    </row>
    <row r="53" spans="1:5" ht="12.75">
      <c r="A53" s="3"/>
      <c r="B53" s="426"/>
      <c r="C53" s="3"/>
      <c r="D53" s="429"/>
      <c r="E53" s="3"/>
    </row>
    <row r="54" spans="1:5" ht="12.75">
      <c r="A54" s="1"/>
      <c r="B54" s="1" t="s">
        <v>31</v>
      </c>
      <c r="C54" s="1"/>
      <c r="D54" s="1" t="s">
        <v>0</v>
      </c>
      <c r="E54" s="1"/>
    </row>
    <row r="55" spans="1:5" ht="12.75">
      <c r="A55" s="1"/>
      <c r="B55" s="1" t="s">
        <v>32</v>
      </c>
      <c r="C55" s="1"/>
      <c r="D55" s="1" t="s">
        <v>27</v>
      </c>
      <c r="E55" s="1"/>
    </row>
  </sheetData>
  <sheetProtection/>
  <mergeCells count="3">
    <mergeCell ref="D8:E8"/>
    <mergeCell ref="A6:C6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zoomScalePageLayoutView="0" workbookViewId="0" topLeftCell="A1">
      <selection activeCell="H59" sqref="H59"/>
    </sheetView>
  </sheetViews>
  <sheetFormatPr defaultColWidth="9.00390625" defaultRowHeight="12.75"/>
  <cols>
    <col min="1" max="1" width="6.875" style="0" customWidth="1"/>
    <col min="2" max="2" width="42.625" style="0" customWidth="1"/>
    <col min="3" max="3" width="6.75390625" style="0" customWidth="1"/>
    <col min="4" max="4" width="12.00390625" style="0" customWidth="1"/>
    <col min="5" max="5" width="10.75390625" style="0" customWidth="1"/>
    <col min="7" max="7" width="5.25390625" style="0" customWidth="1"/>
    <col min="8" max="8" width="38.75390625" style="0" customWidth="1"/>
    <col min="15" max="15" width="35.75390625" style="0" customWidth="1"/>
    <col min="21" max="21" width="40.25390625" style="0" customWidth="1"/>
    <col min="23" max="23" width="10.25390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179</v>
      </c>
    </row>
    <row r="5" ht="12.75">
      <c r="B5" t="s">
        <v>53</v>
      </c>
    </row>
    <row r="6" spans="1:5" ht="12.75">
      <c r="A6" s="576"/>
      <c r="B6" s="576"/>
      <c r="C6" s="576"/>
      <c r="D6" s="357"/>
      <c r="E6" s="358"/>
    </row>
    <row r="7" spans="1:5" ht="12.75">
      <c r="A7" s="359"/>
      <c r="B7" s="359"/>
      <c r="C7" s="359"/>
      <c r="D7" s="360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35</v>
      </c>
      <c r="D9" s="579" t="s">
        <v>121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380" t="s">
        <v>80</v>
      </c>
      <c r="C11" s="365"/>
      <c r="D11" s="366">
        <v>-36050.79</v>
      </c>
      <c r="E11" s="367"/>
    </row>
    <row r="12" spans="1:5" ht="12.75">
      <c r="A12" s="368"/>
      <c r="B12" s="369" t="s">
        <v>5</v>
      </c>
      <c r="C12" s="368" t="s">
        <v>36</v>
      </c>
      <c r="D12" s="368">
        <v>851.24</v>
      </c>
      <c r="E12" s="368"/>
    </row>
    <row r="13" spans="1:5" ht="12.75">
      <c r="A13" s="368"/>
      <c r="B13" s="369" t="s">
        <v>6</v>
      </c>
      <c r="C13" s="368" t="s">
        <v>36</v>
      </c>
      <c r="D13" s="368">
        <v>443</v>
      </c>
      <c r="E13" s="368"/>
    </row>
    <row r="14" spans="1:5" ht="12.75">
      <c r="A14" s="368"/>
      <c r="B14" s="370" t="s">
        <v>28</v>
      </c>
      <c r="C14" s="368" t="s">
        <v>9</v>
      </c>
      <c r="D14" s="371">
        <v>14487.9</v>
      </c>
      <c r="E14" s="368"/>
    </row>
    <row r="15" spans="1:5" ht="12.75">
      <c r="A15" s="368"/>
      <c r="B15" s="368"/>
      <c r="C15" s="368"/>
      <c r="D15" s="368"/>
      <c r="E15" s="368"/>
    </row>
    <row r="16" spans="1:5" ht="15.75">
      <c r="A16" s="368"/>
      <c r="B16" s="372" t="s">
        <v>7</v>
      </c>
      <c r="C16" s="368"/>
      <c r="D16" s="368"/>
      <c r="E16" s="368"/>
    </row>
    <row r="17" spans="1:5" ht="12.75">
      <c r="A17" s="368">
        <v>1</v>
      </c>
      <c r="B17" s="368" t="s">
        <v>8</v>
      </c>
      <c r="C17" s="368" t="s">
        <v>9</v>
      </c>
      <c r="D17" s="368">
        <v>15199.36</v>
      </c>
      <c r="E17" s="368"/>
    </row>
    <row r="18" spans="1:5" ht="12.75">
      <c r="A18" s="368"/>
      <c r="B18" s="368"/>
      <c r="C18" s="368"/>
      <c r="D18" s="368"/>
      <c r="E18" s="368"/>
    </row>
    <row r="19" spans="1:5" ht="15.75">
      <c r="A19" s="368"/>
      <c r="B19" s="372" t="s">
        <v>10</v>
      </c>
      <c r="C19" s="368"/>
      <c r="D19" s="371">
        <f>D17</f>
        <v>15199.36</v>
      </c>
      <c r="E19" s="368"/>
    </row>
    <row r="20" spans="1:5" ht="15.75">
      <c r="A20" s="368"/>
      <c r="B20" s="372"/>
      <c r="C20" s="368"/>
      <c r="D20" s="371"/>
      <c r="E20" s="36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20">
        <f>D23+D27</f>
        <v>7035.07</v>
      </c>
      <c r="E22" s="19">
        <f>E23</f>
        <v>1389.0206799999999</v>
      </c>
    </row>
    <row r="23" spans="1:5" ht="12.75">
      <c r="A23" s="14">
        <v>1</v>
      </c>
      <c r="B23" s="20" t="s">
        <v>11</v>
      </c>
      <c r="C23" s="395" t="s">
        <v>9</v>
      </c>
      <c r="D23" s="20">
        <f>D24</f>
        <v>6876.34</v>
      </c>
      <c r="E23" s="19">
        <f>E24</f>
        <v>1389.0206799999999</v>
      </c>
    </row>
    <row r="24" spans="1:5" ht="12.75">
      <c r="A24" s="14"/>
      <c r="B24" s="14" t="s">
        <v>12</v>
      </c>
      <c r="C24" s="14"/>
      <c r="D24" s="14">
        <v>6876.34</v>
      </c>
      <c r="E24" s="18">
        <f>D24*20.2%</f>
        <v>1389.0206799999999</v>
      </c>
    </row>
    <row r="25" spans="1:5" ht="12.75">
      <c r="A25" s="14"/>
      <c r="B25" s="14" t="s">
        <v>13</v>
      </c>
      <c r="C25" s="14"/>
      <c r="D25" s="396"/>
      <c r="E25" s="18"/>
    </row>
    <row r="26" spans="1:5" ht="12.75">
      <c r="A26" s="14"/>
      <c r="B26" s="14" t="s">
        <v>14</v>
      </c>
      <c r="C26" s="14"/>
      <c r="D26" s="14"/>
      <c r="E26" s="18"/>
    </row>
    <row r="27" spans="1:5" ht="12.75">
      <c r="A27" s="14">
        <v>2</v>
      </c>
      <c r="B27" s="395" t="s">
        <v>16</v>
      </c>
      <c r="C27" s="14"/>
      <c r="D27" s="14">
        <v>158.73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4306.570000000001</v>
      </c>
      <c r="E28" s="19">
        <f>E29</f>
        <v>830.7957</v>
      </c>
    </row>
    <row r="29" spans="1:5" ht="12.75">
      <c r="A29" s="14">
        <v>1</v>
      </c>
      <c r="B29" s="22" t="s">
        <v>203</v>
      </c>
      <c r="C29" s="14"/>
      <c r="D29" s="22">
        <v>4112.85</v>
      </c>
      <c r="E29" s="18">
        <f>D29*20.2%</f>
        <v>830.7957</v>
      </c>
    </row>
    <row r="30" spans="1:5" ht="12.75">
      <c r="A30" s="14">
        <v>2</v>
      </c>
      <c r="B30" s="22" t="s">
        <v>16</v>
      </c>
      <c r="C30" s="14"/>
      <c r="D30" s="22">
        <v>193.72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</f>
        <v>4820.838000000001</v>
      </c>
      <c r="E31" s="19"/>
    </row>
    <row r="32" spans="1:5" ht="12.75">
      <c r="A32" s="14"/>
      <c r="B32" s="14" t="s">
        <v>18</v>
      </c>
      <c r="C32" s="14"/>
      <c r="D32" s="18">
        <f>D19*5%</f>
        <v>759.9680000000001</v>
      </c>
      <c r="E32" s="14"/>
    </row>
    <row r="33" spans="1:5" ht="12.75">
      <c r="A33" s="14"/>
      <c r="B33" s="14" t="s">
        <v>19</v>
      </c>
      <c r="C33" s="14"/>
      <c r="D33" s="14">
        <v>0</v>
      </c>
      <c r="E33" s="14"/>
    </row>
    <row r="34" spans="1:5" ht="12.75">
      <c r="A34" s="14"/>
      <c r="B34" s="14" t="s">
        <v>21</v>
      </c>
      <c r="C34" s="14"/>
      <c r="D34" s="18">
        <f>617.01+124.64</f>
        <v>741.65</v>
      </c>
      <c r="E34" s="18"/>
    </row>
    <row r="35" spans="1:5" ht="12.75">
      <c r="A35" s="14"/>
      <c r="B35" s="395" t="s">
        <v>61</v>
      </c>
      <c r="C35" s="14"/>
      <c r="D35" s="14">
        <v>2844.82</v>
      </c>
      <c r="E35" s="14"/>
    </row>
    <row r="36" spans="1:5" ht="12.75">
      <c r="A36" s="14"/>
      <c r="B36" s="395" t="s">
        <v>62</v>
      </c>
      <c r="C36" s="14"/>
      <c r="D36" s="14">
        <v>175.85</v>
      </c>
      <c r="E36" s="14"/>
    </row>
    <row r="37" spans="1:5" ht="12.75">
      <c r="A37" s="14"/>
      <c r="B37" s="22" t="s">
        <v>22</v>
      </c>
      <c r="C37" s="14"/>
      <c r="D37" s="14">
        <v>298.55</v>
      </c>
      <c r="E37" s="14"/>
    </row>
    <row r="38" spans="1:5" ht="12.75">
      <c r="A38" s="14">
        <v>4</v>
      </c>
      <c r="B38" s="20" t="s">
        <v>199</v>
      </c>
      <c r="C38" s="14"/>
      <c r="D38" s="19">
        <v>3627.85</v>
      </c>
      <c r="E38" s="19"/>
    </row>
    <row r="39" spans="1:5" ht="12.75">
      <c r="A39" s="14">
        <v>5</v>
      </c>
      <c r="B39" s="20" t="s">
        <v>24</v>
      </c>
      <c r="C39" s="14"/>
      <c r="D39" s="19">
        <f>D22+E22+D28+E28+D31+E31+D38+E38</f>
        <v>22010.14438</v>
      </c>
      <c r="E39" s="14"/>
    </row>
    <row r="40" spans="1:5" ht="12.75">
      <c r="A40" s="14">
        <v>6</v>
      </c>
      <c r="B40" s="14" t="s">
        <v>33</v>
      </c>
      <c r="C40" s="14"/>
      <c r="D40" s="19">
        <f>D19*6%</f>
        <v>911.9616</v>
      </c>
      <c r="E40" s="14"/>
    </row>
    <row r="41" spans="1:5" ht="12.75">
      <c r="A41" s="14">
        <v>7</v>
      </c>
      <c r="B41" s="20" t="s">
        <v>25</v>
      </c>
      <c r="C41" s="14"/>
      <c r="D41" s="19">
        <f>D39+D40</f>
        <v>22922.10598</v>
      </c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>
        <v>8</v>
      </c>
      <c r="B43" s="20" t="s">
        <v>87</v>
      </c>
      <c r="C43" s="14"/>
      <c r="D43" s="19">
        <f>D19-D41</f>
        <v>-7722.74598</v>
      </c>
      <c r="E43" s="14"/>
    </row>
    <row r="44" spans="1:5" ht="12.75">
      <c r="A44" s="14">
        <v>9</v>
      </c>
      <c r="B44" s="20" t="s">
        <v>47</v>
      </c>
      <c r="C44" s="14"/>
      <c r="D44" s="19">
        <f>D11+D43</f>
        <v>-43773.53598</v>
      </c>
      <c r="E44" s="14"/>
    </row>
    <row r="45" spans="1:5" ht="12.75">
      <c r="A45" s="3"/>
      <c r="B45" s="426"/>
      <c r="C45" s="3"/>
      <c r="D45" s="429"/>
      <c r="E45" s="3"/>
    </row>
    <row r="46" spans="1:5" ht="12.75">
      <c r="A46" s="1"/>
      <c r="B46" s="1" t="s">
        <v>31</v>
      </c>
      <c r="C46" s="1"/>
      <c r="D46" s="1" t="s">
        <v>0</v>
      </c>
      <c r="E46" s="1"/>
    </row>
    <row r="47" spans="1:5" ht="12.75">
      <c r="A47" s="1"/>
      <c r="B47" s="1" t="s">
        <v>32</v>
      </c>
      <c r="C47" s="1"/>
      <c r="D47" s="1" t="s">
        <v>27</v>
      </c>
      <c r="E47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zoomScalePageLayoutView="0" workbookViewId="0" topLeftCell="A27">
      <selection activeCell="D47" sqref="D47"/>
    </sheetView>
  </sheetViews>
  <sheetFormatPr defaultColWidth="9.00390625" defaultRowHeight="12.75"/>
  <cols>
    <col min="1" max="1" width="5.375" style="0" customWidth="1"/>
    <col min="2" max="2" width="39.00390625" style="0" customWidth="1"/>
    <col min="3" max="3" width="6.625" style="0" customWidth="1"/>
    <col min="4" max="4" width="12.625" style="0" customWidth="1"/>
    <col min="5" max="5" width="10.125" style="0" customWidth="1"/>
    <col min="7" max="7" width="4.75390625" style="0" customWidth="1"/>
    <col min="8" max="8" width="39.75390625" style="0" customWidth="1"/>
    <col min="9" max="9" width="7.375" style="0" customWidth="1"/>
    <col min="10" max="10" width="11.25390625" style="0" customWidth="1"/>
    <col min="15" max="15" width="39.00390625" style="0" customWidth="1"/>
    <col min="17" max="17" width="9.75390625" style="0" customWidth="1"/>
    <col min="21" max="21" width="47.625" style="0" customWidth="1"/>
    <col min="23" max="23" width="10.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180</v>
      </c>
    </row>
    <row r="5" ht="12.75">
      <c r="B5" t="s">
        <v>50</v>
      </c>
    </row>
    <row r="6" spans="1:5" ht="12.75">
      <c r="A6" s="378"/>
      <c r="B6" s="378"/>
      <c r="C6" s="378"/>
      <c r="D6" s="360"/>
      <c r="E6" s="379"/>
    </row>
    <row r="7" spans="1:5" ht="15.75">
      <c r="A7" s="359"/>
      <c r="B7" s="362" t="s">
        <v>1</v>
      </c>
      <c r="C7" s="363" t="s">
        <v>3</v>
      </c>
      <c r="D7" s="577" t="s">
        <v>4</v>
      </c>
      <c r="E7" s="578"/>
    </row>
    <row r="8" spans="1:5" ht="15.75">
      <c r="A8" s="364"/>
      <c r="B8" s="362" t="s">
        <v>2</v>
      </c>
      <c r="C8" s="363" t="s">
        <v>35</v>
      </c>
      <c r="D8" s="579" t="s">
        <v>121</v>
      </c>
      <c r="E8" s="580"/>
    </row>
    <row r="9" spans="1:5" ht="12.75">
      <c r="A9" s="365"/>
      <c r="B9" s="365"/>
      <c r="C9" s="365"/>
      <c r="D9" s="366"/>
      <c r="E9" s="367"/>
    </row>
    <row r="10" spans="1:5" ht="12.75">
      <c r="A10" s="365"/>
      <c r="B10" s="422" t="s">
        <v>98</v>
      </c>
      <c r="C10" s="365"/>
      <c r="D10" s="366">
        <v>-136683.74</v>
      </c>
      <c r="E10" s="367"/>
    </row>
    <row r="11" spans="1:5" ht="12.75">
      <c r="A11" s="365"/>
      <c r="B11" s="422" t="s">
        <v>127</v>
      </c>
      <c r="C11" s="365"/>
      <c r="D11" s="366">
        <v>36376.37</v>
      </c>
      <c r="E11" s="367"/>
    </row>
    <row r="12" spans="1:5" ht="12.75">
      <c r="A12" s="368"/>
      <c r="B12" s="369" t="s">
        <v>5</v>
      </c>
      <c r="C12" s="368" t="s">
        <v>36</v>
      </c>
      <c r="D12" s="368">
        <v>3980.8</v>
      </c>
      <c r="E12" s="368"/>
    </row>
    <row r="13" spans="1:5" ht="12.75">
      <c r="A13" s="368"/>
      <c r="B13" s="369" t="s">
        <v>6</v>
      </c>
      <c r="C13" s="368" t="s">
        <v>36</v>
      </c>
      <c r="D13" s="368">
        <v>2528.5</v>
      </c>
      <c r="E13" s="368"/>
    </row>
    <row r="14" spans="1:5" ht="12.75">
      <c r="A14" s="368"/>
      <c r="B14" s="370" t="s">
        <v>28</v>
      </c>
      <c r="C14" s="368" t="s">
        <v>9</v>
      </c>
      <c r="D14" s="371">
        <v>134380.56</v>
      </c>
      <c r="E14" s="368"/>
    </row>
    <row r="15" spans="1:5" ht="12.75">
      <c r="A15" s="368"/>
      <c r="B15" s="368"/>
      <c r="C15" s="368"/>
      <c r="D15" s="368"/>
      <c r="E15" s="368"/>
    </row>
    <row r="16" spans="1:5" ht="15.75">
      <c r="A16" s="368"/>
      <c r="B16" s="372" t="s">
        <v>7</v>
      </c>
      <c r="C16" s="368"/>
      <c r="D16" s="368"/>
      <c r="E16" s="368"/>
    </row>
    <row r="17" spans="1:5" ht="12.75">
      <c r="A17" s="368">
        <v>1</v>
      </c>
      <c r="B17" s="368" t="s">
        <v>8</v>
      </c>
      <c r="C17" s="368" t="s">
        <v>9</v>
      </c>
      <c r="D17" s="368">
        <v>109335.2</v>
      </c>
      <c r="E17" s="368"/>
    </row>
    <row r="18" spans="1:5" ht="12.75">
      <c r="A18" s="368">
        <v>2</v>
      </c>
      <c r="B18" s="368" t="s">
        <v>88</v>
      </c>
      <c r="C18" s="368"/>
      <c r="D18" s="368">
        <v>29120.8</v>
      </c>
      <c r="E18" s="368"/>
    </row>
    <row r="19" spans="1:5" ht="15.75">
      <c r="A19" s="368"/>
      <c r="B19" s="372" t="s">
        <v>10</v>
      </c>
      <c r="C19" s="368"/>
      <c r="D19" s="371">
        <f>D17+D18</f>
        <v>138456</v>
      </c>
      <c r="E19" s="368"/>
    </row>
    <row r="20" spans="1:5" ht="15.75">
      <c r="A20" s="368"/>
      <c r="B20" s="372"/>
      <c r="C20" s="368"/>
      <c r="D20" s="371"/>
      <c r="E20" s="36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19">
        <f>D23+D27</f>
        <v>33982.53</v>
      </c>
      <c r="E22" s="19">
        <f>E23</f>
        <v>6682.68924</v>
      </c>
    </row>
    <row r="23" spans="1:5" ht="12.75">
      <c r="A23" s="14">
        <v>1</v>
      </c>
      <c r="B23" s="20" t="s">
        <v>11</v>
      </c>
      <c r="C23" s="395" t="s">
        <v>9</v>
      </c>
      <c r="D23" s="19">
        <f>D24+D25+D26</f>
        <v>33082.619999999995</v>
      </c>
      <c r="E23" s="19">
        <f>E24+E25+E26</f>
        <v>6682.68924</v>
      </c>
    </row>
    <row r="24" spans="1:5" ht="12.75">
      <c r="A24" s="14"/>
      <c r="B24" s="14" t="s">
        <v>12</v>
      </c>
      <c r="C24" s="14"/>
      <c r="D24" s="14">
        <v>15928.15</v>
      </c>
      <c r="E24" s="18">
        <f>D24*20.2%</f>
        <v>3217.4862999999996</v>
      </c>
    </row>
    <row r="25" spans="1:5" ht="12.75">
      <c r="A25" s="14"/>
      <c r="B25" s="14" t="s">
        <v>13</v>
      </c>
      <c r="C25" s="14"/>
      <c r="D25" s="396">
        <v>16729.66</v>
      </c>
      <c r="E25" s="18">
        <f>D25*20.2%</f>
        <v>3379.3913199999997</v>
      </c>
    </row>
    <row r="26" spans="1:5" ht="12.75">
      <c r="A26" s="14"/>
      <c r="B26" s="14" t="s">
        <v>155</v>
      </c>
      <c r="C26" s="14"/>
      <c r="D26" s="14">
        <v>424.81</v>
      </c>
      <c r="E26" s="18">
        <f>D26*20.2%</f>
        <v>85.81161999999999</v>
      </c>
    </row>
    <row r="27" spans="1:5" ht="12.75">
      <c r="A27" s="14">
        <v>2</v>
      </c>
      <c r="B27" s="395" t="s">
        <v>16</v>
      </c>
      <c r="C27" s="14"/>
      <c r="D27" s="14">
        <v>899.91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25430.280000000002</v>
      </c>
      <c r="E28" s="19">
        <f>E29</f>
        <v>4710.0138</v>
      </c>
    </row>
    <row r="29" spans="1:5" ht="12.75">
      <c r="A29" s="14">
        <v>1</v>
      </c>
      <c r="B29" s="22" t="s">
        <v>203</v>
      </c>
      <c r="C29" s="14"/>
      <c r="D29" s="22">
        <v>23316.9</v>
      </c>
      <c r="E29" s="18">
        <f>D29*20.2%</f>
        <v>4710.0138</v>
      </c>
    </row>
    <row r="30" spans="1:5" ht="12.75">
      <c r="A30" s="14">
        <v>2</v>
      </c>
      <c r="B30" s="22" t="s">
        <v>16</v>
      </c>
      <c r="C30" s="14"/>
      <c r="D30" s="22">
        <v>2113.38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</f>
        <v>20555.230000000003</v>
      </c>
      <c r="E31" s="19"/>
    </row>
    <row r="32" spans="1:5" ht="12.75">
      <c r="A32" s="14"/>
      <c r="B32" s="14" t="s">
        <v>18</v>
      </c>
      <c r="C32" s="14"/>
      <c r="D32" s="18">
        <f>D19*5%</f>
        <v>6922.8</v>
      </c>
      <c r="E32" s="14"/>
    </row>
    <row r="33" spans="1:5" ht="12.75">
      <c r="A33" s="14"/>
      <c r="B33" s="14" t="s">
        <v>19</v>
      </c>
      <c r="C33" s="14"/>
      <c r="D33" s="14">
        <v>355.41</v>
      </c>
      <c r="E33" s="14"/>
    </row>
    <row r="34" spans="1:5" ht="12.75">
      <c r="A34" s="14"/>
      <c r="B34" s="14" t="s">
        <v>21</v>
      </c>
      <c r="C34" s="14"/>
      <c r="D34" s="18">
        <f>3497.99+706.59</f>
        <v>4204.58</v>
      </c>
      <c r="E34" s="18"/>
    </row>
    <row r="35" spans="1:5" ht="12.75">
      <c r="A35" s="14"/>
      <c r="B35" s="22" t="s">
        <v>62</v>
      </c>
      <c r="C35" s="14"/>
      <c r="D35" s="14">
        <v>996.94</v>
      </c>
      <c r="E35" s="14"/>
    </row>
    <row r="36" spans="1:5" ht="12.75">
      <c r="A36" s="14"/>
      <c r="B36" s="395" t="s">
        <v>29</v>
      </c>
      <c r="C36" s="14"/>
      <c r="D36" s="14">
        <f>488.05+38.95</f>
        <v>527</v>
      </c>
      <c r="E36" s="14"/>
    </row>
    <row r="37" spans="1:5" ht="12.75">
      <c r="A37" s="14"/>
      <c r="B37" s="395" t="s">
        <v>61</v>
      </c>
      <c r="C37" s="14"/>
      <c r="D37" s="14">
        <v>5855.92</v>
      </c>
      <c r="E37" s="14"/>
    </row>
    <row r="38" spans="1:5" ht="12.75">
      <c r="A38" s="14"/>
      <c r="B38" s="14" t="s">
        <v>22</v>
      </c>
      <c r="C38" s="14"/>
      <c r="D38" s="14">
        <v>1692.58</v>
      </c>
      <c r="E38" s="14"/>
    </row>
    <row r="39" spans="1:5" ht="12.75">
      <c r="A39" s="14">
        <v>4</v>
      </c>
      <c r="B39" s="20" t="s">
        <v>199</v>
      </c>
      <c r="C39" s="14"/>
      <c r="D39" s="19">
        <f>18839.59+2828.69</f>
        <v>21668.28</v>
      </c>
      <c r="E39" s="19"/>
    </row>
    <row r="40" spans="1:5" ht="12.75">
      <c r="A40" s="14">
        <v>5</v>
      </c>
      <c r="B40" s="20" t="s">
        <v>24</v>
      </c>
      <c r="C40" s="14"/>
      <c r="D40" s="19">
        <f>D22+E22+D28+E28+D31+E31+D39+E39</f>
        <v>113029.02304</v>
      </c>
      <c r="E40" s="14"/>
    </row>
    <row r="41" spans="1:5" ht="12.75">
      <c r="A41" s="14">
        <v>6</v>
      </c>
      <c r="B41" s="14" t="s">
        <v>33</v>
      </c>
      <c r="C41" s="14"/>
      <c r="D41" s="19">
        <f>D19*6%</f>
        <v>8307.36</v>
      </c>
      <c r="E41" s="14"/>
    </row>
    <row r="42" spans="1:5" ht="12.75">
      <c r="A42" s="14">
        <v>7</v>
      </c>
      <c r="B42" s="20" t="s">
        <v>25</v>
      </c>
      <c r="C42" s="14"/>
      <c r="D42" s="19">
        <f>D40+D41</f>
        <v>121336.38304</v>
      </c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>
        <v>8</v>
      </c>
      <c r="B44" s="20" t="s">
        <v>87</v>
      </c>
      <c r="C44" s="14"/>
      <c r="D44" s="19">
        <f>D17-D42</f>
        <v>-12001.183040000004</v>
      </c>
      <c r="E44" s="14"/>
    </row>
    <row r="45" spans="1:5" ht="12.75">
      <c r="A45" s="14">
        <v>9</v>
      </c>
      <c r="B45" s="20" t="s">
        <v>47</v>
      </c>
      <c r="C45" s="14"/>
      <c r="D45" s="19">
        <f>D10+D44</f>
        <v>-148684.92304</v>
      </c>
      <c r="E45" s="14"/>
    </row>
    <row r="46" spans="1:5" ht="12.75">
      <c r="A46" s="3"/>
      <c r="B46" s="426" t="s">
        <v>88</v>
      </c>
      <c r="C46" s="3"/>
      <c r="D46" s="429">
        <f>D18+D11-1267.25</f>
        <v>64229.92</v>
      </c>
      <c r="E46" s="3"/>
    </row>
    <row r="47" spans="1:5" ht="12.75">
      <c r="A47" s="3"/>
      <c r="B47" s="426"/>
      <c r="C47" s="3"/>
      <c r="D47" s="429"/>
      <c r="E47" s="3"/>
    </row>
    <row r="48" spans="1:5" ht="12.75">
      <c r="A48" s="3"/>
      <c r="B48" s="426"/>
      <c r="C48" s="3"/>
      <c r="D48" s="429"/>
      <c r="E48" s="3"/>
    </row>
    <row r="49" spans="1:5" ht="12.75">
      <c r="A49" s="1"/>
      <c r="B49" s="1" t="s">
        <v>31</v>
      </c>
      <c r="C49" s="1"/>
      <c r="D49" s="1" t="s">
        <v>0</v>
      </c>
      <c r="E49" s="1"/>
    </row>
    <row r="50" spans="1:5" ht="12.75">
      <c r="A50" s="1"/>
      <c r="B50" s="1" t="s">
        <v>32</v>
      </c>
      <c r="C50" s="1"/>
      <c r="D50" s="1" t="s">
        <v>27</v>
      </c>
      <c r="E50" s="1"/>
    </row>
  </sheetData>
  <sheetProtection/>
  <mergeCells count="2">
    <mergeCell ref="D7:E7"/>
    <mergeCell ref="D8:E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zoomScalePageLayoutView="0" workbookViewId="0" topLeftCell="A20">
      <selection activeCell="H39" sqref="H39"/>
    </sheetView>
  </sheetViews>
  <sheetFormatPr defaultColWidth="9.00390625" defaultRowHeight="12.75"/>
  <cols>
    <col min="1" max="1" width="6.625" style="0" customWidth="1"/>
    <col min="2" max="2" width="42.625" style="0" customWidth="1"/>
    <col min="3" max="3" width="6.625" style="0" customWidth="1"/>
    <col min="4" max="4" width="12.75390625" style="0" customWidth="1"/>
    <col min="5" max="5" width="10.875" style="0" customWidth="1"/>
    <col min="7" max="7" width="5.625" style="0" customWidth="1"/>
    <col min="8" max="8" width="40.875" style="0" customWidth="1"/>
    <col min="10" max="10" width="10.125" style="0" bestFit="1" customWidth="1"/>
    <col min="15" max="15" width="37.375" style="0" customWidth="1"/>
    <col min="17" max="17" width="10.375" style="0" customWidth="1"/>
    <col min="21" max="21" width="43.875" style="0" customWidth="1"/>
    <col min="23" max="23" width="10.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181</v>
      </c>
    </row>
    <row r="5" ht="12.75">
      <c r="B5" t="s">
        <v>50</v>
      </c>
    </row>
    <row r="6" spans="1:5" ht="12.75">
      <c r="A6" s="378"/>
      <c r="B6" s="378"/>
      <c r="C6" s="378"/>
      <c r="D6" s="360"/>
      <c r="E6" s="379"/>
    </row>
    <row r="7" spans="1:5" ht="15.75">
      <c r="A7" s="359"/>
      <c r="B7" s="362" t="s">
        <v>1</v>
      </c>
      <c r="C7" s="363" t="s">
        <v>3</v>
      </c>
      <c r="D7" s="577" t="s">
        <v>4</v>
      </c>
      <c r="E7" s="578"/>
    </row>
    <row r="8" spans="1:5" ht="15.75">
      <c r="A8" s="364"/>
      <c r="B8" s="362" t="s">
        <v>2</v>
      </c>
      <c r="C8" s="363" t="s">
        <v>35</v>
      </c>
      <c r="D8" s="579" t="s">
        <v>121</v>
      </c>
      <c r="E8" s="580"/>
    </row>
    <row r="9" spans="1:5" ht="12.75">
      <c r="A9" s="365"/>
      <c r="B9" s="365"/>
      <c r="C9" s="365"/>
      <c r="D9" s="366"/>
      <c r="E9" s="367"/>
    </row>
    <row r="10" spans="1:5" ht="12.75">
      <c r="A10" s="365"/>
      <c r="B10" s="380" t="s">
        <v>80</v>
      </c>
      <c r="C10" s="365"/>
      <c r="D10" s="366">
        <v>-129830.13</v>
      </c>
      <c r="E10" s="367"/>
    </row>
    <row r="11" spans="1:5" ht="12.75">
      <c r="A11" s="368"/>
      <c r="B11" s="369" t="s">
        <v>5</v>
      </c>
      <c r="C11" s="368" t="s">
        <v>36</v>
      </c>
      <c r="D11" s="368">
        <v>3741.15</v>
      </c>
      <c r="E11" s="368"/>
    </row>
    <row r="12" spans="1:5" ht="12.75">
      <c r="A12" s="368"/>
      <c r="B12" s="369" t="s">
        <v>6</v>
      </c>
      <c r="C12" s="368" t="s">
        <v>36</v>
      </c>
      <c r="D12" s="368">
        <v>2509.41</v>
      </c>
      <c r="E12" s="368"/>
    </row>
    <row r="13" spans="1:5" ht="12.75">
      <c r="A13" s="368"/>
      <c r="B13" s="370" t="s">
        <v>28</v>
      </c>
      <c r="C13" s="368" t="s">
        <v>9</v>
      </c>
      <c r="D13" s="371">
        <f>52622.07*2</f>
        <v>105244.14</v>
      </c>
      <c r="E13" s="368"/>
    </row>
    <row r="14" spans="1:5" ht="12.75">
      <c r="A14" s="368"/>
      <c r="B14" s="368"/>
      <c r="C14" s="368"/>
      <c r="D14" s="368"/>
      <c r="E14" s="368"/>
    </row>
    <row r="15" spans="1:5" ht="15.75">
      <c r="A15" s="368"/>
      <c r="B15" s="372" t="s">
        <v>7</v>
      </c>
      <c r="C15" s="368"/>
      <c r="D15" s="368"/>
      <c r="E15" s="368"/>
    </row>
    <row r="16" spans="1:5" ht="12.75">
      <c r="A16" s="368">
        <v>1</v>
      </c>
      <c r="B16" s="368" t="s">
        <v>8</v>
      </c>
      <c r="C16" s="368" t="s">
        <v>9</v>
      </c>
      <c r="D16" s="374">
        <v>96936.96</v>
      </c>
      <c r="E16" s="368"/>
    </row>
    <row r="17" spans="1:5" ht="12.75">
      <c r="A17" s="368"/>
      <c r="B17" s="368"/>
      <c r="C17" s="368"/>
      <c r="D17" s="374"/>
      <c r="E17" s="368"/>
    </row>
    <row r="18" spans="1:5" ht="15.75">
      <c r="A18" s="368"/>
      <c r="B18" s="372" t="s">
        <v>10</v>
      </c>
      <c r="C18" s="368"/>
      <c r="D18" s="373">
        <f>D16</f>
        <v>96936.96</v>
      </c>
      <c r="E18" s="368"/>
    </row>
    <row r="19" spans="1:5" ht="15.75">
      <c r="A19" s="368"/>
      <c r="B19" s="372"/>
      <c r="C19" s="368"/>
      <c r="D19" s="371"/>
      <c r="E19" s="368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19">
        <f>D22+D27</f>
        <v>41862.4</v>
      </c>
      <c r="E21" s="19">
        <f>E22</f>
        <v>8275.79658</v>
      </c>
    </row>
    <row r="22" spans="1:5" ht="12.75">
      <c r="A22" s="14">
        <v>1</v>
      </c>
      <c r="B22" s="20" t="s">
        <v>11</v>
      </c>
      <c r="C22" s="395" t="s">
        <v>9</v>
      </c>
      <c r="D22" s="19">
        <f>D23+D24+D25+D26</f>
        <v>40969.29</v>
      </c>
      <c r="E22" s="19">
        <f>E23+E24+E25+E26</f>
        <v>8275.79658</v>
      </c>
    </row>
    <row r="23" spans="1:5" ht="12.75">
      <c r="A23" s="14"/>
      <c r="B23" s="14" t="s">
        <v>12</v>
      </c>
      <c r="C23" s="14"/>
      <c r="D23" s="14">
        <v>12750.45</v>
      </c>
      <c r="E23" s="18">
        <f>D23*20.2%</f>
        <v>2575.5909</v>
      </c>
    </row>
    <row r="24" spans="1:5" ht="12.75">
      <c r="A24" s="14"/>
      <c r="B24" s="14" t="s">
        <v>13</v>
      </c>
      <c r="C24" s="14"/>
      <c r="D24" s="396">
        <v>12010.88</v>
      </c>
      <c r="E24" s="18">
        <f>D24*20.2%</f>
        <v>2426.1977599999996</v>
      </c>
    </row>
    <row r="25" spans="1:5" ht="12.75">
      <c r="A25" s="14"/>
      <c r="B25" s="14" t="s">
        <v>14</v>
      </c>
      <c r="C25" s="14"/>
      <c r="D25" s="14">
        <v>15783.15</v>
      </c>
      <c r="E25" s="18">
        <f>D25*20.2%</f>
        <v>3188.1962999999996</v>
      </c>
    </row>
    <row r="26" spans="1:5" ht="12.75">
      <c r="A26" s="14"/>
      <c r="B26" s="14" t="s">
        <v>155</v>
      </c>
      <c r="C26" s="14"/>
      <c r="D26" s="14">
        <v>424.81</v>
      </c>
      <c r="E26" s="18">
        <f>D26*20.2%</f>
        <v>85.81161999999999</v>
      </c>
    </row>
    <row r="27" spans="1:5" ht="12.75">
      <c r="A27" s="14">
        <v>2</v>
      </c>
      <c r="B27" s="395" t="s">
        <v>16</v>
      </c>
      <c r="C27" s="14"/>
      <c r="D27" s="14">
        <v>893.11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32048.36</v>
      </c>
      <c r="E28" s="19">
        <f>E29</f>
        <v>4674.4537199999995</v>
      </c>
    </row>
    <row r="29" spans="1:5" ht="12.75">
      <c r="A29" s="14">
        <v>1</v>
      </c>
      <c r="B29" s="22" t="s">
        <v>203</v>
      </c>
      <c r="C29" s="14"/>
      <c r="D29" s="22">
        <v>23140.86</v>
      </c>
      <c r="E29" s="18">
        <f>D29*20.2%</f>
        <v>4674.4537199999995</v>
      </c>
    </row>
    <row r="30" spans="1:5" ht="12.75">
      <c r="A30" s="14">
        <v>2</v>
      </c>
      <c r="B30" s="22" t="s">
        <v>16</v>
      </c>
      <c r="C30" s="14"/>
      <c r="D30" s="22">
        <v>8907.5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</f>
        <v>12571.308</v>
      </c>
      <c r="E31" s="19"/>
    </row>
    <row r="32" spans="1:5" ht="12.75">
      <c r="A32" s="14"/>
      <c r="B32" s="14" t="s">
        <v>18</v>
      </c>
      <c r="C32" s="14"/>
      <c r="D32" s="18">
        <f>D18*5%</f>
        <v>4846.848000000001</v>
      </c>
      <c r="E32" s="14"/>
    </row>
    <row r="33" spans="1:5" ht="12.75">
      <c r="A33" s="14"/>
      <c r="B33" s="14" t="s">
        <v>19</v>
      </c>
      <c r="C33" s="14"/>
      <c r="D33" s="14">
        <v>355.41</v>
      </c>
      <c r="E33" s="14"/>
    </row>
    <row r="34" spans="1:5" ht="12.75">
      <c r="A34" s="14"/>
      <c r="B34" s="14" t="s">
        <v>21</v>
      </c>
      <c r="C34" s="14"/>
      <c r="D34" s="18">
        <f>3471.58+701.26</f>
        <v>4172.84</v>
      </c>
      <c r="E34" s="18"/>
    </row>
    <row r="35" spans="1:5" ht="12.75">
      <c r="A35" s="14"/>
      <c r="B35" s="395" t="s">
        <v>29</v>
      </c>
      <c r="C35" s="14"/>
      <c r="D35" s="14">
        <f>488.05+38.95</f>
        <v>527</v>
      </c>
      <c r="E35" s="14"/>
    </row>
    <row r="36" spans="1:5" ht="12.75">
      <c r="A36" s="14"/>
      <c r="B36" s="395" t="s">
        <v>62</v>
      </c>
      <c r="C36" s="14"/>
      <c r="D36" s="14">
        <v>989.41</v>
      </c>
      <c r="E36" s="14"/>
    </row>
    <row r="37" spans="1:5" ht="12.75">
      <c r="A37" s="14"/>
      <c r="B37" s="22" t="s">
        <v>22</v>
      </c>
      <c r="C37" s="14"/>
      <c r="D37" s="14">
        <v>1679.8</v>
      </c>
      <c r="E37" s="14"/>
    </row>
    <row r="38" spans="1:5" ht="12.75">
      <c r="A38" s="14">
        <v>4</v>
      </c>
      <c r="B38" s="20" t="s">
        <v>199</v>
      </c>
      <c r="C38" s="14"/>
      <c r="D38" s="19">
        <f>18697.35+2807.33</f>
        <v>21504.68</v>
      </c>
      <c r="E38" s="19"/>
    </row>
    <row r="39" spans="1:5" ht="12.75">
      <c r="A39" s="14">
        <v>5</v>
      </c>
      <c r="B39" s="20" t="s">
        <v>24</v>
      </c>
      <c r="C39" s="14"/>
      <c r="D39" s="19">
        <f>D21+E21+D28+E28+D31+E31+D38+E38</f>
        <v>120936.9983</v>
      </c>
      <c r="E39" s="14"/>
    </row>
    <row r="40" spans="1:5" ht="12.75">
      <c r="A40" s="14">
        <v>6</v>
      </c>
      <c r="B40" s="14" t="s">
        <v>33</v>
      </c>
      <c r="C40" s="14"/>
      <c r="D40" s="19">
        <f>D18*6%</f>
        <v>5816.2176</v>
      </c>
      <c r="E40" s="14"/>
    </row>
    <row r="41" spans="1:5" ht="12.75">
      <c r="A41" s="14">
        <v>7</v>
      </c>
      <c r="B41" s="20" t="s">
        <v>25</v>
      </c>
      <c r="C41" s="14"/>
      <c r="D41" s="19">
        <f>D39+D40</f>
        <v>126753.21590000001</v>
      </c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>
        <v>8</v>
      </c>
      <c r="B43" s="20" t="s">
        <v>87</v>
      </c>
      <c r="C43" s="14"/>
      <c r="D43" s="19">
        <f>D18-D41</f>
        <v>-29816.255900000004</v>
      </c>
      <c r="E43" s="14"/>
    </row>
    <row r="44" spans="1:5" ht="12.75">
      <c r="A44" s="14">
        <v>9</v>
      </c>
      <c r="B44" s="20" t="s">
        <v>47</v>
      </c>
      <c r="C44" s="14"/>
      <c r="D44" s="19">
        <f>D10+D43</f>
        <v>-159646.3859</v>
      </c>
      <c r="E44" s="14"/>
    </row>
    <row r="45" spans="1:5" ht="12.75">
      <c r="A45" s="3"/>
      <c r="B45" s="426"/>
      <c r="C45" s="3"/>
      <c r="D45" s="429"/>
      <c r="E45" s="3"/>
    </row>
    <row r="46" spans="1:5" ht="12.75">
      <c r="A46" s="3"/>
      <c r="B46" s="426"/>
      <c r="C46" s="3"/>
      <c r="D46" s="429"/>
      <c r="E46" s="3"/>
    </row>
    <row r="47" spans="1:5" ht="12.75">
      <c r="A47" s="1"/>
      <c r="B47" s="1" t="s">
        <v>31</v>
      </c>
      <c r="C47" s="1"/>
      <c r="D47" s="1" t="s">
        <v>0</v>
      </c>
      <c r="E47" s="1"/>
    </row>
    <row r="48" spans="1:5" ht="12.75">
      <c r="A48" s="1"/>
      <c r="B48" s="1" t="s">
        <v>32</v>
      </c>
      <c r="C48" s="1"/>
      <c r="D48" s="1" t="s">
        <v>27</v>
      </c>
      <c r="E48" s="1"/>
    </row>
  </sheetData>
  <sheetProtection/>
  <mergeCells count="2">
    <mergeCell ref="D7:E7"/>
    <mergeCell ref="D8:E8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zoomScalePageLayoutView="0" workbookViewId="0" topLeftCell="A24">
      <selection activeCell="H37" sqref="H37"/>
    </sheetView>
  </sheetViews>
  <sheetFormatPr defaultColWidth="9.00390625" defaultRowHeight="12.75"/>
  <cols>
    <col min="1" max="1" width="3.75390625" style="0" customWidth="1"/>
    <col min="2" max="2" width="41.00390625" style="0" customWidth="1"/>
    <col min="3" max="3" width="7.125" style="0" customWidth="1"/>
    <col min="4" max="4" width="11.75390625" style="0" customWidth="1"/>
    <col min="5" max="5" width="11.125" style="0" customWidth="1"/>
    <col min="7" max="7" width="3.75390625" style="0" customWidth="1"/>
    <col min="8" max="8" width="40.00390625" style="0" customWidth="1"/>
    <col min="10" max="10" width="9.625" style="0" bestFit="1" customWidth="1"/>
    <col min="15" max="15" width="38.375" style="0" customWidth="1"/>
    <col min="17" max="17" width="10.00390625" style="0" customWidth="1"/>
    <col min="21" max="21" width="42.875" style="0" customWidth="1"/>
    <col min="23" max="23" width="11.1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182</v>
      </c>
    </row>
    <row r="5" ht="12.75">
      <c r="B5" t="s">
        <v>51</v>
      </c>
    </row>
    <row r="6" spans="1:5" ht="15.75">
      <c r="A6" s="378"/>
      <c r="B6" s="466" t="s">
        <v>1</v>
      </c>
      <c r="C6" s="467" t="s">
        <v>3</v>
      </c>
      <c r="D6" s="582" t="s">
        <v>4</v>
      </c>
      <c r="E6" s="583"/>
    </row>
    <row r="7" spans="1:5" ht="15.75">
      <c r="A7" s="364"/>
      <c r="B7" s="362" t="s">
        <v>2</v>
      </c>
      <c r="C7" s="363" t="s">
        <v>35</v>
      </c>
      <c r="D7" s="579" t="s">
        <v>121</v>
      </c>
      <c r="E7" s="580"/>
    </row>
    <row r="8" spans="1:5" ht="12.75">
      <c r="A8" s="365"/>
      <c r="B8" s="365"/>
      <c r="C8" s="365"/>
      <c r="D8" s="366"/>
      <c r="E8" s="367"/>
    </row>
    <row r="9" spans="1:5" ht="12.75">
      <c r="A9" s="365"/>
      <c r="B9" s="422" t="s">
        <v>98</v>
      </c>
      <c r="C9" s="365"/>
      <c r="D9" s="366">
        <v>9079.54</v>
      </c>
      <c r="E9" s="367"/>
    </row>
    <row r="10" spans="1:5" ht="12.75">
      <c r="A10" s="365"/>
      <c r="B10" s="422" t="s">
        <v>127</v>
      </c>
      <c r="C10" s="365"/>
      <c r="D10" s="366">
        <v>-49157.65</v>
      </c>
      <c r="E10" s="367"/>
    </row>
    <row r="11" spans="1:5" ht="12.75">
      <c r="A11" s="368"/>
      <c r="B11" s="369" t="s">
        <v>5</v>
      </c>
      <c r="C11" s="368" t="s">
        <v>36</v>
      </c>
      <c r="D11" s="368">
        <v>5902.23</v>
      </c>
      <c r="E11" s="368"/>
    </row>
    <row r="12" spans="1:5" ht="12.75">
      <c r="A12" s="368"/>
      <c r="B12" s="369" t="s">
        <v>6</v>
      </c>
      <c r="C12" s="368" t="s">
        <v>36</v>
      </c>
      <c r="D12" s="368">
        <v>4583.71</v>
      </c>
      <c r="E12" s="368"/>
    </row>
    <row r="13" spans="1:5" ht="12.75">
      <c r="A13" s="368"/>
      <c r="B13" s="370" t="s">
        <v>28</v>
      </c>
      <c r="C13" s="368" t="s">
        <v>9</v>
      </c>
      <c r="D13" s="371">
        <v>288011.46</v>
      </c>
      <c r="E13" s="368"/>
    </row>
    <row r="14" spans="1:5" ht="12.75">
      <c r="A14" s="368"/>
      <c r="B14" s="368"/>
      <c r="C14" s="368"/>
      <c r="D14" s="368"/>
      <c r="E14" s="368"/>
    </row>
    <row r="15" spans="1:5" ht="15.75">
      <c r="A15" s="368"/>
      <c r="B15" s="372" t="s">
        <v>7</v>
      </c>
      <c r="C15" s="368"/>
      <c r="D15" s="368"/>
      <c r="E15" s="368"/>
    </row>
    <row r="16" spans="1:5" ht="12.75">
      <c r="A16" s="368">
        <v>1</v>
      </c>
      <c r="B16" s="368" t="s">
        <v>8</v>
      </c>
      <c r="C16" s="368" t="s">
        <v>9</v>
      </c>
      <c r="D16" s="368">
        <v>193595.95</v>
      </c>
      <c r="E16" s="368"/>
    </row>
    <row r="17" spans="1:5" ht="12.75">
      <c r="A17" s="368">
        <v>2</v>
      </c>
      <c r="B17" s="368" t="s">
        <v>88</v>
      </c>
      <c r="C17" s="368"/>
      <c r="D17" s="368">
        <v>87491.5</v>
      </c>
      <c r="E17" s="368"/>
    </row>
    <row r="18" spans="1:5" ht="12.75">
      <c r="A18" s="368">
        <v>3</v>
      </c>
      <c r="B18" s="368" t="s">
        <v>183</v>
      </c>
      <c r="C18" s="368"/>
      <c r="D18" s="368">
        <v>3000</v>
      </c>
      <c r="E18" s="368"/>
    </row>
    <row r="19" spans="1:5" ht="15.75">
      <c r="A19" s="368"/>
      <c r="B19" s="372" t="s">
        <v>10</v>
      </c>
      <c r="C19" s="368"/>
      <c r="D19" s="371">
        <f>D16+D17+D18</f>
        <v>284087.45</v>
      </c>
      <c r="E19" s="368"/>
    </row>
    <row r="20" spans="1:5" ht="15.75">
      <c r="A20" s="368"/>
      <c r="B20" s="372"/>
      <c r="C20" s="368"/>
      <c r="D20" s="371"/>
      <c r="E20" s="36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20">
        <f>D23+D27</f>
        <v>40895.79</v>
      </c>
      <c r="E22" s="19">
        <f>E23</f>
        <v>7931.41284</v>
      </c>
    </row>
    <row r="23" spans="1:5" ht="12.75">
      <c r="A23" s="14">
        <v>1</v>
      </c>
      <c r="B23" s="20" t="s">
        <v>11</v>
      </c>
      <c r="C23" s="395" t="s">
        <v>9</v>
      </c>
      <c r="D23" s="20">
        <f>D24+D26</f>
        <v>39264.42</v>
      </c>
      <c r="E23" s="19">
        <f>E24+E26</f>
        <v>7931.41284</v>
      </c>
    </row>
    <row r="24" spans="1:5" ht="12.75">
      <c r="A24" s="14"/>
      <c r="B24" s="14" t="s">
        <v>12</v>
      </c>
      <c r="C24" s="14"/>
      <c r="D24" s="14">
        <v>37125.32</v>
      </c>
      <c r="E24" s="18">
        <f>D24*20.2%</f>
        <v>7499.31464</v>
      </c>
    </row>
    <row r="25" spans="1:5" ht="12.75">
      <c r="A25" s="14"/>
      <c r="B25" s="14" t="s">
        <v>13</v>
      </c>
      <c r="C25" s="14"/>
      <c r="D25" s="396"/>
      <c r="E25" s="18"/>
    </row>
    <row r="26" spans="1:5" ht="12.75">
      <c r="A26" s="14"/>
      <c r="B26" s="14" t="s">
        <v>155</v>
      </c>
      <c r="C26" s="14"/>
      <c r="D26" s="14">
        <v>2139.1</v>
      </c>
      <c r="E26" s="18">
        <f>D26*20.2%</f>
        <v>432.09819999999996</v>
      </c>
    </row>
    <row r="27" spans="1:5" ht="12.75">
      <c r="A27" s="14">
        <v>2</v>
      </c>
      <c r="B27" s="395" t="s">
        <v>16</v>
      </c>
      <c r="C27" s="14"/>
      <c r="D27" s="14">
        <v>1631.37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D29+D30+D31</f>
        <v>55746.11</v>
      </c>
      <c r="E28" s="19">
        <f>E29</f>
        <v>8538.396579999999</v>
      </c>
    </row>
    <row r="29" spans="1:5" ht="12.75">
      <c r="A29" s="14">
        <v>1</v>
      </c>
      <c r="B29" s="22" t="s">
        <v>203</v>
      </c>
      <c r="C29" s="14"/>
      <c r="D29" s="22">
        <v>42269.29</v>
      </c>
      <c r="E29" s="18">
        <f>D29*20.2%</f>
        <v>8538.396579999999</v>
      </c>
    </row>
    <row r="30" spans="1:5" ht="12.75">
      <c r="A30" s="14">
        <v>2</v>
      </c>
      <c r="B30" s="22" t="s">
        <v>16</v>
      </c>
      <c r="C30" s="14"/>
      <c r="D30" s="22">
        <v>2066.82</v>
      </c>
      <c r="E30" s="14"/>
    </row>
    <row r="31" spans="1:5" ht="12.75">
      <c r="A31" s="14">
        <v>3</v>
      </c>
      <c r="B31" s="22" t="s">
        <v>107</v>
      </c>
      <c r="C31" s="14"/>
      <c r="D31" s="22">
        <v>11410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D33+D34+D35+D36+D37+D38+D39</f>
        <v>89417.8125</v>
      </c>
      <c r="E32" s="19"/>
    </row>
    <row r="33" spans="1:5" ht="12.75">
      <c r="A33" s="14"/>
      <c r="B33" s="14" t="s">
        <v>18</v>
      </c>
      <c r="C33" s="14"/>
      <c r="D33" s="18">
        <f>D19*5%</f>
        <v>14204.372500000001</v>
      </c>
      <c r="E33" s="14"/>
    </row>
    <row r="34" spans="1:5" ht="12.75">
      <c r="A34" s="14"/>
      <c r="B34" s="14" t="s">
        <v>19</v>
      </c>
      <c r="C34" s="14"/>
      <c r="D34" s="14">
        <v>885.52</v>
      </c>
      <c r="E34" s="14"/>
    </row>
    <row r="35" spans="1:5" ht="12.75">
      <c r="A35" s="14"/>
      <c r="B35" s="14" t="s">
        <v>21</v>
      </c>
      <c r="C35" s="14"/>
      <c r="D35" s="18">
        <f>6341.21+1280.92</f>
        <v>7622.13</v>
      </c>
      <c r="E35" s="18"/>
    </row>
    <row r="36" spans="1:5" ht="12.75">
      <c r="A36" s="14"/>
      <c r="B36" s="395" t="s">
        <v>29</v>
      </c>
      <c r="C36" s="14"/>
      <c r="D36" s="14">
        <f>780.88+2846.09</f>
        <v>3626.9700000000003</v>
      </c>
      <c r="E36" s="14"/>
    </row>
    <row r="37" spans="1:5" ht="12.75">
      <c r="A37" s="14"/>
      <c r="B37" s="22" t="s">
        <v>172</v>
      </c>
      <c r="C37" s="14"/>
      <c r="D37" s="14">
        <v>54050.48</v>
      </c>
      <c r="E37" s="14"/>
    </row>
    <row r="38" spans="1:5" ht="12.75">
      <c r="A38" s="14"/>
      <c r="B38" s="22" t="s">
        <v>119</v>
      </c>
      <c r="C38" s="14"/>
      <c r="D38" s="14">
        <v>5960</v>
      </c>
      <c r="E38" s="14"/>
    </row>
    <row r="39" spans="1:5" ht="12.75">
      <c r="A39" s="14"/>
      <c r="B39" s="22" t="s">
        <v>22</v>
      </c>
      <c r="C39" s="14"/>
      <c r="D39" s="14">
        <v>3068.34</v>
      </c>
      <c r="E39" s="14"/>
    </row>
    <row r="40" spans="1:5" ht="12.75">
      <c r="A40" s="14">
        <v>4</v>
      </c>
      <c r="B40" s="20" t="s">
        <v>199</v>
      </c>
      <c r="C40" s="14"/>
      <c r="D40" s="19">
        <f>34152.74+5127.9</f>
        <v>39280.64</v>
      </c>
      <c r="E40" s="19"/>
    </row>
    <row r="41" spans="1:5" ht="12.75">
      <c r="A41" s="14">
        <v>5</v>
      </c>
      <c r="B41" s="20" t="s">
        <v>24</v>
      </c>
      <c r="C41" s="14"/>
      <c r="D41" s="19">
        <f>D22+E22+D28+E28+D32+E32+D40+E40</f>
        <v>241810.16191999998</v>
      </c>
      <c r="E41" s="14"/>
    </row>
    <row r="42" spans="1:5" ht="12.75">
      <c r="A42" s="14">
        <v>6</v>
      </c>
      <c r="B42" s="14" t="s">
        <v>33</v>
      </c>
      <c r="C42" s="14"/>
      <c r="D42" s="19">
        <f>D19*6%</f>
        <v>17045.247</v>
      </c>
      <c r="E42" s="14"/>
    </row>
    <row r="43" spans="1:5" ht="12.75">
      <c r="A43" s="14">
        <v>7</v>
      </c>
      <c r="B43" s="20" t="s">
        <v>25</v>
      </c>
      <c r="C43" s="14"/>
      <c r="D43" s="19">
        <f>D41+D42</f>
        <v>258855.40892</v>
      </c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>
        <v>8</v>
      </c>
      <c r="B45" s="20" t="s">
        <v>87</v>
      </c>
      <c r="C45" s="14"/>
      <c r="D45" s="19">
        <f>(D16+D18)-D43</f>
        <v>-62259.458919999975</v>
      </c>
      <c r="E45" s="14"/>
    </row>
    <row r="46" spans="1:5" ht="12.75">
      <c r="A46" s="14">
        <v>9</v>
      </c>
      <c r="B46" s="20" t="s">
        <v>47</v>
      </c>
      <c r="C46" s="14"/>
      <c r="D46" s="19">
        <f>D9+D45</f>
        <v>-53179.918919999975</v>
      </c>
      <c r="E46" s="14"/>
    </row>
    <row r="47" spans="1:5" ht="12.75">
      <c r="A47" s="3"/>
      <c r="B47" s="426" t="s">
        <v>88</v>
      </c>
      <c r="C47" s="3"/>
      <c r="D47" s="429">
        <f>D10+D17</f>
        <v>38333.85</v>
      </c>
      <c r="E47" s="3"/>
    </row>
    <row r="48" spans="1:5" ht="12.75">
      <c r="A48" s="3"/>
      <c r="B48" s="426"/>
      <c r="C48" s="3"/>
      <c r="D48" s="429"/>
      <c r="E48" s="3"/>
    </row>
    <row r="49" spans="1:5" ht="12.75">
      <c r="A49" s="1"/>
      <c r="B49" s="1" t="s">
        <v>31</v>
      </c>
      <c r="C49" s="1"/>
      <c r="D49" s="1" t="s">
        <v>0</v>
      </c>
      <c r="E49" s="1"/>
    </row>
    <row r="50" spans="1:5" ht="12.75">
      <c r="A50" s="1"/>
      <c r="B50" s="1" t="s">
        <v>32</v>
      </c>
      <c r="C50" s="1"/>
      <c r="D50" s="1" t="s">
        <v>27</v>
      </c>
      <c r="E50" s="1"/>
    </row>
  </sheetData>
  <sheetProtection/>
  <mergeCells count="2">
    <mergeCell ref="D6:E6"/>
    <mergeCell ref="D7:E7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zoomScalePageLayoutView="0" workbookViewId="0" topLeftCell="A23">
      <selection activeCell="B39" sqref="B39"/>
    </sheetView>
  </sheetViews>
  <sheetFormatPr defaultColWidth="9.00390625" defaultRowHeight="12.75"/>
  <cols>
    <col min="1" max="1" width="3.75390625" style="0" customWidth="1"/>
    <col min="2" max="2" width="39.625" style="0" customWidth="1"/>
    <col min="3" max="3" width="7.125" style="0" customWidth="1"/>
    <col min="4" max="4" width="11.625" style="0" customWidth="1"/>
    <col min="5" max="5" width="10.25390625" style="0" customWidth="1"/>
    <col min="7" max="7" width="3.75390625" style="0" customWidth="1"/>
    <col min="8" max="8" width="40.75390625" style="0" customWidth="1"/>
    <col min="15" max="15" width="38.375" style="0" customWidth="1"/>
    <col min="21" max="21" width="42.625" style="0" customWidth="1"/>
    <col min="23" max="23" width="11.00390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184</v>
      </c>
    </row>
    <row r="5" ht="12.75">
      <c r="B5" t="s">
        <v>50</v>
      </c>
    </row>
    <row r="6" spans="1:5" ht="15.75">
      <c r="A6" s="368"/>
      <c r="B6" s="372" t="s">
        <v>1</v>
      </c>
      <c r="C6" s="370" t="s">
        <v>3</v>
      </c>
      <c r="D6" s="584" t="s">
        <v>4</v>
      </c>
      <c r="E6" s="585"/>
    </row>
    <row r="7" spans="1:5" ht="15.75">
      <c r="A7" s="364"/>
      <c r="B7" s="362" t="s">
        <v>2</v>
      </c>
      <c r="C7" s="363" t="s">
        <v>35</v>
      </c>
      <c r="D7" s="579" t="s">
        <v>115</v>
      </c>
      <c r="E7" s="580"/>
    </row>
    <row r="8" spans="1:5" ht="12.75">
      <c r="A8" s="368"/>
      <c r="B8" s="337" t="s">
        <v>98</v>
      </c>
      <c r="C8" s="368"/>
      <c r="D8" s="382">
        <v>12706.78</v>
      </c>
      <c r="E8" s="377"/>
    </row>
    <row r="9" spans="1:5" ht="12.75">
      <c r="A9" s="365"/>
      <c r="B9" s="422" t="s">
        <v>127</v>
      </c>
      <c r="C9" s="365"/>
      <c r="D9" s="366">
        <v>103856.55</v>
      </c>
      <c r="E9" s="367"/>
    </row>
    <row r="10" spans="1:5" ht="12.75">
      <c r="A10" s="368"/>
      <c r="B10" s="369" t="s">
        <v>5</v>
      </c>
      <c r="C10" s="368" t="s">
        <v>36</v>
      </c>
      <c r="D10" s="368">
        <v>3713.1</v>
      </c>
      <c r="E10" s="368"/>
    </row>
    <row r="11" spans="1:5" ht="12.75">
      <c r="A11" s="368"/>
      <c r="B11" s="369" t="s">
        <v>6</v>
      </c>
      <c r="C11" s="368" t="s">
        <v>36</v>
      </c>
      <c r="D11" s="368">
        <v>3054.59</v>
      </c>
      <c r="E11" s="368"/>
    </row>
    <row r="12" spans="1:5" ht="12.75">
      <c r="A12" s="368"/>
      <c r="B12" s="370" t="s">
        <v>28</v>
      </c>
      <c r="C12" s="368" t="s">
        <v>9</v>
      </c>
      <c r="D12" s="371">
        <v>149945.64</v>
      </c>
      <c r="E12" s="368"/>
    </row>
    <row r="13" spans="1:5" ht="12.75">
      <c r="A13" s="368"/>
      <c r="B13" s="368"/>
      <c r="C13" s="368"/>
      <c r="D13" s="368"/>
      <c r="E13" s="368"/>
    </row>
    <row r="14" spans="1:5" ht="15.75">
      <c r="A14" s="368"/>
      <c r="B14" s="372" t="s">
        <v>7</v>
      </c>
      <c r="C14" s="368"/>
      <c r="D14" s="368"/>
      <c r="E14" s="368"/>
    </row>
    <row r="15" spans="1:5" ht="12.75">
      <c r="A15" s="368">
        <v>1</v>
      </c>
      <c r="B15" s="368" t="s">
        <v>8</v>
      </c>
      <c r="C15" s="368" t="s">
        <v>9</v>
      </c>
      <c r="D15" s="368">
        <v>81820.8</v>
      </c>
      <c r="E15" s="368"/>
    </row>
    <row r="16" spans="1:5" ht="12.75">
      <c r="A16" s="368">
        <v>2</v>
      </c>
      <c r="B16" s="368" t="s">
        <v>88</v>
      </c>
      <c r="C16" s="368"/>
      <c r="D16" s="368">
        <v>35525.6</v>
      </c>
      <c r="E16" s="368"/>
    </row>
    <row r="17" spans="1:5" ht="12.75">
      <c r="A17" s="368">
        <v>3</v>
      </c>
      <c r="B17" s="368" t="s">
        <v>104</v>
      </c>
      <c r="C17" s="368"/>
      <c r="D17" s="368">
        <v>3000</v>
      </c>
      <c r="E17" s="368"/>
    </row>
    <row r="18" spans="1:5" ht="15.75">
      <c r="A18" s="368"/>
      <c r="B18" s="372" t="s">
        <v>10</v>
      </c>
      <c r="C18" s="368"/>
      <c r="D18" s="371">
        <f>D15+D16+D17</f>
        <v>120346.4</v>
      </c>
      <c r="E18" s="368"/>
    </row>
    <row r="19" spans="1:5" ht="15.75">
      <c r="A19" s="368"/>
      <c r="B19" s="372"/>
      <c r="C19" s="368"/>
      <c r="D19" s="371"/>
      <c r="E19" s="368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20">
        <f>D22+D26</f>
        <v>26111</v>
      </c>
      <c r="E21" s="19">
        <f>E22</f>
        <v>5054.8197199999995</v>
      </c>
    </row>
    <row r="22" spans="1:5" ht="12.75">
      <c r="A22" s="14">
        <v>1</v>
      </c>
      <c r="B22" s="20" t="s">
        <v>11</v>
      </c>
      <c r="C22" s="395" t="s">
        <v>9</v>
      </c>
      <c r="D22" s="20">
        <f>D23+D25</f>
        <v>25023.86</v>
      </c>
      <c r="E22" s="19">
        <f>E23+E25</f>
        <v>5054.8197199999995</v>
      </c>
    </row>
    <row r="23" spans="1:5" ht="12.75">
      <c r="A23" s="14"/>
      <c r="B23" s="14" t="s">
        <v>12</v>
      </c>
      <c r="C23" s="14"/>
      <c r="D23" s="14">
        <v>22253.98</v>
      </c>
      <c r="E23" s="18">
        <f>D23*20.2%</f>
        <v>4495.303959999999</v>
      </c>
    </row>
    <row r="24" spans="1:5" ht="12.75">
      <c r="A24" s="14"/>
      <c r="B24" s="14" t="s">
        <v>13</v>
      </c>
      <c r="C24" s="14"/>
      <c r="D24" s="396"/>
      <c r="E24" s="18"/>
    </row>
    <row r="25" spans="1:5" ht="12.75">
      <c r="A25" s="14"/>
      <c r="B25" s="14" t="s">
        <v>155</v>
      </c>
      <c r="C25" s="14"/>
      <c r="D25" s="14">
        <v>2769.88</v>
      </c>
      <c r="E25" s="18">
        <f>D25*20.2%</f>
        <v>559.51576</v>
      </c>
    </row>
    <row r="26" spans="1:5" ht="12.75">
      <c r="A26" s="14">
        <v>2</v>
      </c>
      <c r="B26" s="395" t="s">
        <v>16</v>
      </c>
      <c r="C26" s="14"/>
      <c r="D26" s="14">
        <v>1087.14</v>
      </c>
      <c r="E26" s="18"/>
    </row>
    <row r="27" spans="1:5" ht="12.75">
      <c r="A27" s="401" t="s">
        <v>71</v>
      </c>
      <c r="B27" s="402" t="s">
        <v>69</v>
      </c>
      <c r="C27" s="14"/>
      <c r="D27" s="20">
        <f>D28+D29</f>
        <v>54877.11</v>
      </c>
      <c r="E27" s="19">
        <f>E28</f>
        <v>5689.998619999999</v>
      </c>
    </row>
    <row r="28" spans="1:5" ht="12.75">
      <c r="A28" s="14">
        <v>1</v>
      </c>
      <c r="B28" s="22" t="s">
        <v>203</v>
      </c>
      <c r="C28" s="14"/>
      <c r="D28" s="22">
        <v>28168.31</v>
      </c>
      <c r="E28" s="18">
        <f>D28*20.2%</f>
        <v>5689.998619999999</v>
      </c>
    </row>
    <row r="29" spans="1:5" ht="12.75">
      <c r="A29" s="14">
        <v>2</v>
      </c>
      <c r="B29" s="22" t="s">
        <v>16</v>
      </c>
      <c r="C29" s="14"/>
      <c r="D29" s="22">
        <v>26708.8</v>
      </c>
      <c r="E29" s="14"/>
    </row>
    <row r="30" spans="1:5" ht="12.75">
      <c r="A30" s="401" t="s">
        <v>72</v>
      </c>
      <c r="B30" s="20" t="s">
        <v>17</v>
      </c>
      <c r="C30" s="14"/>
      <c r="D30" s="19">
        <f>D31+D32+D33+D34+D35+D36+D37</f>
        <v>24255.319999999996</v>
      </c>
      <c r="E30" s="19"/>
    </row>
    <row r="31" spans="1:5" ht="12.75">
      <c r="A31" s="14"/>
      <c r="B31" s="14" t="s">
        <v>18</v>
      </c>
      <c r="C31" s="14"/>
      <c r="D31" s="18">
        <f>D18*5%</f>
        <v>6017.32</v>
      </c>
      <c r="E31" s="14"/>
    </row>
    <row r="32" spans="1:5" ht="12.75">
      <c r="A32" s="14"/>
      <c r="B32" s="14" t="s">
        <v>19</v>
      </c>
      <c r="C32" s="14"/>
      <c r="D32" s="14">
        <v>1084.5</v>
      </c>
      <c r="E32" s="14"/>
    </row>
    <row r="33" spans="1:5" ht="12.75">
      <c r="A33" s="14"/>
      <c r="B33" s="14" t="s">
        <v>21</v>
      </c>
      <c r="C33" s="14"/>
      <c r="D33" s="18">
        <f>4225.79+853.61</f>
        <v>5079.4</v>
      </c>
      <c r="E33" s="18"/>
    </row>
    <row r="34" spans="1:5" ht="12.75">
      <c r="A34" s="14"/>
      <c r="B34" s="395" t="s">
        <v>61</v>
      </c>
      <c r="C34" s="14"/>
      <c r="D34" s="14">
        <v>8395.59</v>
      </c>
      <c r="E34" s="14"/>
    </row>
    <row r="35" spans="1:5" ht="12.75">
      <c r="A35" s="14"/>
      <c r="B35" s="395" t="s">
        <v>29</v>
      </c>
      <c r="C35" s="14"/>
      <c r="D35" s="14">
        <f>390.44+38.95</f>
        <v>429.39</v>
      </c>
      <c r="E35" s="14"/>
    </row>
    <row r="36" spans="1:5" ht="12.75">
      <c r="A36" s="14"/>
      <c r="B36" s="395" t="s">
        <v>62</v>
      </c>
      <c r="C36" s="14"/>
      <c r="D36" s="14">
        <v>1204.37</v>
      </c>
      <c r="E36" s="14"/>
    </row>
    <row r="37" spans="1:5" ht="12.75">
      <c r="A37" s="14"/>
      <c r="B37" s="14" t="s">
        <v>22</v>
      </c>
      <c r="C37" s="14"/>
      <c r="D37" s="14">
        <v>2044.75</v>
      </c>
      <c r="E37" s="14"/>
    </row>
    <row r="38" spans="1:5" ht="12.75">
      <c r="A38" s="14">
        <v>4</v>
      </c>
      <c r="B38" s="20" t="s">
        <v>199</v>
      </c>
      <c r="C38" s="14"/>
      <c r="D38" s="19">
        <f>22758.77+3417.24</f>
        <v>26176.010000000002</v>
      </c>
      <c r="E38" s="19"/>
    </row>
    <row r="39" spans="1:5" ht="12.75">
      <c r="A39" s="14">
        <v>5</v>
      </c>
      <c r="B39" s="20" t="s">
        <v>24</v>
      </c>
      <c r="C39" s="14"/>
      <c r="D39" s="19">
        <f>D21+E21+D27+E27+D30+E30+D38+E38</f>
        <v>142164.25834</v>
      </c>
      <c r="E39" s="14"/>
    </row>
    <row r="40" spans="1:5" ht="12.75">
      <c r="A40" s="14">
        <v>6</v>
      </c>
      <c r="B40" s="14" t="s">
        <v>33</v>
      </c>
      <c r="C40" s="14"/>
      <c r="D40" s="19">
        <f>D18*6%</f>
        <v>7220.784</v>
      </c>
      <c r="E40" s="14"/>
    </row>
    <row r="41" spans="1:5" ht="12.75">
      <c r="A41" s="14">
        <v>7</v>
      </c>
      <c r="B41" s="20" t="s">
        <v>25</v>
      </c>
      <c r="C41" s="14"/>
      <c r="D41" s="19">
        <f>D39+D40</f>
        <v>149385.04233999999</v>
      </c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>
        <v>8</v>
      </c>
      <c r="B43" s="20" t="s">
        <v>87</v>
      </c>
      <c r="C43" s="14"/>
      <c r="D43" s="19">
        <f>(D15+D17)-D41</f>
        <v>-64564.24233999998</v>
      </c>
      <c r="E43" s="14"/>
    </row>
    <row r="44" spans="1:5" ht="12.75">
      <c r="A44" s="14">
        <v>9</v>
      </c>
      <c r="B44" s="20" t="s">
        <v>47</v>
      </c>
      <c r="C44" s="14"/>
      <c r="D44" s="19">
        <f>D8+D43</f>
        <v>-51857.462339999984</v>
      </c>
      <c r="E44" s="14"/>
    </row>
    <row r="45" spans="1:5" ht="12.75">
      <c r="A45" s="3"/>
      <c r="B45" s="426" t="s">
        <v>88</v>
      </c>
      <c r="C45" s="3"/>
      <c r="D45" s="429">
        <f>D16+D9</f>
        <v>139382.15</v>
      </c>
      <c r="E45" s="3"/>
    </row>
    <row r="46" spans="1:5" ht="12.75">
      <c r="A46" s="3"/>
      <c r="B46" s="426" t="s">
        <v>143</v>
      </c>
      <c r="C46" s="3"/>
      <c r="D46" s="429"/>
      <c r="E46" s="3"/>
    </row>
    <row r="47" spans="1:5" ht="12.75">
      <c r="A47" s="3"/>
      <c r="B47" s="426" t="s">
        <v>129</v>
      </c>
      <c r="C47" s="3"/>
      <c r="D47" s="429"/>
      <c r="E47" s="3"/>
    </row>
    <row r="48" spans="1:5" ht="12.75">
      <c r="A48" s="3"/>
      <c r="B48" s="426"/>
      <c r="C48" s="3"/>
      <c r="D48" s="429"/>
      <c r="E48" s="3"/>
    </row>
    <row r="49" spans="1:5" ht="12.75">
      <c r="A49" s="1"/>
      <c r="B49" s="1" t="s">
        <v>31</v>
      </c>
      <c r="C49" s="1"/>
      <c r="D49" s="1" t="s">
        <v>0</v>
      </c>
      <c r="E49" s="1"/>
    </row>
    <row r="50" spans="1:5" ht="12.75">
      <c r="A50" s="1"/>
      <c r="B50" s="1" t="s">
        <v>32</v>
      </c>
      <c r="C50" s="1"/>
      <c r="D50" s="1" t="s">
        <v>27</v>
      </c>
      <c r="E50" s="1"/>
    </row>
  </sheetData>
  <sheetProtection/>
  <mergeCells count="2">
    <mergeCell ref="D6:E6"/>
    <mergeCell ref="D7:E7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zoomScalePageLayoutView="0" workbookViewId="0" topLeftCell="B22">
      <selection activeCell="D47" sqref="D47"/>
    </sheetView>
  </sheetViews>
  <sheetFormatPr defaultColWidth="9.00390625" defaultRowHeight="12.75"/>
  <cols>
    <col min="1" max="1" width="3.75390625" style="0" customWidth="1"/>
    <col min="2" max="2" width="38.125" style="0" customWidth="1"/>
    <col min="3" max="3" width="7.125" style="0" customWidth="1"/>
    <col min="4" max="4" width="11.375" style="0" customWidth="1"/>
    <col min="5" max="5" width="10.75390625" style="0" customWidth="1"/>
    <col min="7" max="7" width="3.75390625" style="0" customWidth="1"/>
    <col min="8" max="8" width="40.75390625" style="0" customWidth="1"/>
    <col min="10" max="10" width="10.25390625" style="0" customWidth="1"/>
    <col min="15" max="15" width="39.00390625" style="0" customWidth="1"/>
    <col min="16" max="16" width="8.25390625" style="0" customWidth="1"/>
    <col min="17" max="17" width="13.125" style="0" bestFit="1" customWidth="1"/>
    <col min="19" max="19" width="7.625" style="0" customWidth="1"/>
    <col min="21" max="21" width="39.875" style="0" customWidth="1"/>
    <col min="23" max="23" width="12.00390625" style="0" customWidth="1"/>
    <col min="24" max="24" width="9.87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185</v>
      </c>
    </row>
    <row r="5" ht="12.75">
      <c r="B5" t="s">
        <v>50</v>
      </c>
    </row>
    <row r="6" spans="1:5" ht="12.75">
      <c r="A6" s="576"/>
      <c r="B6" s="576"/>
      <c r="C6" s="576"/>
      <c r="D6" s="357"/>
      <c r="E6" s="358"/>
    </row>
    <row r="7" spans="1:5" ht="12.75">
      <c r="A7" s="359"/>
      <c r="B7" s="359"/>
      <c r="C7" s="359"/>
      <c r="D7" s="360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35</v>
      </c>
      <c r="D9" s="579" t="s">
        <v>124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380" t="s">
        <v>80</v>
      </c>
      <c r="C11" s="365"/>
      <c r="D11" s="366">
        <v>183599.42</v>
      </c>
      <c r="E11" s="367"/>
    </row>
    <row r="12" spans="1:5" ht="12.75">
      <c r="A12" s="368"/>
      <c r="B12" s="369" t="s">
        <v>5</v>
      </c>
      <c r="C12" s="368" t="s">
        <v>36</v>
      </c>
      <c r="D12" s="368">
        <v>7687.9</v>
      </c>
      <c r="E12" s="368"/>
    </row>
    <row r="13" spans="1:5" ht="12.75">
      <c r="A13" s="368"/>
      <c r="B13" s="369" t="s">
        <v>6</v>
      </c>
      <c r="C13" s="368" t="s">
        <v>36</v>
      </c>
      <c r="D13" s="368">
        <v>4987.7</v>
      </c>
      <c r="E13" s="368"/>
    </row>
    <row r="14" spans="1:5" ht="12.75">
      <c r="A14" s="368"/>
      <c r="B14" s="370" t="s">
        <v>28</v>
      </c>
      <c r="C14" s="368" t="s">
        <v>9</v>
      </c>
      <c r="D14" s="371">
        <v>208317.96</v>
      </c>
      <c r="E14" s="368"/>
    </row>
    <row r="15" spans="1:5" ht="12.75">
      <c r="A15" s="368"/>
      <c r="B15" s="368"/>
      <c r="C15" s="368"/>
      <c r="D15" s="368"/>
      <c r="E15" s="368"/>
    </row>
    <row r="16" spans="1:5" ht="15.75">
      <c r="A16" s="368"/>
      <c r="B16" s="372" t="s">
        <v>7</v>
      </c>
      <c r="C16" s="368"/>
      <c r="D16" s="368"/>
      <c r="E16" s="368"/>
    </row>
    <row r="17" spans="1:5" ht="12.75">
      <c r="A17" s="368">
        <v>1</v>
      </c>
      <c r="B17" s="368" t="s">
        <v>8</v>
      </c>
      <c r="C17" s="368" t="s">
        <v>9</v>
      </c>
      <c r="D17" s="368">
        <v>197275.29</v>
      </c>
      <c r="E17" s="368"/>
    </row>
    <row r="18" spans="1:5" ht="12.75">
      <c r="A18" s="368">
        <v>2</v>
      </c>
      <c r="B18" s="368" t="s">
        <v>63</v>
      </c>
      <c r="C18" s="368" t="s">
        <v>9</v>
      </c>
      <c r="D18" s="368">
        <v>156000</v>
      </c>
      <c r="E18" s="368"/>
    </row>
    <row r="19" spans="1:5" ht="12.75">
      <c r="A19" s="368">
        <v>3</v>
      </c>
      <c r="B19" s="368" t="s">
        <v>104</v>
      </c>
      <c r="C19" s="368"/>
      <c r="D19" s="368">
        <v>3000</v>
      </c>
      <c r="E19" s="368"/>
    </row>
    <row r="20" spans="1:5" ht="15.75">
      <c r="A20" s="368"/>
      <c r="B20" s="372" t="s">
        <v>10</v>
      </c>
      <c r="C20" s="368"/>
      <c r="D20" s="371">
        <f>D17+D18+D19</f>
        <v>356275.29000000004</v>
      </c>
      <c r="E20" s="368"/>
    </row>
    <row r="21" spans="1:5" ht="15.75">
      <c r="A21" s="368"/>
      <c r="B21" s="372"/>
      <c r="C21" s="368"/>
      <c r="D21" s="371"/>
      <c r="E21" s="368"/>
    </row>
    <row r="22" spans="1:5" ht="15.75">
      <c r="A22" s="14"/>
      <c r="B22" s="17" t="s">
        <v>66</v>
      </c>
      <c r="C22" s="14"/>
      <c r="D22" s="20"/>
      <c r="E22" s="51" t="s">
        <v>15</v>
      </c>
    </row>
    <row r="23" spans="1:5" ht="12.75">
      <c r="A23" s="401" t="s">
        <v>67</v>
      </c>
      <c r="B23" s="16" t="s">
        <v>68</v>
      </c>
      <c r="C23" s="14"/>
      <c r="D23" s="19">
        <f>D24+D28</f>
        <v>77519.29</v>
      </c>
      <c r="E23" s="19">
        <f>E24</f>
        <v>15300.31628</v>
      </c>
    </row>
    <row r="24" spans="1:5" ht="12.75">
      <c r="A24" s="14">
        <v>1</v>
      </c>
      <c r="B24" s="20" t="s">
        <v>11</v>
      </c>
      <c r="C24" s="395" t="s">
        <v>9</v>
      </c>
      <c r="D24" s="19">
        <f>D25+D26+D27</f>
        <v>75744.14</v>
      </c>
      <c r="E24" s="19">
        <f>E25+E26+E27</f>
        <v>15300.31628</v>
      </c>
    </row>
    <row r="25" spans="1:5" ht="12.75">
      <c r="A25" s="14"/>
      <c r="B25" s="14" t="s">
        <v>12</v>
      </c>
      <c r="C25" s="14"/>
      <c r="D25" s="14">
        <v>15676.4</v>
      </c>
      <c r="E25" s="18">
        <f>D25*20.2%</f>
        <v>3166.6328</v>
      </c>
    </row>
    <row r="26" spans="1:5" ht="12.75">
      <c r="A26" s="14"/>
      <c r="B26" s="14" t="s">
        <v>13</v>
      </c>
      <c r="C26" s="14"/>
      <c r="D26" s="396">
        <v>23395.26</v>
      </c>
      <c r="E26" s="18">
        <f>D26*20.2%</f>
        <v>4725.842519999999</v>
      </c>
    </row>
    <row r="27" spans="1:5" ht="12.75">
      <c r="A27" s="14"/>
      <c r="B27" s="14" t="s">
        <v>14</v>
      </c>
      <c r="C27" s="14"/>
      <c r="D27" s="14">
        <v>36672.48</v>
      </c>
      <c r="E27" s="18">
        <f>D27*20.2%</f>
        <v>7407.84096</v>
      </c>
    </row>
    <row r="28" spans="1:5" ht="12.75">
      <c r="A28" s="14">
        <v>2</v>
      </c>
      <c r="B28" s="395" t="s">
        <v>16</v>
      </c>
      <c r="C28" s="14"/>
      <c r="D28" s="14">
        <v>1775.15</v>
      </c>
      <c r="E28" s="18"/>
    </row>
    <row r="29" spans="1:5" ht="12.75">
      <c r="A29" s="401" t="s">
        <v>71</v>
      </c>
      <c r="B29" s="402" t="s">
        <v>69</v>
      </c>
      <c r="C29" s="14"/>
      <c r="D29" s="20">
        <f>D30+D31</f>
        <v>69230.4</v>
      </c>
      <c r="E29" s="19">
        <f>E30</f>
        <v>9290.937479999999</v>
      </c>
    </row>
    <row r="30" spans="1:5" ht="12.75">
      <c r="A30" s="14">
        <v>1</v>
      </c>
      <c r="B30" s="22" t="s">
        <v>203</v>
      </c>
      <c r="C30" s="14"/>
      <c r="D30" s="22">
        <v>45994.74</v>
      </c>
      <c r="E30" s="18">
        <f>D30*20.2%</f>
        <v>9290.937479999999</v>
      </c>
    </row>
    <row r="31" spans="1:5" ht="12.75">
      <c r="A31" s="14">
        <v>2</v>
      </c>
      <c r="B31" s="22" t="s">
        <v>16</v>
      </c>
      <c r="C31" s="14"/>
      <c r="D31" s="22">
        <v>23235.66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D33+D34+D35+D36+D37+D39+D40</f>
        <v>52807.8245</v>
      </c>
      <c r="E32" s="19"/>
    </row>
    <row r="33" spans="1:5" ht="12.75">
      <c r="A33" s="14"/>
      <c r="B33" s="14" t="s">
        <v>18</v>
      </c>
      <c r="C33" s="14"/>
      <c r="D33" s="18">
        <f>D20*5%</f>
        <v>17813.7645</v>
      </c>
      <c r="E33" s="14"/>
    </row>
    <row r="34" spans="1:5" ht="12.75">
      <c r="A34" s="14"/>
      <c r="B34" s="14" t="s">
        <v>19</v>
      </c>
      <c r="C34" s="14"/>
      <c r="D34" s="14">
        <v>218.28</v>
      </c>
      <c r="E34" s="14"/>
    </row>
    <row r="35" spans="1:5" ht="12.75">
      <c r="A35" s="14"/>
      <c r="B35" s="14" t="s">
        <v>20</v>
      </c>
      <c r="C35" s="14"/>
      <c r="D35" s="14">
        <v>4043.2</v>
      </c>
      <c r="E35" s="14"/>
    </row>
    <row r="36" spans="1:5" ht="12.75">
      <c r="A36" s="14"/>
      <c r="B36" s="14" t="s">
        <v>21</v>
      </c>
      <c r="C36" s="14"/>
      <c r="D36" s="18">
        <f>6900.1+1393.82</f>
        <v>8293.92</v>
      </c>
      <c r="E36" s="18"/>
    </row>
    <row r="37" spans="1:5" ht="12.75">
      <c r="A37" s="14"/>
      <c r="B37" s="395" t="s">
        <v>61</v>
      </c>
      <c r="C37" s="14"/>
      <c r="D37" s="14">
        <v>17133.33</v>
      </c>
      <c r="E37" s="14"/>
    </row>
    <row r="38" spans="1:5" ht="12.75">
      <c r="A38" s="14"/>
      <c r="B38" s="395" t="s">
        <v>29</v>
      </c>
      <c r="C38" s="14"/>
      <c r="D38" s="14">
        <f>390.44+38.95</f>
        <v>429.39</v>
      </c>
      <c r="E38" s="14"/>
    </row>
    <row r="39" spans="1:5" ht="12.75">
      <c r="A39" s="14"/>
      <c r="B39" s="395" t="s">
        <v>62</v>
      </c>
      <c r="C39" s="14"/>
      <c r="D39" s="14">
        <v>1966.55</v>
      </c>
      <c r="E39" s="14"/>
    </row>
    <row r="40" spans="1:5" ht="12.75">
      <c r="A40" s="14"/>
      <c r="B40" s="22" t="s">
        <v>22</v>
      </c>
      <c r="C40" s="14"/>
      <c r="D40" s="14">
        <v>3338.78</v>
      </c>
      <c r="E40" s="14"/>
    </row>
    <row r="41" spans="1:5" ht="12.75">
      <c r="A41" s="14">
        <v>4</v>
      </c>
      <c r="B41" s="20" t="s">
        <v>23</v>
      </c>
      <c r="C41" s="14"/>
      <c r="D41" s="19">
        <f>37162.82+5579.85</f>
        <v>42742.67</v>
      </c>
      <c r="E41" s="19"/>
    </row>
    <row r="42" spans="1:5" ht="12.75">
      <c r="A42" s="14"/>
      <c r="B42" s="20" t="s">
        <v>24</v>
      </c>
      <c r="C42" s="14"/>
      <c r="D42" s="19">
        <f>D23+E23+D29+E29+D32+E32+D41+E41</f>
        <v>266891.43825999997</v>
      </c>
      <c r="E42" s="14"/>
    </row>
    <row r="43" spans="1:5" ht="12.75">
      <c r="A43" s="14"/>
      <c r="B43" s="14" t="s">
        <v>33</v>
      </c>
      <c r="C43" s="14"/>
      <c r="D43" s="19">
        <f>D20*6%</f>
        <v>21376.5174</v>
      </c>
      <c r="E43" s="14"/>
    </row>
    <row r="44" spans="1:5" ht="12.75">
      <c r="A44" s="14">
        <v>5</v>
      </c>
      <c r="B44" s="20" t="s">
        <v>25</v>
      </c>
      <c r="C44" s="14"/>
      <c r="D44" s="19">
        <f>D42+D43</f>
        <v>288267.95566</v>
      </c>
      <c r="E44" s="14"/>
    </row>
    <row r="45" spans="1:5" ht="12.75">
      <c r="A45" s="14">
        <v>6</v>
      </c>
      <c r="B45" s="14"/>
      <c r="C45" s="14"/>
      <c r="D45" s="14"/>
      <c r="E45" s="14"/>
    </row>
    <row r="46" spans="1:5" ht="12.75">
      <c r="A46" s="14">
        <v>7</v>
      </c>
      <c r="B46" s="20" t="s">
        <v>87</v>
      </c>
      <c r="C46" s="14"/>
      <c r="D46" s="19">
        <f>D20-D44</f>
        <v>68007.33434000006</v>
      </c>
      <c r="E46" s="14"/>
    </row>
    <row r="47" spans="1:5" ht="12.75">
      <c r="A47" s="14"/>
      <c r="B47" s="20" t="s">
        <v>47</v>
      </c>
      <c r="C47" s="14"/>
      <c r="D47" s="19">
        <f>D11+D46</f>
        <v>251606.75434000007</v>
      </c>
      <c r="E47" s="14"/>
    </row>
    <row r="48" spans="1:5" ht="12.75">
      <c r="A48" s="14">
        <v>8</v>
      </c>
      <c r="B48" s="426"/>
      <c r="C48" s="3"/>
      <c r="D48" s="429"/>
      <c r="E48" s="3"/>
    </row>
    <row r="49" spans="1:5" ht="12.75">
      <c r="A49" s="14">
        <v>9</v>
      </c>
      <c r="B49" s="426"/>
      <c r="C49" s="3"/>
      <c r="D49" s="429"/>
      <c r="E49" s="3"/>
    </row>
    <row r="50" spans="1:5" ht="12.75">
      <c r="A50" s="3"/>
      <c r="B50" s="1" t="s">
        <v>31</v>
      </c>
      <c r="C50" s="1"/>
      <c r="D50" s="1" t="s">
        <v>0</v>
      </c>
      <c r="E50" s="1"/>
    </row>
    <row r="51" spans="1:5" ht="12.75">
      <c r="A51" s="3"/>
      <c r="B51" s="1" t="s">
        <v>32</v>
      </c>
      <c r="C51" s="1"/>
      <c r="D51" s="1" t="s">
        <v>27</v>
      </c>
      <c r="E51" s="1"/>
    </row>
    <row r="52" ht="12.75">
      <c r="A52" s="1"/>
    </row>
    <row r="53" ht="12.75">
      <c r="A53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28">
      <selection activeCell="F35" sqref="F35"/>
    </sheetView>
  </sheetViews>
  <sheetFormatPr defaultColWidth="9.00390625" defaultRowHeight="12.75"/>
  <cols>
    <col min="1" max="1" width="5.625" style="0" customWidth="1"/>
    <col min="2" max="2" width="42.25390625" style="0" customWidth="1"/>
    <col min="3" max="3" width="6.375" style="0" customWidth="1"/>
    <col min="4" max="4" width="11.375" style="0" customWidth="1"/>
    <col min="5" max="5" width="11.625" style="0" customWidth="1"/>
    <col min="7" max="7" width="3.75390625" style="0" customWidth="1"/>
    <col min="8" max="8" width="40.125" style="0" customWidth="1"/>
    <col min="10" max="10" width="10.875" style="0" customWidth="1"/>
    <col min="13" max="13" width="5.75390625" style="0" customWidth="1"/>
    <col min="14" max="14" width="44.25390625" style="0" customWidth="1"/>
    <col min="16" max="16" width="10.375" style="0" customWidth="1"/>
    <col min="19" max="19" width="4.875" style="0" customWidth="1"/>
    <col min="20" max="20" width="41.25390625" style="0" customWidth="1"/>
    <col min="22" max="22" width="12.00390625" style="0" customWidth="1"/>
    <col min="23" max="23" width="11.375" style="0" customWidth="1"/>
  </cols>
  <sheetData>
    <row r="1" spans="1:5" ht="15.75">
      <c r="A1" s="57"/>
      <c r="B1" s="58" t="s">
        <v>26</v>
      </c>
      <c r="C1" s="57"/>
      <c r="D1" s="57"/>
      <c r="E1" s="57"/>
    </row>
    <row r="2" spans="1:5" ht="12.75">
      <c r="A2" s="57"/>
      <c r="B2" s="57"/>
      <c r="C2" s="57"/>
      <c r="D2" s="57"/>
      <c r="E2" s="57"/>
    </row>
    <row r="3" spans="1:5" ht="12.75">
      <c r="A3" s="57"/>
      <c r="B3" s="57" t="s">
        <v>30</v>
      </c>
      <c r="C3" s="57"/>
      <c r="D3" s="57"/>
      <c r="E3" s="57"/>
    </row>
    <row r="4" spans="1:5" ht="12.75">
      <c r="A4" s="57"/>
      <c r="B4" s="450" t="s">
        <v>114</v>
      </c>
      <c r="C4" s="57"/>
      <c r="D4" s="57"/>
      <c r="E4" s="57"/>
    </row>
    <row r="5" spans="1:5" ht="12.75">
      <c r="A5" s="57"/>
      <c r="B5" s="57" t="s">
        <v>43</v>
      </c>
      <c r="C5" s="57"/>
      <c r="D5" s="57"/>
      <c r="E5" s="57"/>
    </row>
    <row r="6" spans="1:5" ht="12.75">
      <c r="A6" s="493"/>
      <c r="B6" s="493"/>
      <c r="C6" s="493"/>
      <c r="D6" s="59"/>
      <c r="E6" s="60"/>
    </row>
    <row r="7" spans="1:5" ht="12.75">
      <c r="A7" s="61"/>
      <c r="B7" s="61"/>
      <c r="C7" s="61"/>
      <c r="D7" s="62"/>
      <c r="E7" s="63"/>
    </row>
    <row r="8" spans="1:5" ht="15.75">
      <c r="A8" s="61"/>
      <c r="B8" s="64" t="s">
        <v>1</v>
      </c>
      <c r="C8" s="65" t="s">
        <v>3</v>
      </c>
      <c r="D8" s="494" t="s">
        <v>4</v>
      </c>
      <c r="E8" s="495"/>
    </row>
    <row r="9" spans="1:5" ht="15.75">
      <c r="A9" s="66"/>
      <c r="B9" s="64" t="s">
        <v>2</v>
      </c>
      <c r="C9" s="65" t="s">
        <v>35</v>
      </c>
      <c r="D9" s="496" t="s">
        <v>115</v>
      </c>
      <c r="E9" s="497"/>
    </row>
    <row r="10" spans="1:5" ht="12.75">
      <c r="A10" s="67"/>
      <c r="B10" s="67"/>
      <c r="C10" s="67"/>
      <c r="D10" s="68"/>
      <c r="E10" s="69"/>
    </row>
    <row r="11" spans="1:5" ht="12.75">
      <c r="A11" s="67"/>
      <c r="B11" s="408" t="s">
        <v>83</v>
      </c>
      <c r="C11" s="67"/>
      <c r="D11" s="68">
        <v>78235.53</v>
      </c>
      <c r="E11" s="69"/>
    </row>
    <row r="12" spans="1:5" ht="12.75">
      <c r="A12" s="70"/>
      <c r="B12" s="71" t="s">
        <v>5</v>
      </c>
      <c r="C12" s="70" t="s">
        <v>36</v>
      </c>
      <c r="D12" s="70">
        <v>4726.8</v>
      </c>
      <c r="E12" s="70"/>
    </row>
    <row r="13" spans="1:5" ht="12.75">
      <c r="A13" s="70"/>
      <c r="B13" s="71" t="s">
        <v>6</v>
      </c>
      <c r="C13" s="70" t="s">
        <v>36</v>
      </c>
      <c r="D13" s="70">
        <v>4499.26</v>
      </c>
      <c r="E13" s="70"/>
    </row>
    <row r="14" spans="1:5" ht="12.75">
      <c r="A14" s="70"/>
      <c r="B14" s="72" t="s">
        <v>28</v>
      </c>
      <c r="C14" s="70" t="s">
        <v>9</v>
      </c>
      <c r="D14" s="70">
        <v>169577.65</v>
      </c>
      <c r="E14" s="70"/>
    </row>
    <row r="15" spans="1:5" ht="12.75">
      <c r="A15" s="70"/>
      <c r="B15" s="70"/>
      <c r="C15" s="70"/>
      <c r="D15" s="70"/>
      <c r="E15" s="70"/>
    </row>
    <row r="16" spans="1:5" ht="15.75">
      <c r="A16" s="70"/>
      <c r="B16" s="73" t="s">
        <v>7</v>
      </c>
      <c r="C16" s="70"/>
      <c r="D16" s="70"/>
      <c r="E16" s="70"/>
    </row>
    <row r="17" spans="1:5" ht="12.75">
      <c r="A17" s="70">
        <v>1</v>
      </c>
      <c r="B17" s="70" t="s">
        <v>8</v>
      </c>
      <c r="C17" s="70" t="s">
        <v>9</v>
      </c>
      <c r="D17" s="70">
        <v>161888.86</v>
      </c>
      <c r="E17" s="70"/>
    </row>
    <row r="18" spans="1:5" ht="12.75">
      <c r="A18" s="70">
        <v>2</v>
      </c>
      <c r="B18" s="70" t="s">
        <v>104</v>
      </c>
      <c r="C18" s="70"/>
      <c r="D18" s="70">
        <f>3000+1200</f>
        <v>4200</v>
      </c>
      <c r="E18" s="70"/>
    </row>
    <row r="19" spans="1:5" ht="15.75">
      <c r="A19" s="70"/>
      <c r="B19" s="73" t="s">
        <v>10</v>
      </c>
      <c r="C19" s="70"/>
      <c r="D19" s="74">
        <f>D17+D18</f>
        <v>166088.86</v>
      </c>
      <c r="E19" s="70"/>
    </row>
    <row r="20" spans="1:5" ht="15.75">
      <c r="A20" s="70"/>
      <c r="B20" s="73"/>
      <c r="C20" s="70"/>
      <c r="D20" s="74"/>
      <c r="E20" s="70"/>
    </row>
    <row r="21" spans="1:5" ht="15.75">
      <c r="A21" s="14"/>
      <c r="B21" s="17" t="s">
        <v>66</v>
      </c>
      <c r="C21" s="14"/>
      <c r="D21" s="20"/>
      <c r="E21" s="22" t="s">
        <v>15</v>
      </c>
    </row>
    <row r="22" spans="1:5" ht="12.75">
      <c r="A22" s="401" t="s">
        <v>67</v>
      </c>
      <c r="B22" s="16" t="s">
        <v>68</v>
      </c>
      <c r="C22" s="14"/>
      <c r="D22" s="20">
        <f>D23+D27</f>
        <v>22611.250000000004</v>
      </c>
      <c r="E22" s="19">
        <f>E23</f>
        <v>4244.00788</v>
      </c>
    </row>
    <row r="23" spans="1:5" ht="12.75">
      <c r="A23" s="14">
        <v>1</v>
      </c>
      <c r="B23" s="20" t="s">
        <v>11</v>
      </c>
      <c r="C23" s="395" t="s">
        <v>9</v>
      </c>
      <c r="D23" s="20">
        <f>D24+D26</f>
        <v>21009.940000000002</v>
      </c>
      <c r="E23" s="19">
        <f>E24+E25+E26</f>
        <v>4244.00788</v>
      </c>
    </row>
    <row r="24" spans="1:5" ht="12.75">
      <c r="A24" s="14"/>
      <c r="B24" s="14" t="s">
        <v>12</v>
      </c>
      <c r="C24" s="14"/>
      <c r="D24" s="14">
        <v>17839.52</v>
      </c>
      <c r="E24" s="18">
        <f>D24*20.2%</f>
        <v>3603.58304</v>
      </c>
    </row>
    <row r="25" spans="1:5" ht="12.75">
      <c r="A25" s="14"/>
      <c r="B25" s="14" t="s">
        <v>13</v>
      </c>
      <c r="C25" s="14"/>
      <c r="D25" s="396"/>
      <c r="E25" s="18">
        <f>D25*20.2%</f>
        <v>0</v>
      </c>
    </row>
    <row r="26" spans="1:5" ht="12.75">
      <c r="A26" s="14"/>
      <c r="B26" s="22" t="s">
        <v>112</v>
      </c>
      <c r="C26" s="14"/>
      <c r="D26" s="14">
        <v>3170.42</v>
      </c>
      <c r="E26" s="18">
        <f>D26*20.2%</f>
        <v>640.42484</v>
      </c>
    </row>
    <row r="27" spans="1:5" ht="12.75">
      <c r="A27" s="14">
        <v>2</v>
      </c>
      <c r="B27" s="395" t="s">
        <v>16</v>
      </c>
      <c r="C27" s="14"/>
      <c r="D27" s="14">
        <v>1601.31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D29+D30+D31</f>
        <v>52570.34999999999</v>
      </c>
      <c r="E28" s="19">
        <f>E29</f>
        <v>8381.085039999998</v>
      </c>
    </row>
    <row r="29" spans="1:5" ht="12.75">
      <c r="A29" s="14">
        <v>1</v>
      </c>
      <c r="B29" s="22" t="s">
        <v>70</v>
      </c>
      <c r="C29" s="14"/>
      <c r="D29" s="22">
        <v>41490.52</v>
      </c>
      <c r="E29" s="21">
        <f>D29*20.2%</f>
        <v>8381.085039999998</v>
      </c>
    </row>
    <row r="30" spans="1:5" ht="12.75">
      <c r="A30" s="14">
        <v>2</v>
      </c>
      <c r="B30" s="22" t="s">
        <v>16</v>
      </c>
      <c r="C30" s="14"/>
      <c r="D30" s="22">
        <v>3363.63</v>
      </c>
      <c r="E30" s="14"/>
    </row>
    <row r="31" spans="1:5" ht="12.75">
      <c r="A31" s="14">
        <v>3</v>
      </c>
      <c r="B31" s="22" t="s">
        <v>107</v>
      </c>
      <c r="C31" s="14"/>
      <c r="D31" s="22">
        <v>7716.2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D33+D34+D35+D36+D37+D38+D39+D40+D41</f>
        <v>43023.76299999999</v>
      </c>
      <c r="E32" s="19"/>
    </row>
    <row r="33" spans="1:5" ht="12.75">
      <c r="A33" s="14"/>
      <c r="B33" s="14" t="s">
        <v>18</v>
      </c>
      <c r="C33" s="14"/>
      <c r="D33" s="18">
        <f>D19*5%</f>
        <v>8304.443</v>
      </c>
      <c r="E33" s="14"/>
    </row>
    <row r="34" spans="1:5" ht="12.75">
      <c r="A34" s="14"/>
      <c r="B34" s="14" t="s">
        <v>19</v>
      </c>
      <c r="C34" s="14"/>
      <c r="D34" s="14">
        <v>1181.67</v>
      </c>
      <c r="E34" s="14"/>
    </row>
    <row r="35" spans="1:5" ht="12.75">
      <c r="A35" s="14"/>
      <c r="B35" s="395" t="s">
        <v>20</v>
      </c>
      <c r="C35" s="14"/>
      <c r="D35" s="14">
        <v>2888</v>
      </c>
      <c r="E35" s="14"/>
    </row>
    <row r="36" spans="1:5" ht="12.75">
      <c r="A36" s="14"/>
      <c r="B36" s="14" t="s">
        <v>21</v>
      </c>
      <c r="C36" s="14"/>
      <c r="D36" s="18">
        <f>6224.38+1257.32</f>
        <v>7481.7</v>
      </c>
      <c r="E36" s="18"/>
    </row>
    <row r="37" spans="1:5" ht="12.75">
      <c r="A37" s="14"/>
      <c r="B37" s="22" t="s">
        <v>116</v>
      </c>
      <c r="C37" s="14"/>
      <c r="D37" s="14">
        <v>5748</v>
      </c>
      <c r="E37" s="14"/>
    </row>
    <row r="38" spans="1:5" ht="12.75">
      <c r="A38" s="14"/>
      <c r="B38" s="22" t="s">
        <v>113</v>
      </c>
      <c r="C38" s="14"/>
      <c r="D38" s="14">
        <v>12400</v>
      </c>
      <c r="E38" s="14"/>
    </row>
    <row r="39" spans="1:5" ht="12.75">
      <c r="A39" s="14"/>
      <c r="B39" s="22" t="s">
        <v>29</v>
      </c>
      <c r="C39" s="14"/>
      <c r="D39" s="14">
        <f>195.22+38.95</f>
        <v>234.17000000000002</v>
      </c>
      <c r="E39" s="14"/>
    </row>
    <row r="40" spans="1:5" ht="12.75">
      <c r="A40" s="14"/>
      <c r="B40" s="395" t="s">
        <v>62</v>
      </c>
      <c r="C40" s="14"/>
      <c r="D40" s="18">
        <v>1773.97</v>
      </c>
      <c r="E40" s="14"/>
    </row>
    <row r="41" spans="1:5" ht="12.75">
      <c r="A41" s="14"/>
      <c r="B41" s="14" t="s">
        <v>22</v>
      </c>
      <c r="C41" s="14"/>
      <c r="D41" s="14">
        <v>3011.81</v>
      </c>
      <c r="E41" s="14"/>
    </row>
    <row r="42" spans="1:5" ht="12.75">
      <c r="A42" s="14">
        <v>4</v>
      </c>
      <c r="B42" s="20" t="s">
        <v>199</v>
      </c>
      <c r="C42" s="14"/>
      <c r="D42" s="19">
        <f>33523.45+5033.42</f>
        <v>38556.869999999995</v>
      </c>
      <c r="E42" s="19"/>
    </row>
    <row r="43" spans="1:5" ht="12.75">
      <c r="A43" s="14">
        <v>5</v>
      </c>
      <c r="B43" s="20" t="s">
        <v>24</v>
      </c>
      <c r="C43" s="14"/>
      <c r="D43" s="19">
        <f>D22+E22+D28+E28+D32+E32+D42+E42</f>
        <v>169387.32591999997</v>
      </c>
      <c r="E43" s="14"/>
    </row>
    <row r="44" spans="1:5" ht="12.75">
      <c r="A44" s="14">
        <v>6</v>
      </c>
      <c r="B44" s="14" t="s">
        <v>33</v>
      </c>
      <c r="C44" s="14"/>
      <c r="D44" s="19">
        <f>D19*6%</f>
        <v>9965.3316</v>
      </c>
      <c r="E44" s="14"/>
    </row>
    <row r="45" spans="1:5" ht="12.75">
      <c r="A45" s="14">
        <v>7</v>
      </c>
      <c r="B45" s="20" t="s">
        <v>25</v>
      </c>
      <c r="C45" s="14"/>
      <c r="D45" s="19">
        <f>D43+D44</f>
        <v>179352.65751999998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>
        <v>8</v>
      </c>
      <c r="B47" s="20" t="s">
        <v>87</v>
      </c>
      <c r="C47" s="14"/>
      <c r="D47" s="19">
        <f>D19-D45</f>
        <v>-13263.797519999993</v>
      </c>
      <c r="E47" s="14"/>
    </row>
    <row r="48" spans="1:5" ht="12.75">
      <c r="A48" s="14">
        <v>9</v>
      </c>
      <c r="B48" s="20" t="s">
        <v>47</v>
      </c>
      <c r="C48" s="14"/>
      <c r="D48" s="19">
        <f>D11+D47</f>
        <v>64971.732480000006</v>
      </c>
      <c r="E48" s="14"/>
    </row>
    <row r="49" spans="1:5" ht="12.75">
      <c r="A49" s="3"/>
      <c r="B49" s="426"/>
      <c r="C49" s="3"/>
      <c r="D49" s="429"/>
      <c r="E49" s="3"/>
    </row>
    <row r="50" spans="1:5" ht="12.75">
      <c r="A50" s="3"/>
      <c r="B50" s="426"/>
      <c r="C50" s="3"/>
      <c r="D50" s="429"/>
      <c r="E50" s="3"/>
    </row>
    <row r="51" spans="1:5" ht="12.75">
      <c r="A51" s="1"/>
      <c r="B51" s="1" t="s">
        <v>31</v>
      </c>
      <c r="C51" s="1"/>
      <c r="D51" s="1" t="s">
        <v>0</v>
      </c>
      <c r="E51" s="1"/>
    </row>
    <row r="52" spans="1:5" ht="12.75">
      <c r="A52" s="57"/>
      <c r="B52" s="57" t="s">
        <v>32</v>
      </c>
      <c r="C52" s="57"/>
      <c r="D52" s="57" t="s">
        <v>27</v>
      </c>
      <c r="E52" s="57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6.00390625" style="0" customWidth="1"/>
    <col min="2" max="2" width="41.75390625" style="0" customWidth="1"/>
    <col min="3" max="3" width="7.75390625" style="0" customWidth="1"/>
    <col min="4" max="4" width="11.875" style="0" customWidth="1"/>
    <col min="5" max="5" width="11.25390625" style="0" customWidth="1"/>
    <col min="7" max="7" width="5.625" style="0" customWidth="1"/>
    <col min="8" max="8" width="40.875" style="0" customWidth="1"/>
    <col min="15" max="15" width="37.125" style="0" customWidth="1"/>
    <col min="21" max="21" width="45.875" style="0" customWidth="1"/>
    <col min="23" max="23" width="10.375" style="0" customWidth="1"/>
  </cols>
  <sheetData>
    <row r="1" ht="15.75">
      <c r="B1" s="356" t="s">
        <v>26</v>
      </c>
    </row>
    <row r="2" ht="15.75">
      <c r="B2" s="356"/>
    </row>
    <row r="3" ht="12.75">
      <c r="B3" t="s">
        <v>30</v>
      </c>
    </row>
    <row r="4" ht="12.75">
      <c r="B4" t="s">
        <v>186</v>
      </c>
    </row>
    <row r="5" spans="1:4" ht="12.75">
      <c r="A5" s="375"/>
      <c r="B5" s="375"/>
      <c r="C5" s="375"/>
      <c r="D5" s="375"/>
    </row>
    <row r="6" spans="1:5" ht="15.75">
      <c r="A6" s="378"/>
      <c r="B6" s="466" t="s">
        <v>1</v>
      </c>
      <c r="C6" s="467" t="s">
        <v>3</v>
      </c>
      <c r="D6" s="582" t="s">
        <v>4</v>
      </c>
      <c r="E6" s="583"/>
    </row>
    <row r="7" spans="1:5" ht="15.75">
      <c r="A7" s="364"/>
      <c r="B7" s="362" t="s">
        <v>2</v>
      </c>
      <c r="C7" s="363" t="s">
        <v>35</v>
      </c>
      <c r="D7" s="579" t="s">
        <v>124</v>
      </c>
      <c r="E7" s="580"/>
    </row>
    <row r="8" spans="1:5" ht="12.75">
      <c r="A8" s="368"/>
      <c r="B8" s="337" t="s">
        <v>98</v>
      </c>
      <c r="C8" s="368"/>
      <c r="D8" s="382">
        <v>-262551.5</v>
      </c>
      <c r="E8" s="377"/>
    </row>
    <row r="9" spans="1:5" ht="12.75">
      <c r="A9" s="365"/>
      <c r="B9" s="422" t="s">
        <v>127</v>
      </c>
      <c r="C9" s="365"/>
      <c r="D9" s="366">
        <v>10534.12</v>
      </c>
      <c r="E9" s="367"/>
    </row>
    <row r="10" spans="1:5" ht="12.75">
      <c r="A10" s="368"/>
      <c r="B10" s="369" t="s">
        <v>5</v>
      </c>
      <c r="C10" s="368" t="s">
        <v>36</v>
      </c>
      <c r="D10" s="368">
        <v>6018.32</v>
      </c>
      <c r="E10" s="368"/>
    </row>
    <row r="11" spans="1:5" ht="12.75">
      <c r="A11" s="368"/>
      <c r="B11" s="369" t="s">
        <v>6</v>
      </c>
      <c r="C11" s="368" t="s">
        <v>36</v>
      </c>
      <c r="D11" s="368">
        <v>4518.3</v>
      </c>
      <c r="E11" s="368"/>
    </row>
    <row r="12" spans="1:5" ht="12.75">
      <c r="A12" s="368"/>
      <c r="B12" s="370" t="s">
        <v>28</v>
      </c>
      <c r="C12" s="368" t="s">
        <v>9</v>
      </c>
      <c r="D12" s="371">
        <v>268924.5</v>
      </c>
      <c r="E12" s="368"/>
    </row>
    <row r="13" spans="1:5" ht="12.75">
      <c r="A13" s="368"/>
      <c r="B13" s="368"/>
      <c r="C13" s="368"/>
      <c r="D13" s="368"/>
      <c r="E13" s="368"/>
    </row>
    <row r="14" spans="1:5" ht="15.75">
      <c r="A14" s="368"/>
      <c r="B14" s="372" t="s">
        <v>7</v>
      </c>
      <c r="C14" s="368"/>
      <c r="D14" s="368"/>
      <c r="E14" s="368"/>
    </row>
    <row r="15" spans="1:5" ht="12.75">
      <c r="A15" s="368">
        <v>1</v>
      </c>
      <c r="B15" s="368" t="s">
        <v>8</v>
      </c>
      <c r="C15" s="368" t="s">
        <v>9</v>
      </c>
      <c r="D15" s="368">
        <v>183991.85</v>
      </c>
      <c r="E15" s="368"/>
    </row>
    <row r="16" spans="1:5" ht="12.75">
      <c r="A16" s="368">
        <v>2</v>
      </c>
      <c r="B16" s="447" t="s">
        <v>88</v>
      </c>
      <c r="C16" s="368"/>
      <c r="D16" s="368">
        <v>76111.4</v>
      </c>
      <c r="E16" s="368"/>
    </row>
    <row r="17" spans="1:5" ht="12.75">
      <c r="A17" s="368">
        <v>3</v>
      </c>
      <c r="B17" s="22" t="s">
        <v>104</v>
      </c>
      <c r="C17" s="368"/>
      <c r="D17" s="368">
        <v>3000</v>
      </c>
      <c r="E17" s="368"/>
    </row>
    <row r="18" spans="1:5" ht="15.75">
      <c r="A18" s="368"/>
      <c r="B18" s="372" t="s">
        <v>10</v>
      </c>
      <c r="C18" s="368"/>
      <c r="D18" s="371">
        <f>D15+D16+D17</f>
        <v>263103.25</v>
      </c>
      <c r="E18" s="368"/>
    </row>
    <row r="19" spans="1:5" ht="15.75">
      <c r="A19" s="368"/>
      <c r="B19" s="372"/>
      <c r="C19" s="368"/>
      <c r="D19" s="371"/>
      <c r="E19" s="368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19">
        <f>D22+D27</f>
        <v>85166.31</v>
      </c>
      <c r="E21" s="19">
        <f>E22</f>
        <v>16878.76044</v>
      </c>
    </row>
    <row r="22" spans="1:5" ht="12.75">
      <c r="A22" s="14">
        <v>1</v>
      </c>
      <c r="B22" s="20" t="s">
        <v>11</v>
      </c>
      <c r="C22" s="395" t="s">
        <v>9</v>
      </c>
      <c r="D22" s="19">
        <f>D23+D24+D25+D26</f>
        <v>83558.22</v>
      </c>
      <c r="E22" s="19">
        <f>E23+E24+E25+E26</f>
        <v>16878.76044</v>
      </c>
    </row>
    <row r="23" spans="1:5" ht="12.75">
      <c r="A23" s="14"/>
      <c r="B23" s="14" t="s">
        <v>12</v>
      </c>
      <c r="C23" s="14"/>
      <c r="D23" s="14">
        <v>25476.69</v>
      </c>
      <c r="E23" s="18">
        <f>D23*20.2%</f>
        <v>5146.29138</v>
      </c>
    </row>
    <row r="24" spans="1:5" ht="12.75">
      <c r="A24" s="14"/>
      <c r="B24" s="14" t="s">
        <v>13</v>
      </c>
      <c r="C24" s="14"/>
      <c r="D24" s="396">
        <v>26742.07</v>
      </c>
      <c r="E24" s="18">
        <f>D24*20.2%</f>
        <v>5401.898139999999</v>
      </c>
    </row>
    <row r="25" spans="1:5" ht="12.75">
      <c r="A25" s="14"/>
      <c r="B25" s="14" t="s">
        <v>14</v>
      </c>
      <c r="C25" s="14"/>
      <c r="D25" s="14">
        <v>29245.16</v>
      </c>
      <c r="E25" s="18">
        <f>D25*20.2%</f>
        <v>5907.522319999999</v>
      </c>
    </row>
    <row r="26" spans="1:5" ht="12.75">
      <c r="A26" s="14"/>
      <c r="B26" s="14" t="s">
        <v>155</v>
      </c>
      <c r="C26" s="14"/>
      <c r="D26" s="14">
        <v>2094.3</v>
      </c>
      <c r="E26" s="18">
        <f>D26*20.2%</f>
        <v>423.0486</v>
      </c>
    </row>
    <row r="27" spans="1:5" ht="12.75">
      <c r="A27" s="14">
        <v>2</v>
      </c>
      <c r="B27" s="395" t="s">
        <v>16</v>
      </c>
      <c r="C27" s="14"/>
      <c r="D27" s="14">
        <v>1608.09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46117.27</v>
      </c>
      <c r="E28" s="19">
        <f>E29</f>
        <v>8416.552199999998</v>
      </c>
    </row>
    <row r="29" spans="1:5" ht="12.75">
      <c r="A29" s="14">
        <v>1</v>
      </c>
      <c r="B29" s="22" t="s">
        <v>203</v>
      </c>
      <c r="C29" s="14"/>
      <c r="D29" s="22">
        <v>41666.1</v>
      </c>
      <c r="E29" s="18">
        <f>D29*20.2%</f>
        <v>8416.552199999998</v>
      </c>
    </row>
    <row r="30" spans="1:5" ht="12.75">
      <c r="A30" s="14">
        <v>2</v>
      </c>
      <c r="B30" s="22" t="s">
        <v>16</v>
      </c>
      <c r="C30" s="14"/>
      <c r="D30" s="22">
        <v>4451.17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D32+D33+D34+D35+D36+D37+D38+D39+D40</f>
        <v>37583.2225</v>
      </c>
      <c r="E31" s="19"/>
    </row>
    <row r="32" spans="1:5" ht="12.75">
      <c r="A32" s="14"/>
      <c r="B32" s="14" t="s">
        <v>18</v>
      </c>
      <c r="C32" s="14"/>
      <c r="D32" s="18">
        <f>D18*5%</f>
        <v>13155.1625</v>
      </c>
      <c r="E32" s="14"/>
    </row>
    <row r="33" spans="1:5" ht="12.75">
      <c r="A33" s="14"/>
      <c r="B33" s="14" t="s">
        <v>19</v>
      </c>
      <c r="C33" s="14"/>
      <c r="D33" s="14">
        <v>710.83</v>
      </c>
      <c r="E33" s="14"/>
    </row>
    <row r="34" spans="1:5" ht="12.75">
      <c r="A34" s="14"/>
      <c r="B34" s="14" t="s">
        <v>20</v>
      </c>
      <c r="C34" s="14"/>
      <c r="D34" s="14">
        <v>4620.8</v>
      </c>
      <c r="E34" s="14"/>
    </row>
    <row r="35" spans="1:5" ht="12.75">
      <c r="A35" s="14"/>
      <c r="B35" s="22" t="s">
        <v>119</v>
      </c>
      <c r="C35" s="14"/>
      <c r="D35" s="14">
        <v>1315</v>
      </c>
      <c r="E35" s="14"/>
    </row>
    <row r="36" spans="1:5" ht="12.75">
      <c r="A36" s="14"/>
      <c r="B36" s="395" t="s">
        <v>29</v>
      </c>
      <c r="C36" s="14"/>
      <c r="D36" s="14">
        <f>976.1+38.95</f>
        <v>1015.0500000000001</v>
      </c>
      <c r="E36" s="14"/>
    </row>
    <row r="37" spans="1:5" ht="12.75">
      <c r="A37" s="14"/>
      <c r="B37" s="14" t="s">
        <v>21</v>
      </c>
      <c r="C37" s="14"/>
      <c r="D37" s="18">
        <f>6250.72+1262.65</f>
        <v>7513.370000000001</v>
      </c>
      <c r="E37" s="18"/>
    </row>
    <row r="38" spans="1:5" ht="12.75">
      <c r="A38" s="14"/>
      <c r="B38" s="395" t="s">
        <v>61</v>
      </c>
      <c r="C38" s="14"/>
      <c r="D38" s="14">
        <v>4446.97</v>
      </c>
      <c r="E38" s="14"/>
    </row>
    <row r="39" spans="1:5" ht="12.75">
      <c r="A39" s="14"/>
      <c r="B39" s="395" t="s">
        <v>62</v>
      </c>
      <c r="C39" s="14"/>
      <c r="D39" s="14">
        <v>1781.48</v>
      </c>
      <c r="E39" s="14"/>
    </row>
    <row r="40" spans="1:5" ht="12.75">
      <c r="A40" s="14"/>
      <c r="B40" s="14" t="s">
        <v>22</v>
      </c>
      <c r="C40" s="14"/>
      <c r="D40" s="14">
        <v>3024.56</v>
      </c>
      <c r="E40" s="14"/>
    </row>
    <row r="41" spans="1:5" ht="12.75">
      <c r="A41" s="14">
        <v>4</v>
      </c>
      <c r="B41" s="20" t="s">
        <v>199</v>
      </c>
      <c r="C41" s="14"/>
      <c r="D41" s="19">
        <f>33665.39+5054.72</f>
        <v>38720.11</v>
      </c>
      <c r="E41" s="19"/>
    </row>
    <row r="42" spans="1:5" ht="12.75">
      <c r="A42" s="14">
        <v>5</v>
      </c>
      <c r="B42" s="20" t="s">
        <v>24</v>
      </c>
      <c r="C42" s="14"/>
      <c r="D42" s="19">
        <f>D21+E21+D28+E28+D31+E31+D41+E41</f>
        <v>232882.22514</v>
      </c>
      <c r="E42" s="14"/>
    </row>
    <row r="43" spans="1:5" ht="12.75">
      <c r="A43" s="14">
        <v>6</v>
      </c>
      <c r="B43" s="14" t="s">
        <v>33</v>
      </c>
      <c r="C43" s="14"/>
      <c r="D43" s="19">
        <f>D18*6%</f>
        <v>15786.195</v>
      </c>
      <c r="E43" s="14"/>
    </row>
    <row r="44" spans="1:5" ht="12.75">
      <c r="A44" s="14">
        <v>7</v>
      </c>
      <c r="B44" s="20" t="s">
        <v>25</v>
      </c>
      <c r="C44" s="14"/>
      <c r="D44" s="19">
        <f>D42+D43</f>
        <v>248668.42014</v>
      </c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>
        <v>8</v>
      </c>
      <c r="B46" s="20" t="s">
        <v>87</v>
      </c>
      <c r="C46" s="14"/>
      <c r="D46" s="19">
        <f>(D15+D17)-D44</f>
        <v>-61676.570139999996</v>
      </c>
      <c r="E46" s="14"/>
    </row>
    <row r="47" spans="1:5" ht="12.75">
      <c r="A47" s="14">
        <v>9</v>
      </c>
      <c r="B47" s="20" t="s">
        <v>47</v>
      </c>
      <c r="C47" s="14"/>
      <c r="D47" s="19">
        <f>D8+D46</f>
        <v>-324228.07013999997</v>
      </c>
      <c r="E47" s="14"/>
    </row>
    <row r="48" spans="1:5" ht="12.75">
      <c r="A48" s="3"/>
      <c r="B48" s="426"/>
      <c r="C48" s="3"/>
      <c r="D48" s="429"/>
      <c r="E48" s="3"/>
    </row>
    <row r="49" spans="1:5" ht="12.75">
      <c r="A49" s="3"/>
      <c r="B49" s="426" t="s">
        <v>88</v>
      </c>
      <c r="C49" s="3"/>
      <c r="D49" s="429">
        <f>D9+D16</f>
        <v>86645.51999999999</v>
      </c>
      <c r="E49" s="3"/>
    </row>
    <row r="50" spans="1:5" ht="12.75">
      <c r="A50" s="3"/>
      <c r="B50" s="426"/>
      <c r="C50" s="3"/>
      <c r="D50" s="429"/>
      <c r="E50" s="3"/>
    </row>
    <row r="51" spans="1:5" ht="12.75">
      <c r="A51" s="3"/>
      <c r="B51" s="426"/>
      <c r="C51" s="3"/>
      <c r="D51" s="429"/>
      <c r="E51" s="3"/>
    </row>
    <row r="52" spans="1:5" ht="12.75">
      <c r="A52" s="1"/>
      <c r="B52" s="1" t="s">
        <v>31</v>
      </c>
      <c r="C52" s="1"/>
      <c r="D52" s="1" t="s">
        <v>0</v>
      </c>
      <c r="E52" s="1"/>
    </row>
    <row r="53" spans="1:5" ht="12.75">
      <c r="A53" s="1"/>
      <c r="B53" s="1" t="s">
        <v>32</v>
      </c>
      <c r="C53" s="1"/>
      <c r="D53" s="1" t="s">
        <v>27</v>
      </c>
      <c r="E53" s="1"/>
    </row>
  </sheetData>
  <sheetProtection/>
  <mergeCells count="2">
    <mergeCell ref="D6:E6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zoomScalePageLayoutView="0" workbookViewId="0" topLeftCell="A26">
      <selection activeCell="B30" sqref="B30"/>
    </sheetView>
  </sheetViews>
  <sheetFormatPr defaultColWidth="9.00390625" defaultRowHeight="12.75"/>
  <cols>
    <col min="1" max="1" width="8.125" style="0" customWidth="1"/>
    <col min="2" max="2" width="41.375" style="0" customWidth="1"/>
    <col min="4" max="4" width="13.00390625" style="0" customWidth="1"/>
    <col min="5" max="5" width="12.125" style="0" customWidth="1"/>
    <col min="7" max="7" width="3.75390625" style="0" customWidth="1"/>
    <col min="8" max="8" width="39.875" style="0" customWidth="1"/>
    <col min="10" max="10" width="10.75390625" style="0" customWidth="1"/>
    <col min="15" max="15" width="38.875" style="0" customWidth="1"/>
    <col min="17" max="17" width="11.00390625" style="0" customWidth="1"/>
    <col min="21" max="21" width="43.625" style="0" customWidth="1"/>
    <col min="23" max="23" width="11.125" style="0" customWidth="1"/>
    <col min="24" max="24" width="10.1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187</v>
      </c>
    </row>
    <row r="5" ht="12.75">
      <c r="B5" t="s">
        <v>45</v>
      </c>
    </row>
    <row r="6" spans="1:5" ht="12.75">
      <c r="A6" s="378"/>
      <c r="B6" s="378"/>
      <c r="C6" s="378"/>
      <c r="D6" s="360"/>
      <c r="E6" s="379"/>
    </row>
    <row r="7" spans="1:5" ht="15.75">
      <c r="A7" s="359"/>
      <c r="B7" s="362" t="s">
        <v>1</v>
      </c>
      <c r="C7" s="363" t="s">
        <v>3</v>
      </c>
      <c r="D7" s="577" t="s">
        <v>4</v>
      </c>
      <c r="E7" s="578"/>
    </row>
    <row r="8" spans="1:5" ht="15.75">
      <c r="A8" s="364"/>
      <c r="B8" s="362" t="s">
        <v>2</v>
      </c>
      <c r="C8" s="363" t="s">
        <v>35</v>
      </c>
      <c r="D8" s="579" t="s">
        <v>157</v>
      </c>
      <c r="E8" s="580"/>
    </row>
    <row r="9" spans="1:5" ht="15.75">
      <c r="A9" s="364"/>
      <c r="B9" s="362"/>
      <c r="C9" s="363"/>
      <c r="D9" s="403"/>
      <c r="E9" s="404"/>
    </row>
    <row r="10" spans="1:5" ht="12.75">
      <c r="A10" s="368"/>
      <c r="B10" s="337" t="s">
        <v>98</v>
      </c>
      <c r="C10" s="368" t="s">
        <v>36</v>
      </c>
      <c r="D10" s="368">
        <v>-86345.6</v>
      </c>
      <c r="E10" s="368"/>
    </row>
    <row r="11" spans="1:5" ht="12.75">
      <c r="A11" s="368"/>
      <c r="B11" s="422" t="s">
        <v>127</v>
      </c>
      <c r="C11" s="368"/>
      <c r="D11" s="368">
        <v>180573.43</v>
      </c>
      <c r="E11" s="368"/>
    </row>
    <row r="12" spans="1:5" ht="12.75">
      <c r="A12" s="368"/>
      <c r="B12" s="369" t="s">
        <v>5</v>
      </c>
      <c r="C12" s="368" t="s">
        <v>36</v>
      </c>
      <c r="D12" s="368">
        <v>7399.64</v>
      </c>
      <c r="E12" s="368"/>
    </row>
    <row r="13" spans="1:5" ht="12.75">
      <c r="A13" s="368"/>
      <c r="B13" s="369" t="s">
        <v>6</v>
      </c>
      <c r="C13" s="368" t="s">
        <v>36</v>
      </c>
      <c r="D13" s="374">
        <v>5164</v>
      </c>
      <c r="E13" s="368"/>
    </row>
    <row r="14" spans="1:5" ht="12.75">
      <c r="A14" s="368"/>
      <c r="B14" s="370" t="s">
        <v>28</v>
      </c>
      <c r="C14" s="368" t="s">
        <v>9</v>
      </c>
      <c r="D14" s="374">
        <v>304845.42</v>
      </c>
      <c r="E14" s="368"/>
    </row>
    <row r="15" spans="1:5" ht="12.75">
      <c r="A15" s="368"/>
      <c r="B15" s="368"/>
      <c r="C15" s="368"/>
      <c r="D15" s="368"/>
      <c r="E15" s="368"/>
    </row>
    <row r="16" spans="1:5" ht="15.75">
      <c r="A16" s="368"/>
      <c r="B16" s="372" t="s">
        <v>7</v>
      </c>
      <c r="C16" s="368"/>
      <c r="D16" s="368"/>
      <c r="E16" s="368"/>
    </row>
    <row r="17" spans="1:5" ht="12.75">
      <c r="A17" s="368">
        <v>1</v>
      </c>
      <c r="B17" s="368" t="s">
        <v>8</v>
      </c>
      <c r="C17" s="368" t="s">
        <v>9</v>
      </c>
      <c r="D17" s="374">
        <v>196748.71</v>
      </c>
      <c r="E17" s="368"/>
    </row>
    <row r="18" spans="1:5" ht="12.75">
      <c r="A18" s="368">
        <v>2</v>
      </c>
      <c r="B18" s="368" t="s">
        <v>88</v>
      </c>
      <c r="C18" s="368"/>
      <c r="D18" s="374">
        <v>90375.4</v>
      </c>
      <c r="E18" s="368"/>
    </row>
    <row r="19" spans="1:5" ht="15.75">
      <c r="A19" s="368"/>
      <c r="B19" s="372" t="s">
        <v>10</v>
      </c>
      <c r="C19" s="368"/>
      <c r="D19" s="373">
        <f>D17+D18</f>
        <v>287124.11</v>
      </c>
      <c r="E19" s="368"/>
    </row>
    <row r="20" spans="1:5" ht="15.75">
      <c r="A20" s="368"/>
      <c r="B20" s="372"/>
      <c r="C20" s="368"/>
      <c r="D20" s="371"/>
      <c r="E20" s="36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19">
        <f>D23+D28</f>
        <v>67615.11</v>
      </c>
      <c r="E22" s="19">
        <f>E23</f>
        <v>13286.99844</v>
      </c>
    </row>
    <row r="23" spans="1:5" ht="12.75">
      <c r="A23" s="14">
        <v>1</v>
      </c>
      <c r="B23" s="20" t="s">
        <v>11</v>
      </c>
      <c r="C23" s="395" t="s">
        <v>9</v>
      </c>
      <c r="D23" s="19">
        <f>D24+D25+D26+D27</f>
        <v>65777.22</v>
      </c>
      <c r="E23" s="19">
        <f>E24+E25+E26+E27</f>
        <v>13286.99844</v>
      </c>
    </row>
    <row r="24" spans="1:5" ht="12.75">
      <c r="A24" s="14"/>
      <c r="B24" s="14" t="s">
        <v>12</v>
      </c>
      <c r="C24" s="14"/>
      <c r="D24" s="14">
        <v>15024.7</v>
      </c>
      <c r="E24" s="18">
        <f>D24*20.2%</f>
        <v>3034.9894</v>
      </c>
    </row>
    <row r="25" spans="1:5" ht="12.75">
      <c r="A25" s="14"/>
      <c r="B25" s="14" t="s">
        <v>13</v>
      </c>
      <c r="C25" s="14"/>
      <c r="D25" s="396">
        <v>23395.26</v>
      </c>
      <c r="E25" s="18">
        <f>D25*20.2%</f>
        <v>4725.842519999999</v>
      </c>
    </row>
    <row r="26" spans="1:5" ht="12.75">
      <c r="A26" s="14"/>
      <c r="B26" s="14" t="s">
        <v>14</v>
      </c>
      <c r="C26" s="14"/>
      <c r="D26" s="14">
        <v>25130.03</v>
      </c>
      <c r="E26" s="18">
        <f>D26*20.2%</f>
        <v>5076.266059999999</v>
      </c>
    </row>
    <row r="27" spans="1:5" ht="12.75">
      <c r="A27" s="14"/>
      <c r="B27" s="14" t="s">
        <v>155</v>
      </c>
      <c r="C27" s="14"/>
      <c r="D27" s="14">
        <v>2227.23</v>
      </c>
      <c r="E27" s="18">
        <f>D27*20.2%</f>
        <v>449.90045999999995</v>
      </c>
    </row>
    <row r="28" spans="1:5" ht="12.75">
      <c r="A28" s="14">
        <v>2</v>
      </c>
      <c r="B28" s="395" t="s">
        <v>16</v>
      </c>
      <c r="C28" s="14"/>
      <c r="D28" s="14">
        <v>1837.89</v>
      </c>
      <c r="E28" s="18"/>
    </row>
    <row r="29" spans="1:5" ht="12.75">
      <c r="A29" s="401" t="s">
        <v>71</v>
      </c>
      <c r="B29" s="402" t="s">
        <v>69</v>
      </c>
      <c r="C29" s="14"/>
      <c r="D29" s="20">
        <f>D30+D31</f>
        <v>50945.54</v>
      </c>
      <c r="E29" s="19">
        <f>E30</f>
        <v>9619.34302</v>
      </c>
    </row>
    <row r="30" spans="1:5" ht="12.75">
      <c r="A30" s="14">
        <v>1</v>
      </c>
      <c r="B30" s="22" t="s">
        <v>203</v>
      </c>
      <c r="C30" s="14"/>
      <c r="D30" s="22">
        <v>47620.51</v>
      </c>
      <c r="E30" s="18">
        <f>D30*20.2%</f>
        <v>9619.34302</v>
      </c>
    </row>
    <row r="31" spans="1:5" ht="12.75">
      <c r="A31" s="14">
        <v>2</v>
      </c>
      <c r="B31" s="22" t="s">
        <v>16</v>
      </c>
      <c r="C31" s="14"/>
      <c r="D31" s="22">
        <v>3325.03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D33+D34+D35+D36+D37+D38+D39</f>
        <v>32508.9955</v>
      </c>
      <c r="E32" s="19"/>
    </row>
    <row r="33" spans="1:5" ht="12.75">
      <c r="A33" s="14"/>
      <c r="B33" s="14" t="s">
        <v>18</v>
      </c>
      <c r="C33" s="14"/>
      <c r="D33" s="18">
        <f>D19*5%</f>
        <v>14356.2055</v>
      </c>
      <c r="E33" s="14"/>
    </row>
    <row r="34" spans="1:5" ht="12.75">
      <c r="A34" s="14"/>
      <c r="B34" s="14" t="s">
        <v>19</v>
      </c>
      <c r="C34" s="14"/>
      <c r="D34" s="14">
        <v>755.45</v>
      </c>
      <c r="E34" s="14"/>
    </row>
    <row r="35" spans="1:5" ht="12.75">
      <c r="A35" s="14"/>
      <c r="B35" s="14" t="s">
        <v>20</v>
      </c>
      <c r="C35" s="14"/>
      <c r="D35" s="14">
        <v>2888</v>
      </c>
      <c r="E35" s="14"/>
    </row>
    <row r="36" spans="1:5" ht="12.75">
      <c r="A36" s="14"/>
      <c r="B36" s="14" t="s">
        <v>21</v>
      </c>
      <c r="C36" s="14"/>
      <c r="D36" s="18">
        <f>7144+1443.09</f>
        <v>8587.09</v>
      </c>
      <c r="E36" s="18"/>
    </row>
    <row r="37" spans="1:5" ht="12.75">
      <c r="A37" s="14"/>
      <c r="B37" s="395" t="s">
        <v>29</v>
      </c>
      <c r="C37" s="14"/>
      <c r="D37" s="14">
        <f>390.44+38.95</f>
        <v>429.39</v>
      </c>
      <c r="E37" s="14"/>
    </row>
    <row r="38" spans="1:5" ht="12.75">
      <c r="A38" s="14"/>
      <c r="B38" s="395" t="s">
        <v>62</v>
      </c>
      <c r="C38" s="14"/>
      <c r="D38" s="14">
        <v>2036.07</v>
      </c>
      <c r="E38" s="14"/>
    </row>
    <row r="39" spans="1:5" ht="12.75">
      <c r="A39" s="14"/>
      <c r="B39" s="22" t="s">
        <v>22</v>
      </c>
      <c r="C39" s="14"/>
      <c r="D39" s="14">
        <v>3456.79</v>
      </c>
      <c r="E39" s="14"/>
    </row>
    <row r="40" spans="1:5" ht="12.75">
      <c r="A40" s="14">
        <v>4</v>
      </c>
      <c r="B40" s="20" t="s">
        <v>23</v>
      </c>
      <c r="C40" s="14"/>
      <c r="D40" s="19">
        <f>38476.44+5777.08</f>
        <v>44253.520000000004</v>
      </c>
      <c r="E40" s="19"/>
    </row>
    <row r="41" spans="1:5" ht="12.75">
      <c r="A41" s="14">
        <v>5</v>
      </c>
      <c r="B41" s="20" t="s">
        <v>24</v>
      </c>
      <c r="C41" s="14"/>
      <c r="D41" s="19">
        <f>D22+E22+D29+E29+D32+E32+D40+E40</f>
        <v>218229.50695999997</v>
      </c>
      <c r="E41" s="14"/>
    </row>
    <row r="42" spans="1:5" ht="12.75">
      <c r="A42" s="14">
        <v>6</v>
      </c>
      <c r="B42" s="14" t="s">
        <v>33</v>
      </c>
      <c r="C42" s="14"/>
      <c r="D42" s="19">
        <f>D19*6%</f>
        <v>17227.4466</v>
      </c>
      <c r="E42" s="14"/>
    </row>
    <row r="43" spans="1:5" ht="12.75">
      <c r="A43" s="14">
        <v>7</v>
      </c>
      <c r="B43" s="20" t="s">
        <v>25</v>
      </c>
      <c r="C43" s="14"/>
      <c r="D43" s="19">
        <f>D41+D42</f>
        <v>235456.95355999997</v>
      </c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>
        <v>8</v>
      </c>
      <c r="B45" s="20" t="s">
        <v>87</v>
      </c>
      <c r="C45" s="14"/>
      <c r="D45" s="19">
        <f>D17-D43</f>
        <v>-38708.24355999997</v>
      </c>
      <c r="E45" s="14"/>
    </row>
    <row r="46" spans="1:5" ht="12.75">
      <c r="A46" s="14">
        <v>9</v>
      </c>
      <c r="B46" s="20" t="s">
        <v>47</v>
      </c>
      <c r="C46" s="14"/>
      <c r="D46" s="19">
        <f>D10+D45</f>
        <v>-125053.84355999998</v>
      </c>
      <c r="E46" s="14"/>
    </row>
    <row r="47" spans="1:5" ht="12.75">
      <c r="A47" s="3"/>
      <c r="B47" s="426"/>
      <c r="C47" s="3"/>
      <c r="D47" s="429"/>
      <c r="E47" s="3"/>
    </row>
    <row r="48" spans="1:5" ht="12.75">
      <c r="A48" s="3"/>
      <c r="B48" s="426" t="s">
        <v>88</v>
      </c>
      <c r="C48" s="3"/>
      <c r="D48" s="429">
        <f>D11+D18-5422.52</f>
        <v>265526.30999999994</v>
      </c>
      <c r="E48" s="3"/>
    </row>
    <row r="49" spans="1:5" ht="12.75">
      <c r="A49" s="3"/>
      <c r="B49" s="426"/>
      <c r="C49" s="3"/>
      <c r="D49" s="429"/>
      <c r="E49" s="3"/>
    </row>
    <row r="50" spans="1:5" ht="12.75">
      <c r="A50" s="3"/>
      <c r="B50" s="447" t="s">
        <v>95</v>
      </c>
      <c r="C50" s="3"/>
      <c r="D50" s="448" t="s">
        <v>0</v>
      </c>
      <c r="E50" s="3"/>
    </row>
    <row r="51" spans="1:5" ht="12.75">
      <c r="A51" s="1"/>
      <c r="B51" s="1" t="s">
        <v>32</v>
      </c>
      <c r="C51" s="1"/>
      <c r="D51" s="1" t="s">
        <v>27</v>
      </c>
      <c r="E51" s="1"/>
    </row>
  </sheetData>
  <sheetProtection/>
  <mergeCells count="2">
    <mergeCell ref="D7:E7"/>
    <mergeCell ref="D8:E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5">
      <selection activeCell="B30" sqref="B30"/>
    </sheetView>
  </sheetViews>
  <sheetFormatPr defaultColWidth="9.00390625" defaultRowHeight="12.75"/>
  <cols>
    <col min="1" max="1" width="6.00390625" style="0" customWidth="1"/>
    <col min="2" max="2" width="41.75390625" style="0" customWidth="1"/>
    <col min="3" max="3" width="8.625" style="0" customWidth="1"/>
    <col min="4" max="4" width="11.875" style="0" customWidth="1"/>
    <col min="5" max="5" width="11.125" style="0" customWidth="1"/>
    <col min="7" max="7" width="3.75390625" style="0" customWidth="1"/>
    <col min="8" max="8" width="41.875" style="0" customWidth="1"/>
    <col min="10" max="10" width="10.00390625" style="0" customWidth="1"/>
    <col min="13" max="13" width="4.25390625" style="0" customWidth="1"/>
    <col min="15" max="15" width="41.75390625" style="0" customWidth="1"/>
    <col min="16" max="16" width="7.875" style="0" customWidth="1"/>
    <col min="17" max="17" width="9.875" style="0" customWidth="1"/>
    <col min="21" max="21" width="40.25390625" style="0" customWidth="1"/>
    <col min="23" max="23" width="10.625" style="0" customWidth="1"/>
    <col min="24" max="24" width="10.37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A4" t="s">
        <v>188</v>
      </c>
    </row>
    <row r="5" ht="12.75">
      <c r="B5" t="s">
        <v>50</v>
      </c>
    </row>
    <row r="6" spans="1:5" ht="12.75">
      <c r="A6" s="378"/>
      <c r="B6" s="378"/>
      <c r="C6" s="378"/>
      <c r="D6" s="360"/>
      <c r="E6" s="379"/>
    </row>
    <row r="7" spans="1:5" ht="15.75">
      <c r="A7" s="359"/>
      <c r="B7" s="362" t="s">
        <v>1</v>
      </c>
      <c r="C7" s="363" t="s">
        <v>3</v>
      </c>
      <c r="D7" s="577" t="s">
        <v>4</v>
      </c>
      <c r="E7" s="578"/>
    </row>
    <row r="8" spans="1:5" ht="15.75">
      <c r="A8" s="364"/>
      <c r="B8" s="362" t="s">
        <v>2</v>
      </c>
      <c r="C8" s="363" t="s">
        <v>35</v>
      </c>
      <c r="D8" s="579" t="s">
        <v>124</v>
      </c>
      <c r="E8" s="580"/>
    </row>
    <row r="9" spans="1:5" ht="12.75">
      <c r="A9" s="365"/>
      <c r="B9" s="365"/>
      <c r="C9" s="365"/>
      <c r="D9" s="366"/>
      <c r="E9" s="367"/>
    </row>
    <row r="10" spans="1:5" ht="12.75">
      <c r="A10" s="365"/>
      <c r="B10" s="422" t="s">
        <v>98</v>
      </c>
      <c r="C10" s="365"/>
      <c r="D10" s="366">
        <v>-48069.77</v>
      </c>
      <c r="E10" s="367"/>
    </row>
    <row r="11" spans="1:5" ht="12.75">
      <c r="A11" s="365"/>
      <c r="B11" s="422" t="s">
        <v>127</v>
      </c>
      <c r="C11" s="365"/>
      <c r="D11" s="366">
        <v>121732.24</v>
      </c>
      <c r="E11" s="367"/>
    </row>
    <row r="12" spans="1:5" ht="12.75">
      <c r="A12" s="368"/>
      <c r="B12" s="369" t="s">
        <v>5</v>
      </c>
      <c r="C12" s="368" t="s">
        <v>36</v>
      </c>
      <c r="D12" s="368">
        <v>6804.5</v>
      </c>
      <c r="E12" s="368"/>
    </row>
    <row r="13" spans="1:5" ht="12.75">
      <c r="A13" s="368"/>
      <c r="B13" s="369" t="s">
        <v>6</v>
      </c>
      <c r="C13" s="368" t="s">
        <v>36</v>
      </c>
      <c r="D13" s="368">
        <v>5184.7</v>
      </c>
      <c r="E13" s="368"/>
    </row>
    <row r="14" spans="1:5" ht="12.75">
      <c r="A14" s="368"/>
      <c r="B14" s="370" t="s">
        <v>28</v>
      </c>
      <c r="C14" s="368" t="s">
        <v>9</v>
      </c>
      <c r="D14" s="368">
        <v>256792.21</v>
      </c>
      <c r="E14" s="368"/>
    </row>
    <row r="15" spans="1:5" ht="12.75">
      <c r="A15" s="368"/>
      <c r="B15" s="368"/>
      <c r="C15" s="368"/>
      <c r="D15" s="368"/>
      <c r="E15" s="368"/>
    </row>
    <row r="16" spans="1:5" ht="15.75">
      <c r="A16" s="368"/>
      <c r="B16" s="372" t="s">
        <v>7</v>
      </c>
      <c r="C16" s="368"/>
      <c r="D16" s="368"/>
      <c r="E16" s="368"/>
    </row>
    <row r="17" spans="1:5" ht="12.75">
      <c r="A17" s="368">
        <v>1</v>
      </c>
      <c r="B17" s="368" t="s">
        <v>8</v>
      </c>
      <c r="C17" s="368" t="s">
        <v>9</v>
      </c>
      <c r="D17" s="374">
        <v>188632.34</v>
      </c>
      <c r="E17" s="368"/>
    </row>
    <row r="18" spans="1:5" ht="12.75">
      <c r="A18" s="368">
        <v>2</v>
      </c>
      <c r="B18" s="368" t="s">
        <v>88</v>
      </c>
      <c r="C18" s="368"/>
      <c r="D18" s="374">
        <v>60834.9</v>
      </c>
      <c r="E18" s="368"/>
    </row>
    <row r="19" spans="1:5" ht="12.75">
      <c r="A19" s="368">
        <v>3</v>
      </c>
      <c r="B19" s="368" t="s">
        <v>104</v>
      </c>
      <c r="C19" s="368"/>
      <c r="D19" s="374">
        <v>6000</v>
      </c>
      <c r="E19" s="368"/>
    </row>
    <row r="20" spans="1:5" ht="15.75">
      <c r="A20" s="368"/>
      <c r="B20" s="372" t="s">
        <v>10</v>
      </c>
      <c r="C20" s="368"/>
      <c r="D20" s="373">
        <f>D17+D18+D19</f>
        <v>255467.24</v>
      </c>
      <c r="E20" s="368"/>
    </row>
    <row r="21" spans="1:5" ht="15.75">
      <c r="A21" s="368"/>
      <c r="B21" s="372"/>
      <c r="C21" s="368"/>
      <c r="D21" s="371"/>
      <c r="E21" s="368"/>
    </row>
    <row r="22" spans="1:5" ht="15.75">
      <c r="A22" s="14"/>
      <c r="B22" s="17" t="s">
        <v>66</v>
      </c>
      <c r="C22" s="14"/>
      <c r="D22" s="20"/>
      <c r="E22" s="51" t="s">
        <v>15</v>
      </c>
    </row>
    <row r="23" spans="1:5" ht="12.75">
      <c r="A23" s="401" t="s">
        <v>67</v>
      </c>
      <c r="B23" s="16" t="s">
        <v>68</v>
      </c>
      <c r="C23" s="14"/>
      <c r="D23" s="20">
        <f>D24+D28</f>
        <v>28676.62</v>
      </c>
      <c r="E23" s="19">
        <f>E24</f>
        <v>5419.934719999999</v>
      </c>
    </row>
    <row r="24" spans="1:5" ht="12.75">
      <c r="A24" s="14">
        <v>1</v>
      </c>
      <c r="B24" s="20" t="s">
        <v>11</v>
      </c>
      <c r="C24" s="395" t="s">
        <v>9</v>
      </c>
      <c r="D24" s="20">
        <f>D25+D27</f>
        <v>26831.36</v>
      </c>
      <c r="E24" s="19">
        <f>E25+E27</f>
        <v>5419.934719999999</v>
      </c>
    </row>
    <row r="25" spans="1:5" ht="12.75">
      <c r="A25" s="14"/>
      <c r="B25" s="14" t="s">
        <v>12</v>
      </c>
      <c r="C25" s="14"/>
      <c r="D25" s="14">
        <v>25485.03</v>
      </c>
      <c r="E25" s="18">
        <f>D25*20.2%</f>
        <v>5147.976059999999</v>
      </c>
    </row>
    <row r="26" spans="1:5" ht="12.75">
      <c r="A26" s="14"/>
      <c r="B26" s="14" t="s">
        <v>13</v>
      </c>
      <c r="C26" s="14"/>
      <c r="D26" s="396"/>
      <c r="E26" s="18"/>
    </row>
    <row r="27" spans="1:5" ht="12.75">
      <c r="A27" s="14"/>
      <c r="B27" s="14" t="s">
        <v>155</v>
      </c>
      <c r="C27" s="14"/>
      <c r="D27" s="14">
        <v>1346.33</v>
      </c>
      <c r="E27" s="18">
        <f>D27*20.2%</f>
        <v>271.95865999999995</v>
      </c>
    </row>
    <row r="28" spans="1:5" ht="12.75">
      <c r="A28" s="14">
        <v>2</v>
      </c>
      <c r="B28" s="395" t="s">
        <v>16</v>
      </c>
      <c r="C28" s="14"/>
      <c r="D28" s="14">
        <v>1845.26</v>
      </c>
      <c r="E28" s="18"/>
    </row>
    <row r="29" spans="1:5" ht="12.75">
      <c r="A29" s="401" t="s">
        <v>71</v>
      </c>
      <c r="B29" s="402" t="s">
        <v>69</v>
      </c>
      <c r="C29" s="14"/>
      <c r="D29" s="20">
        <f>D30+D31</f>
        <v>51341.81</v>
      </c>
      <c r="E29" s="19">
        <f>E30</f>
        <v>9657.9028</v>
      </c>
    </row>
    <row r="30" spans="1:5" ht="12.75">
      <c r="A30" s="14">
        <v>1</v>
      </c>
      <c r="B30" s="22" t="s">
        <v>203</v>
      </c>
      <c r="C30" s="14"/>
      <c r="D30" s="22">
        <v>47811.4</v>
      </c>
      <c r="E30" s="18">
        <f>D30*20.2%</f>
        <v>9657.9028</v>
      </c>
    </row>
    <row r="31" spans="1:5" ht="12.75">
      <c r="A31" s="14">
        <v>2</v>
      </c>
      <c r="B31" s="22" t="s">
        <v>16</v>
      </c>
      <c r="C31" s="14"/>
      <c r="D31" s="22">
        <v>3530.41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D33+D34+D35+D36+D37+D38+D39</f>
        <v>58655.952000000005</v>
      </c>
      <c r="E32" s="19"/>
    </row>
    <row r="33" spans="1:5" ht="12.75">
      <c r="A33" s="14"/>
      <c r="B33" s="14" t="s">
        <v>18</v>
      </c>
      <c r="C33" s="14"/>
      <c r="D33" s="18">
        <f>D20*5%</f>
        <v>12773.362000000001</v>
      </c>
      <c r="E33" s="14"/>
    </row>
    <row r="34" spans="1:5" ht="12.75">
      <c r="A34" s="14"/>
      <c r="B34" s="14" t="s">
        <v>20</v>
      </c>
      <c r="C34" s="14"/>
      <c r="D34" s="14">
        <v>2888</v>
      </c>
      <c r="E34" s="14"/>
    </row>
    <row r="35" spans="1:5" ht="12.75">
      <c r="A35" s="14"/>
      <c r="B35" s="395" t="s">
        <v>29</v>
      </c>
      <c r="C35" s="14"/>
      <c r="D35" s="14">
        <f>390.44+1442.52</f>
        <v>1832.96</v>
      </c>
      <c r="E35" s="14"/>
    </row>
    <row r="36" spans="1:5" ht="12.75">
      <c r="A36" s="14"/>
      <c r="B36" s="14" t="s">
        <v>21</v>
      </c>
      <c r="C36" s="14"/>
      <c r="D36" s="18">
        <f>7172.64+1448.87</f>
        <v>8621.51</v>
      </c>
      <c r="E36" s="18"/>
    </row>
    <row r="37" spans="1:5" ht="12.75">
      <c r="A37" s="14"/>
      <c r="B37" s="395" t="s">
        <v>62</v>
      </c>
      <c r="C37" s="14"/>
      <c r="D37" s="14">
        <v>2044.23</v>
      </c>
      <c r="E37" s="14"/>
    </row>
    <row r="38" spans="1:5" ht="12.75">
      <c r="A38" s="14"/>
      <c r="B38" s="22" t="s">
        <v>172</v>
      </c>
      <c r="C38" s="14"/>
      <c r="D38" s="18">
        <v>27025.24</v>
      </c>
      <c r="E38" s="14"/>
    </row>
    <row r="39" spans="1:5" ht="12.75">
      <c r="A39" s="14"/>
      <c r="B39" s="14" t="s">
        <v>22</v>
      </c>
      <c r="C39" s="14"/>
      <c r="D39" s="14">
        <v>3470.65</v>
      </c>
      <c r="E39" s="14"/>
    </row>
    <row r="40" spans="1:5" ht="12.75">
      <c r="A40" s="14">
        <v>4</v>
      </c>
      <c r="B40" s="20" t="s">
        <v>199</v>
      </c>
      <c r="C40" s="14"/>
      <c r="D40" s="19">
        <f>38630.67+5800.24</f>
        <v>44430.909999999996</v>
      </c>
      <c r="E40" s="19"/>
    </row>
    <row r="41" spans="1:5" ht="12.75">
      <c r="A41" s="14">
        <v>5</v>
      </c>
      <c r="B41" s="20" t="s">
        <v>24</v>
      </c>
      <c r="C41" s="14"/>
      <c r="D41" s="19">
        <f>D23+E23+D29+E29+D32+E32+D40+E40</f>
        <v>198183.12952</v>
      </c>
      <c r="E41" s="14"/>
    </row>
    <row r="42" spans="1:5" ht="12.75">
      <c r="A42" s="14">
        <v>6</v>
      </c>
      <c r="B42" s="14" t="s">
        <v>33</v>
      </c>
      <c r="C42" s="14"/>
      <c r="D42" s="19">
        <f>D20*6%</f>
        <v>15328.034399999999</v>
      </c>
      <c r="E42" s="14"/>
    </row>
    <row r="43" spans="1:5" ht="12.75">
      <c r="A43" s="14">
        <v>7</v>
      </c>
      <c r="B43" s="20" t="s">
        <v>25</v>
      </c>
      <c r="C43" s="14"/>
      <c r="D43" s="19">
        <f>D41+D42</f>
        <v>213511.16392</v>
      </c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>
        <v>8</v>
      </c>
      <c r="B45" s="20" t="s">
        <v>87</v>
      </c>
      <c r="C45" s="14"/>
      <c r="D45" s="19">
        <f>(D17+D19)-D43</f>
        <v>-18878.823919999995</v>
      </c>
      <c r="E45" s="14"/>
    </row>
    <row r="46" spans="1:5" ht="12.75">
      <c r="A46" s="14">
        <v>9</v>
      </c>
      <c r="B46" s="20" t="s">
        <v>47</v>
      </c>
      <c r="C46" s="14"/>
      <c r="D46" s="19">
        <f>D10+D45</f>
        <v>-66948.59391999998</v>
      </c>
      <c r="E46" s="14"/>
    </row>
    <row r="47" spans="1:5" ht="12.75">
      <c r="A47" s="3"/>
      <c r="B47" s="426" t="s">
        <v>88</v>
      </c>
      <c r="C47" s="3"/>
      <c r="D47" s="429">
        <f>(D11+D18)-3650.09</f>
        <v>178917.05000000002</v>
      </c>
      <c r="E47" s="3"/>
    </row>
    <row r="48" spans="1:5" ht="12.75">
      <c r="A48" s="3"/>
      <c r="B48" s="426" t="s">
        <v>143</v>
      </c>
      <c r="C48" s="3"/>
      <c r="D48" s="429">
        <v>1500</v>
      </c>
      <c r="E48" s="3"/>
    </row>
    <row r="49" spans="1:5" ht="12.75">
      <c r="A49" s="3"/>
      <c r="B49" s="426" t="s">
        <v>129</v>
      </c>
      <c r="C49" s="3"/>
      <c r="D49" s="429">
        <f>D47-D48</f>
        <v>177417.05000000002</v>
      </c>
      <c r="E49" s="3"/>
    </row>
    <row r="50" spans="1:5" ht="12.75">
      <c r="A50" s="3"/>
      <c r="B50" s="426"/>
      <c r="C50" s="3"/>
      <c r="D50" s="429"/>
      <c r="E50" s="3"/>
    </row>
    <row r="51" spans="2:4" ht="12.75">
      <c r="B51" t="s">
        <v>31</v>
      </c>
      <c r="D51" t="s">
        <v>0</v>
      </c>
    </row>
    <row r="52" spans="2:4" ht="12.75">
      <c r="B52" t="s">
        <v>32</v>
      </c>
      <c r="D52" t="s">
        <v>27</v>
      </c>
    </row>
  </sheetData>
  <sheetProtection/>
  <mergeCells count="2">
    <mergeCell ref="D8:E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25">
      <selection activeCell="B29" sqref="B29"/>
    </sheetView>
  </sheetViews>
  <sheetFormatPr defaultColWidth="9.00390625" defaultRowHeight="12.75"/>
  <cols>
    <col min="1" max="1" width="6.625" style="0" customWidth="1"/>
    <col min="2" max="2" width="40.25390625" style="0" customWidth="1"/>
    <col min="3" max="3" width="8.625" style="0" customWidth="1"/>
    <col min="4" max="4" width="11.875" style="0" customWidth="1"/>
    <col min="5" max="5" width="11.125" style="0" customWidth="1"/>
    <col min="7" max="7" width="3.75390625" style="0" customWidth="1"/>
    <col min="8" max="8" width="41.875" style="0" customWidth="1"/>
    <col min="10" max="10" width="10.00390625" style="0" customWidth="1"/>
    <col min="13" max="13" width="4.25390625" style="0" customWidth="1"/>
    <col min="15" max="15" width="41.75390625" style="0" customWidth="1"/>
    <col min="16" max="16" width="7.875" style="0" customWidth="1"/>
    <col min="17" max="17" width="9.875" style="0" customWidth="1"/>
    <col min="21" max="21" width="40.25390625" style="0" customWidth="1"/>
    <col min="23" max="23" width="10.625" style="0" customWidth="1"/>
    <col min="24" max="24" width="10.37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189</v>
      </c>
    </row>
    <row r="5" ht="12.75">
      <c r="B5" t="s">
        <v>53</v>
      </c>
    </row>
    <row r="6" spans="1:5" ht="12.75">
      <c r="A6" s="576"/>
      <c r="B6" s="576"/>
      <c r="C6" s="576"/>
      <c r="D6" s="357"/>
      <c r="E6" s="358"/>
    </row>
    <row r="7" spans="1:5" ht="12.75">
      <c r="A7" s="359"/>
      <c r="B7" s="359"/>
      <c r="C7" s="359"/>
      <c r="D7" s="394"/>
      <c r="E7" s="361"/>
    </row>
    <row r="8" spans="1:5" ht="15.75">
      <c r="A8" s="359"/>
      <c r="B8" s="362" t="s">
        <v>1</v>
      </c>
      <c r="C8" s="363" t="s">
        <v>3</v>
      </c>
      <c r="D8" s="577" t="s">
        <v>4</v>
      </c>
      <c r="E8" s="578"/>
    </row>
    <row r="9" spans="1:5" ht="15.75">
      <c r="A9" s="364"/>
      <c r="B9" s="362" t="s">
        <v>2</v>
      </c>
      <c r="C9" s="363" t="s">
        <v>35</v>
      </c>
      <c r="D9" s="579" t="s">
        <v>190</v>
      </c>
      <c r="E9" s="580"/>
    </row>
    <row r="10" spans="1:5" ht="12.75">
      <c r="A10" s="365"/>
      <c r="B10" s="365"/>
      <c r="C10" s="365"/>
      <c r="D10" s="366"/>
      <c r="E10" s="367"/>
    </row>
    <row r="11" spans="1:5" ht="12.75">
      <c r="A11" s="365"/>
      <c r="B11" s="380" t="s">
        <v>80</v>
      </c>
      <c r="C11" s="365"/>
      <c r="D11" s="366">
        <v>174472.23</v>
      </c>
      <c r="E11" s="367"/>
    </row>
    <row r="12" spans="1:5" ht="12.75">
      <c r="A12" s="368"/>
      <c r="B12" s="369" t="s">
        <v>5</v>
      </c>
      <c r="C12" s="368" t="s">
        <v>36</v>
      </c>
      <c r="D12" s="368">
        <v>5925.2</v>
      </c>
      <c r="E12" s="368"/>
    </row>
    <row r="13" spans="1:5" ht="12.75">
      <c r="A13" s="368"/>
      <c r="B13" s="369" t="s">
        <v>6</v>
      </c>
      <c r="C13" s="368" t="s">
        <v>36</v>
      </c>
      <c r="D13" s="368">
        <v>4452.3</v>
      </c>
      <c r="E13" s="368"/>
    </row>
    <row r="14" spans="1:5" ht="12.75">
      <c r="A14" s="368"/>
      <c r="B14" s="370" t="s">
        <v>28</v>
      </c>
      <c r="C14" s="368" t="s">
        <v>9</v>
      </c>
      <c r="D14" s="368">
        <v>170262.9</v>
      </c>
      <c r="E14" s="368"/>
    </row>
    <row r="15" spans="1:5" ht="12.75">
      <c r="A15" s="368"/>
      <c r="B15" s="368"/>
      <c r="C15" s="368"/>
      <c r="D15" s="368"/>
      <c r="E15" s="368"/>
    </row>
    <row r="16" spans="1:5" ht="15.75">
      <c r="A16" s="368"/>
      <c r="B16" s="372" t="s">
        <v>7</v>
      </c>
      <c r="C16" s="368"/>
      <c r="D16" s="368"/>
      <c r="E16" s="368"/>
    </row>
    <row r="17" spans="1:5" ht="12.75">
      <c r="A17" s="368">
        <v>1</v>
      </c>
      <c r="B17" s="368" t="s">
        <v>8</v>
      </c>
      <c r="C17" s="368" t="s">
        <v>9</v>
      </c>
      <c r="D17" s="368">
        <v>170614.85</v>
      </c>
      <c r="E17" s="368"/>
    </row>
    <row r="18" spans="1:5" ht="12.75">
      <c r="A18" s="368">
        <v>2</v>
      </c>
      <c r="B18" s="368" t="s">
        <v>104</v>
      </c>
      <c r="C18" s="368"/>
      <c r="D18" s="368">
        <v>3000</v>
      </c>
      <c r="E18" s="368"/>
    </row>
    <row r="19" spans="1:5" ht="15.75">
      <c r="A19" s="368"/>
      <c r="B19" s="372" t="s">
        <v>10</v>
      </c>
      <c r="C19" s="368"/>
      <c r="D19" s="371">
        <f>D17+D18</f>
        <v>173614.85</v>
      </c>
      <c r="E19" s="368"/>
    </row>
    <row r="20" spans="1:5" ht="15.75">
      <c r="A20" s="368"/>
      <c r="B20" s="372"/>
      <c r="C20" s="368"/>
      <c r="D20" s="371"/>
      <c r="E20" s="36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20">
        <f>D23+D27</f>
        <v>19469.01</v>
      </c>
      <c r="E22" s="19">
        <f>E23</f>
        <v>3612.65082</v>
      </c>
    </row>
    <row r="23" spans="1:5" ht="12.75">
      <c r="A23" s="14">
        <v>1</v>
      </c>
      <c r="B23" s="20" t="s">
        <v>11</v>
      </c>
      <c r="C23" s="395" t="s">
        <v>9</v>
      </c>
      <c r="D23" s="20">
        <f>D24</f>
        <v>17884.41</v>
      </c>
      <c r="E23" s="19">
        <f>E24</f>
        <v>3612.65082</v>
      </c>
    </row>
    <row r="24" spans="1:5" ht="12.75">
      <c r="A24" s="14"/>
      <c r="B24" s="14" t="s">
        <v>12</v>
      </c>
      <c r="C24" s="14"/>
      <c r="D24" s="14">
        <v>17884.41</v>
      </c>
      <c r="E24" s="18">
        <f>D24*20.2%</f>
        <v>3612.65082</v>
      </c>
    </row>
    <row r="25" spans="1:5" ht="12.75">
      <c r="A25" s="14"/>
      <c r="B25" s="14" t="s">
        <v>13</v>
      </c>
      <c r="C25" s="14"/>
      <c r="D25" s="396"/>
      <c r="E25" s="18"/>
    </row>
    <row r="26" spans="1:5" ht="12.75">
      <c r="A26" s="14"/>
      <c r="B26" s="14" t="s">
        <v>14</v>
      </c>
      <c r="C26" s="14"/>
      <c r="D26" s="14"/>
      <c r="E26" s="18"/>
    </row>
    <row r="27" spans="1:5" ht="12.75">
      <c r="A27" s="14">
        <v>2</v>
      </c>
      <c r="B27" s="395" t="s">
        <v>16</v>
      </c>
      <c r="C27" s="14"/>
      <c r="D27" s="14">
        <v>1584.6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D29+D30+D31</f>
        <v>119336.09000000001</v>
      </c>
      <c r="E28" s="19">
        <f>E29</f>
        <v>8293.60894</v>
      </c>
    </row>
    <row r="29" spans="1:5" ht="12.75">
      <c r="A29" s="14">
        <v>1</v>
      </c>
      <c r="B29" s="22" t="s">
        <v>203</v>
      </c>
      <c r="C29" s="14"/>
      <c r="D29" s="22">
        <v>41057.47</v>
      </c>
      <c r="E29" s="18">
        <f>D29*20.2%</f>
        <v>8293.60894</v>
      </c>
    </row>
    <row r="30" spans="1:5" ht="12.75">
      <c r="A30" s="14">
        <v>2</v>
      </c>
      <c r="B30" s="22" t="s">
        <v>16</v>
      </c>
      <c r="C30" s="14"/>
      <c r="D30" s="22">
        <v>68058.02</v>
      </c>
      <c r="E30" s="14"/>
    </row>
    <row r="31" spans="1:5" ht="12.75">
      <c r="A31" s="14">
        <v>3</v>
      </c>
      <c r="B31" s="22" t="s">
        <v>107</v>
      </c>
      <c r="C31" s="14"/>
      <c r="D31" s="22">
        <v>10220.6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D33+D34+D35+D36+D37+D38+D39+D40+D41</f>
        <v>46318.222499999996</v>
      </c>
      <c r="E32" s="19"/>
    </row>
    <row r="33" spans="1:5" ht="12.75">
      <c r="A33" s="14"/>
      <c r="B33" s="14" t="s">
        <v>18</v>
      </c>
      <c r="C33" s="14"/>
      <c r="D33" s="18">
        <f>D19*5%</f>
        <v>8680.7425</v>
      </c>
      <c r="E33" s="14"/>
    </row>
    <row r="34" spans="1:5" ht="12.75">
      <c r="A34" s="14"/>
      <c r="B34" s="14" t="s">
        <v>19</v>
      </c>
      <c r="C34" s="14"/>
      <c r="D34" s="22">
        <v>691.19</v>
      </c>
      <c r="E34" s="14"/>
    </row>
    <row r="35" spans="1:5" ht="12.75">
      <c r="A35" s="14"/>
      <c r="B35" s="14" t="s">
        <v>20</v>
      </c>
      <c r="C35" s="14"/>
      <c r="D35" s="22">
        <v>11552</v>
      </c>
      <c r="E35" s="14"/>
    </row>
    <row r="36" spans="1:5" ht="12.75">
      <c r="A36" s="14"/>
      <c r="B36" s="14" t="s">
        <v>21</v>
      </c>
      <c r="C36" s="14"/>
      <c r="D36" s="18">
        <f>6159.42+1244.5</f>
        <v>7403.92</v>
      </c>
      <c r="E36" s="18"/>
    </row>
    <row r="37" spans="1:5" ht="12.75">
      <c r="A37" s="14"/>
      <c r="B37" s="22" t="s">
        <v>191</v>
      </c>
      <c r="C37" s="14"/>
      <c r="D37" s="18">
        <v>1250</v>
      </c>
      <c r="E37" s="18"/>
    </row>
    <row r="38" spans="1:5" ht="12.75">
      <c r="A38" s="14"/>
      <c r="B38" s="395" t="s">
        <v>29</v>
      </c>
      <c r="C38" s="14"/>
      <c r="D38" s="14">
        <f>390.44+38.95</f>
        <v>429.39</v>
      </c>
      <c r="E38" s="14"/>
    </row>
    <row r="39" spans="1:5" ht="12.75">
      <c r="A39" s="14"/>
      <c r="B39" s="395" t="s">
        <v>62</v>
      </c>
      <c r="C39" s="14"/>
      <c r="D39" s="14">
        <v>1755.46</v>
      </c>
      <c r="E39" s="14"/>
    </row>
    <row r="40" spans="1:5" ht="12.75">
      <c r="A40" s="14"/>
      <c r="B40" s="395" t="s">
        <v>61</v>
      </c>
      <c r="C40" s="14"/>
      <c r="D40" s="14">
        <v>11575.14</v>
      </c>
      <c r="E40" s="14"/>
    </row>
    <row r="41" spans="1:5" ht="12.75">
      <c r="A41" s="14"/>
      <c r="B41" s="22" t="s">
        <v>22</v>
      </c>
      <c r="C41" s="14"/>
      <c r="D41" s="14">
        <v>2980.38</v>
      </c>
      <c r="E41" s="14"/>
    </row>
    <row r="42" spans="1:5" ht="12.75">
      <c r="A42" s="14">
        <v>4</v>
      </c>
      <c r="B42" s="20" t="s">
        <v>199</v>
      </c>
      <c r="C42" s="14"/>
      <c r="D42" s="19">
        <f>33173.61+4980.88</f>
        <v>38154.49</v>
      </c>
      <c r="E42" s="19"/>
    </row>
    <row r="43" spans="1:5" ht="12.75">
      <c r="A43" s="14">
        <v>5</v>
      </c>
      <c r="B43" s="20" t="s">
        <v>24</v>
      </c>
      <c r="C43" s="14"/>
      <c r="D43" s="19">
        <f>D22+E22+D28+E28+D32+E32+D42+E42</f>
        <v>235184.07226000002</v>
      </c>
      <c r="E43" s="14"/>
    </row>
    <row r="44" spans="1:5" ht="12.75">
      <c r="A44" s="14">
        <v>6</v>
      </c>
      <c r="B44" s="14" t="s">
        <v>33</v>
      </c>
      <c r="C44" s="14"/>
      <c r="D44" s="19">
        <f>D19*6%</f>
        <v>10416.891</v>
      </c>
      <c r="E44" s="14"/>
    </row>
    <row r="45" spans="1:5" ht="12.75">
      <c r="A45" s="14">
        <v>7</v>
      </c>
      <c r="B45" s="20" t="s">
        <v>25</v>
      </c>
      <c r="C45" s="14"/>
      <c r="D45" s="19">
        <f>D43+D44</f>
        <v>245600.96326000002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>
        <v>8</v>
      </c>
      <c r="B47" s="20" t="s">
        <v>87</v>
      </c>
      <c r="C47" s="14"/>
      <c r="D47" s="19">
        <f>D19-D45</f>
        <v>-71986.11326000001</v>
      </c>
      <c r="E47" s="14"/>
    </row>
    <row r="48" spans="1:5" ht="12.75">
      <c r="A48" s="14">
        <v>9</v>
      </c>
      <c r="B48" s="20" t="s">
        <v>47</v>
      </c>
      <c r="C48" s="14"/>
      <c r="D48" s="19">
        <f>D11+D47</f>
        <v>102486.11674</v>
      </c>
      <c r="E48" s="14"/>
    </row>
    <row r="49" spans="1:5" ht="12.75">
      <c r="A49" s="3"/>
      <c r="B49" s="426"/>
      <c r="C49" s="3"/>
      <c r="D49" s="429"/>
      <c r="E49" s="3"/>
    </row>
    <row r="50" spans="1:5" ht="12.75">
      <c r="A50" s="3"/>
      <c r="B50" s="426"/>
      <c r="C50" s="3"/>
      <c r="D50" s="429"/>
      <c r="E50" s="3"/>
    </row>
    <row r="51" spans="1:5" ht="12.75">
      <c r="A51" s="3"/>
      <c r="B51" t="s">
        <v>31</v>
      </c>
      <c r="D51" t="s">
        <v>0</v>
      </c>
      <c r="E51" s="3"/>
    </row>
    <row r="52" spans="1:5" ht="12.75">
      <c r="A52" s="1"/>
      <c r="B52" s="1" t="s">
        <v>32</v>
      </c>
      <c r="C52" s="1"/>
      <c r="D52" s="1" t="s">
        <v>27</v>
      </c>
      <c r="E52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7.25390625" style="0" customWidth="1"/>
    <col min="2" max="2" width="39.25390625" style="0" customWidth="1"/>
    <col min="4" max="4" width="12.625" style="0" customWidth="1"/>
    <col min="5" max="5" width="12.00390625" style="0" customWidth="1"/>
    <col min="7" max="7" width="3.75390625" style="0" customWidth="1"/>
    <col min="8" max="8" width="39.875" style="0" customWidth="1"/>
    <col min="10" max="10" width="10.625" style="0" customWidth="1"/>
    <col min="15" max="15" width="36.75390625" style="0" customWidth="1"/>
    <col min="21" max="21" width="41.375" style="0" customWidth="1"/>
    <col min="23" max="23" width="11.00390625" style="0" customWidth="1"/>
    <col min="24" max="24" width="10.00390625" style="0" customWidth="1"/>
  </cols>
  <sheetData>
    <row r="1" spans="1:5" ht="15.75">
      <c r="A1" s="1"/>
      <c r="B1" s="2" t="s">
        <v>26</v>
      </c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 t="s">
        <v>30</v>
      </c>
      <c r="C3" s="1"/>
      <c r="D3" s="1"/>
      <c r="E3" s="1"/>
    </row>
    <row r="4" spans="1:5" ht="12.75">
      <c r="A4" s="1"/>
      <c r="B4" s="384" t="s">
        <v>192</v>
      </c>
      <c r="C4" s="1"/>
      <c r="D4" s="1"/>
      <c r="E4" s="1"/>
    </row>
    <row r="5" spans="1:5" ht="12.75">
      <c r="A5" s="481"/>
      <c r="B5" s="481"/>
      <c r="C5" s="481"/>
      <c r="D5" s="4"/>
      <c r="E5" s="5"/>
    </row>
    <row r="6" spans="1:5" ht="12.75">
      <c r="A6" s="386"/>
      <c r="B6" s="386"/>
      <c r="C6" s="386"/>
      <c r="D6" s="3"/>
      <c r="E6" s="7"/>
    </row>
    <row r="7" spans="1:5" ht="15.75">
      <c r="A7" s="6"/>
      <c r="B7" s="8" t="s">
        <v>1</v>
      </c>
      <c r="C7" s="9" t="s">
        <v>3</v>
      </c>
      <c r="D7" s="482" t="s">
        <v>4</v>
      </c>
      <c r="E7" s="483"/>
    </row>
    <row r="8" spans="1:5" ht="15.75">
      <c r="A8" s="10"/>
      <c r="B8" s="8" t="s">
        <v>2</v>
      </c>
      <c r="C8" s="9" t="s">
        <v>35</v>
      </c>
      <c r="D8" s="479" t="s">
        <v>193</v>
      </c>
      <c r="E8" s="480"/>
    </row>
    <row r="9" spans="1:5" ht="12.75">
      <c r="A9" s="14"/>
      <c r="B9" s="337" t="s">
        <v>98</v>
      </c>
      <c r="C9" s="14"/>
      <c r="D9" s="14">
        <v>-25967.31</v>
      </c>
      <c r="E9" s="14"/>
    </row>
    <row r="10" spans="1:5" ht="12.75">
      <c r="A10" s="11"/>
      <c r="B10" s="422" t="s">
        <v>127</v>
      </c>
      <c r="C10" s="11"/>
      <c r="D10" s="14">
        <v>85512.61</v>
      </c>
      <c r="E10" s="13"/>
    </row>
    <row r="11" spans="1:5" ht="12.75">
      <c r="A11" s="14"/>
      <c r="B11" s="15" t="s">
        <v>5</v>
      </c>
      <c r="C11" s="14" t="s">
        <v>36</v>
      </c>
      <c r="D11" s="14">
        <v>3706.7</v>
      </c>
      <c r="E11" s="14"/>
    </row>
    <row r="12" spans="1:5" ht="12.75">
      <c r="A12" s="14"/>
      <c r="B12" s="15" t="s">
        <v>6</v>
      </c>
      <c r="C12" s="14" t="s">
        <v>36</v>
      </c>
      <c r="D12" s="14">
        <v>2593.82</v>
      </c>
      <c r="E12" s="14"/>
    </row>
    <row r="13" spans="1:5" ht="12.75">
      <c r="A13" s="14"/>
      <c r="B13" s="16" t="s">
        <v>28</v>
      </c>
      <c r="C13" s="14" t="s">
        <v>9</v>
      </c>
      <c r="D13" s="20">
        <v>151638.24</v>
      </c>
      <c r="E13" s="14"/>
    </row>
    <row r="14" spans="1:5" ht="12.75">
      <c r="A14" s="14"/>
      <c r="B14" s="14"/>
      <c r="C14" s="14"/>
      <c r="D14" s="14"/>
      <c r="E14" s="14"/>
    </row>
    <row r="15" spans="1:5" ht="15.75">
      <c r="A15" s="14"/>
      <c r="B15" s="17" t="s">
        <v>7</v>
      </c>
      <c r="C15" s="14"/>
      <c r="D15" s="14"/>
      <c r="E15" s="14"/>
    </row>
    <row r="16" spans="1:5" ht="12.75">
      <c r="A16" s="14">
        <v>1</v>
      </c>
      <c r="B16" s="14" t="s">
        <v>8</v>
      </c>
      <c r="C16" s="14" t="s">
        <v>9</v>
      </c>
      <c r="D16" s="22">
        <v>109351.83</v>
      </c>
      <c r="E16" s="14"/>
    </row>
    <row r="17" spans="1:5" ht="12.75">
      <c r="A17" s="14">
        <v>2</v>
      </c>
      <c r="B17" s="22" t="s">
        <v>88</v>
      </c>
      <c r="C17" s="14"/>
      <c r="D17" s="22">
        <v>45618.9</v>
      </c>
      <c r="E17" s="14"/>
    </row>
    <row r="18" spans="1:5" ht="12.75">
      <c r="A18" s="14">
        <v>3</v>
      </c>
      <c r="B18" s="22" t="s">
        <v>104</v>
      </c>
      <c r="C18" s="14"/>
      <c r="D18" s="22">
        <v>14000</v>
      </c>
      <c r="E18" s="14"/>
    </row>
    <row r="19" spans="1:5" ht="15.75">
      <c r="A19" s="14"/>
      <c r="B19" s="17" t="s">
        <v>10</v>
      </c>
      <c r="C19" s="14"/>
      <c r="D19" s="19">
        <f>D16+D17+D18</f>
        <v>168970.73</v>
      </c>
      <c r="E19" s="14"/>
    </row>
    <row r="20" spans="1:5" ht="15.75">
      <c r="A20" s="14"/>
      <c r="B20" s="17"/>
      <c r="C20" s="14"/>
      <c r="D20" s="19"/>
      <c r="E20" s="14"/>
    </row>
    <row r="21" spans="1:5" ht="15.75">
      <c r="A21" s="14"/>
      <c r="B21" s="17" t="s">
        <v>66</v>
      </c>
      <c r="C21" s="14"/>
      <c r="D21" s="20"/>
      <c r="E21" s="395" t="s">
        <v>15</v>
      </c>
    </row>
    <row r="22" spans="1:5" ht="12.75">
      <c r="A22" s="401" t="s">
        <v>67</v>
      </c>
      <c r="B22" s="16" t="s">
        <v>68</v>
      </c>
      <c r="C22" s="14"/>
      <c r="D22" s="19">
        <f>D23+D27</f>
        <v>34048.91</v>
      </c>
      <c r="E22" s="19">
        <f>E23</f>
        <v>6691.40352</v>
      </c>
    </row>
    <row r="23" spans="1:5" ht="12.75">
      <c r="A23" s="14">
        <v>1</v>
      </c>
      <c r="B23" s="20" t="s">
        <v>11</v>
      </c>
      <c r="C23" s="395" t="s">
        <v>9</v>
      </c>
      <c r="D23" s="19">
        <f>D24+D25+D26</f>
        <v>33125.76</v>
      </c>
      <c r="E23" s="19">
        <f>E24+E25+E26</f>
        <v>6691.40352</v>
      </c>
    </row>
    <row r="24" spans="1:5" ht="12.75">
      <c r="A24" s="14"/>
      <c r="B24" s="14" t="s">
        <v>12</v>
      </c>
      <c r="C24" s="14"/>
      <c r="D24" s="14">
        <v>6532.45</v>
      </c>
      <c r="E24" s="18">
        <f>D24*20.2%</f>
        <v>1319.5548999999999</v>
      </c>
    </row>
    <row r="25" spans="1:5" ht="12.75">
      <c r="A25" s="14"/>
      <c r="B25" s="14" t="s">
        <v>13</v>
      </c>
      <c r="C25" s="14"/>
      <c r="D25" s="396">
        <v>12667.3</v>
      </c>
      <c r="E25" s="18">
        <f>D25*20.2%</f>
        <v>2558.7945999999997</v>
      </c>
    </row>
    <row r="26" spans="1:5" ht="12.75">
      <c r="A26" s="14"/>
      <c r="B26" s="14" t="s">
        <v>14</v>
      </c>
      <c r="C26" s="14"/>
      <c r="D26" s="14">
        <v>13926.01</v>
      </c>
      <c r="E26" s="18">
        <f>D26*20.2%</f>
        <v>2813.05402</v>
      </c>
    </row>
    <row r="27" spans="1:5" ht="12.75">
      <c r="A27" s="14">
        <v>2</v>
      </c>
      <c r="B27" s="395" t="s">
        <v>16</v>
      </c>
      <c r="C27" s="14"/>
      <c r="D27" s="14">
        <v>923.15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38356.229999999996</v>
      </c>
      <c r="E28" s="19">
        <f>E29</f>
        <v>4831.688499999999</v>
      </c>
    </row>
    <row r="29" spans="1:5" ht="12.75">
      <c r="A29" s="14">
        <v>1</v>
      </c>
      <c r="B29" s="22" t="s">
        <v>203</v>
      </c>
      <c r="C29" s="14"/>
      <c r="D29" s="22">
        <v>23919.25</v>
      </c>
      <c r="E29" s="18">
        <f>D29*20.2%</f>
        <v>4831.688499999999</v>
      </c>
    </row>
    <row r="30" spans="1:5" ht="12.75">
      <c r="A30" s="14">
        <v>2</v>
      </c>
      <c r="B30" s="22" t="s">
        <v>16</v>
      </c>
      <c r="C30" s="14"/>
      <c r="D30" s="22">
        <v>14436.98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</f>
        <v>15473.6365</v>
      </c>
      <c r="E31" s="14"/>
    </row>
    <row r="32" spans="1:5" ht="12.75">
      <c r="A32" s="14">
        <v>1</v>
      </c>
      <c r="B32" s="14" t="s">
        <v>18</v>
      </c>
      <c r="C32" s="14"/>
      <c r="D32" s="18">
        <f>D19*5%</f>
        <v>8448.5365</v>
      </c>
      <c r="E32" s="14"/>
    </row>
    <row r="33" spans="1:5" ht="12.75">
      <c r="A33" s="14">
        <v>2</v>
      </c>
      <c r="B33" s="14" t="s">
        <v>19</v>
      </c>
      <c r="C33" s="14"/>
      <c r="D33" s="14">
        <v>677.75</v>
      </c>
      <c r="E33" s="14"/>
    </row>
    <row r="34" spans="1:5" ht="12.75">
      <c r="A34" s="14">
        <v>3</v>
      </c>
      <c r="B34" s="395" t="s">
        <v>22</v>
      </c>
      <c r="C34" s="14"/>
      <c r="D34" s="14">
        <v>1736.31</v>
      </c>
      <c r="E34" s="14"/>
    </row>
    <row r="35" spans="1:5" ht="12.75">
      <c r="A35" s="14">
        <v>4</v>
      </c>
      <c r="B35" s="14" t="s">
        <v>21</v>
      </c>
      <c r="C35" s="14"/>
      <c r="D35" s="14">
        <v>3588.35</v>
      </c>
      <c r="E35" s="14"/>
    </row>
    <row r="36" spans="1:5" ht="12.75">
      <c r="A36" s="14">
        <v>5</v>
      </c>
      <c r="B36" s="368" t="s">
        <v>29</v>
      </c>
      <c r="C36" s="14"/>
      <c r="D36" s="14">
        <v>0</v>
      </c>
      <c r="E36" s="14"/>
    </row>
    <row r="37" spans="1:5" ht="12.75">
      <c r="A37" s="14">
        <v>6</v>
      </c>
      <c r="B37" s="395" t="s">
        <v>62</v>
      </c>
      <c r="C37" s="14"/>
      <c r="D37" s="14">
        <v>1022.69</v>
      </c>
      <c r="E37" s="14"/>
    </row>
    <row r="38" spans="1:5" ht="12.75">
      <c r="A38" s="401" t="s">
        <v>74</v>
      </c>
      <c r="B38" s="20" t="s">
        <v>199</v>
      </c>
      <c r="C38" s="14"/>
      <c r="D38" s="19">
        <f>19326.28+2901.76</f>
        <v>22228.04</v>
      </c>
      <c r="E38" s="19"/>
    </row>
    <row r="39" spans="1:5" ht="12.75">
      <c r="A39" s="401" t="s">
        <v>75</v>
      </c>
      <c r="B39" s="20" t="s">
        <v>24</v>
      </c>
      <c r="C39" s="14"/>
      <c r="D39" s="19">
        <f>D22+E22+D28+E28+D31+D38+E38</f>
        <v>121629.90852000003</v>
      </c>
      <c r="E39" s="14"/>
    </row>
    <row r="40" spans="1:5" ht="12.75">
      <c r="A40" s="401" t="s">
        <v>76</v>
      </c>
      <c r="B40" s="395" t="s">
        <v>33</v>
      </c>
      <c r="C40" s="14"/>
      <c r="D40" s="21">
        <f>D19*6%</f>
        <v>10138.2438</v>
      </c>
      <c r="E40" s="14"/>
    </row>
    <row r="41" spans="1:5" ht="12.75">
      <c r="A41" s="401" t="s">
        <v>77</v>
      </c>
      <c r="B41" s="20" t="s">
        <v>73</v>
      </c>
      <c r="C41" s="14"/>
      <c r="D41" s="19">
        <f>D39+D40</f>
        <v>131768.15232000002</v>
      </c>
      <c r="E41" s="14"/>
    </row>
    <row r="42" spans="1:5" ht="12.75">
      <c r="A42" s="15"/>
      <c r="B42" s="20"/>
      <c r="C42" s="14"/>
      <c r="D42" s="19"/>
      <c r="E42" s="14"/>
    </row>
    <row r="43" spans="1:5" ht="12.75">
      <c r="A43" s="401" t="s">
        <v>78</v>
      </c>
      <c r="B43" s="20" t="s">
        <v>64</v>
      </c>
      <c r="C43" s="14"/>
      <c r="D43" s="19">
        <f>(D16+D18)-D41</f>
        <v>-8416.322320000021</v>
      </c>
      <c r="E43" s="14"/>
    </row>
    <row r="44" spans="1:5" ht="12.75">
      <c r="A44" s="401" t="s">
        <v>79</v>
      </c>
      <c r="B44" s="20" t="s">
        <v>48</v>
      </c>
      <c r="C44" s="14"/>
      <c r="D44" s="19">
        <v>-23781.34</v>
      </c>
      <c r="E44" s="14"/>
    </row>
    <row r="45" spans="1:5" ht="12.75">
      <c r="A45" s="468"/>
      <c r="B45" s="426"/>
      <c r="C45" s="3"/>
      <c r="D45" s="429"/>
      <c r="E45" s="3"/>
    </row>
    <row r="46" spans="1:5" ht="12.75">
      <c r="A46" s="468"/>
      <c r="B46" s="426" t="s">
        <v>88</v>
      </c>
      <c r="C46" s="3"/>
      <c r="D46" s="429">
        <f>D10+D17-2737.13</f>
        <v>128394.38</v>
      </c>
      <c r="E46" s="3"/>
    </row>
    <row r="47" spans="1:5" ht="12.75">
      <c r="A47" s="468"/>
      <c r="B47" s="426" t="s">
        <v>143</v>
      </c>
      <c r="C47" s="3"/>
      <c r="D47" s="429">
        <f>37500</f>
        <v>37500</v>
      </c>
      <c r="E47" s="3"/>
    </row>
    <row r="48" spans="1:5" ht="12.75">
      <c r="A48" s="468"/>
      <c r="B48" s="426" t="s">
        <v>129</v>
      </c>
      <c r="C48" s="3"/>
      <c r="D48" s="429">
        <f>D46-D47</f>
        <v>90894.38</v>
      </c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1" t="s">
        <v>31</v>
      </c>
      <c r="C50" s="1"/>
      <c r="D50" s="1" t="s">
        <v>0</v>
      </c>
      <c r="E50" s="1"/>
    </row>
    <row r="51" spans="1:5" ht="12.75">
      <c r="A51" s="3"/>
      <c r="B51" s="1" t="s">
        <v>32</v>
      </c>
      <c r="C51" s="1"/>
      <c r="D51" s="1" t="s">
        <v>27</v>
      </c>
      <c r="E51" s="1"/>
    </row>
  </sheetData>
  <sheetProtection/>
  <mergeCells count="3">
    <mergeCell ref="A5:C5"/>
    <mergeCell ref="D7:E7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zoomScalePageLayoutView="0" workbookViewId="0" topLeftCell="A23">
      <selection activeCell="G34" sqref="G34"/>
    </sheetView>
  </sheetViews>
  <sheetFormatPr defaultColWidth="9.00390625" defaultRowHeight="12.75"/>
  <cols>
    <col min="1" max="1" width="6.25390625" style="0" customWidth="1"/>
    <col min="2" max="2" width="40.875" style="0" customWidth="1"/>
    <col min="3" max="3" width="8.125" style="0" customWidth="1"/>
    <col min="4" max="4" width="10.625" style="0" customWidth="1"/>
    <col min="7" max="7" width="5.25390625" style="0" customWidth="1"/>
    <col min="8" max="8" width="38.00390625" style="0" customWidth="1"/>
    <col min="10" max="10" width="10.625" style="0" customWidth="1"/>
    <col min="11" max="11" width="10.875" style="0" customWidth="1"/>
    <col min="14" max="14" width="6.00390625" style="0" customWidth="1"/>
    <col min="16" max="16" width="37.125" style="0" customWidth="1"/>
    <col min="18" max="18" width="11.25390625" style="0" customWidth="1"/>
    <col min="19" max="19" width="10.75390625" style="0" customWidth="1"/>
    <col min="21" max="21" width="7.25390625" style="0" customWidth="1"/>
    <col min="22" max="22" width="41.375" style="0" customWidth="1"/>
    <col min="24" max="24" width="11.00390625" style="0" customWidth="1"/>
    <col min="25" max="25" width="10.875" style="0" customWidth="1"/>
  </cols>
  <sheetData>
    <row r="1" spans="2:9" ht="15.75">
      <c r="B1" s="356" t="s">
        <v>26</v>
      </c>
      <c r="I1" t="s">
        <v>58</v>
      </c>
    </row>
    <row r="3" ht="12.75">
      <c r="B3" t="s">
        <v>30</v>
      </c>
    </row>
    <row r="4" ht="12.75">
      <c r="B4" t="s">
        <v>194</v>
      </c>
    </row>
    <row r="5" ht="12.75">
      <c r="B5" t="s">
        <v>58</v>
      </c>
    </row>
    <row r="6" spans="1:5" ht="12.75">
      <c r="A6" s="378"/>
      <c r="B6" s="378"/>
      <c r="C6" s="378"/>
      <c r="D6" s="360"/>
      <c r="E6" s="379"/>
    </row>
    <row r="7" spans="1:5" ht="15.75">
      <c r="A7" s="359"/>
      <c r="B7" s="362" t="s">
        <v>1</v>
      </c>
      <c r="C7" s="363" t="s">
        <v>3</v>
      </c>
      <c r="D7" s="577" t="s">
        <v>4</v>
      </c>
      <c r="E7" s="578"/>
    </row>
    <row r="8" spans="1:5" ht="15.75">
      <c r="A8" s="364"/>
      <c r="B8" s="362" t="s">
        <v>2</v>
      </c>
      <c r="C8" s="363" t="s">
        <v>35</v>
      </c>
      <c r="D8" s="579" t="s">
        <v>121</v>
      </c>
      <c r="E8" s="580"/>
    </row>
    <row r="9" spans="1:5" ht="12.75">
      <c r="A9" s="365"/>
      <c r="B9" s="365"/>
      <c r="C9" s="365"/>
      <c r="D9" s="366"/>
      <c r="E9" s="367"/>
    </row>
    <row r="10" spans="1:5" ht="12.75">
      <c r="A10" s="365"/>
      <c r="B10" s="380" t="s">
        <v>80</v>
      </c>
      <c r="C10" s="365"/>
      <c r="D10" s="366">
        <v>175360.33</v>
      </c>
      <c r="E10" s="367"/>
    </row>
    <row r="11" spans="1:5" ht="12.75">
      <c r="A11" s="368"/>
      <c r="B11" s="369" t="s">
        <v>5</v>
      </c>
      <c r="C11" s="368" t="s">
        <v>36</v>
      </c>
      <c r="D11" s="374">
        <v>5523.2</v>
      </c>
      <c r="E11" s="368"/>
    </row>
    <row r="12" spans="1:5" ht="12.75">
      <c r="A12" s="368"/>
      <c r="B12" s="369" t="s">
        <v>6</v>
      </c>
      <c r="C12" s="368" t="s">
        <v>36</v>
      </c>
      <c r="D12" s="368">
        <v>4451.02</v>
      </c>
      <c r="E12" s="368"/>
    </row>
    <row r="13" spans="1:5" ht="12.75">
      <c r="A13" s="368"/>
      <c r="B13" s="370" t="s">
        <v>28</v>
      </c>
      <c r="C13" s="368" t="s">
        <v>9</v>
      </c>
      <c r="D13" s="368">
        <v>168721.68</v>
      </c>
      <c r="E13" s="368"/>
    </row>
    <row r="14" spans="1:5" ht="12.75">
      <c r="A14" s="368"/>
      <c r="B14" s="368"/>
      <c r="C14" s="368"/>
      <c r="D14" s="368"/>
      <c r="E14" s="368"/>
    </row>
    <row r="15" spans="1:5" ht="15.75">
      <c r="A15" s="368"/>
      <c r="B15" s="372" t="s">
        <v>7</v>
      </c>
      <c r="C15" s="368"/>
      <c r="D15" s="368"/>
      <c r="E15" s="368"/>
    </row>
    <row r="16" spans="1:5" ht="12.75">
      <c r="A16" s="368">
        <v>1</v>
      </c>
      <c r="B16" s="368" t="s">
        <v>8</v>
      </c>
      <c r="C16" s="368" t="s">
        <v>9</v>
      </c>
      <c r="D16" s="374">
        <v>165760.16</v>
      </c>
      <c r="E16" s="368"/>
    </row>
    <row r="17" spans="1:5" ht="12.75">
      <c r="A17" s="368">
        <v>2</v>
      </c>
      <c r="B17" s="368" t="s">
        <v>91</v>
      </c>
      <c r="C17" s="368"/>
      <c r="D17" s="374">
        <v>156000</v>
      </c>
      <c r="E17" s="368"/>
    </row>
    <row r="18" spans="1:5" ht="15.75">
      <c r="A18" s="368"/>
      <c r="B18" s="372" t="s">
        <v>10</v>
      </c>
      <c r="C18" s="368"/>
      <c r="D18" s="373">
        <f>D16+D17</f>
        <v>321760.16000000003</v>
      </c>
      <c r="E18" s="368"/>
    </row>
    <row r="19" spans="1:5" ht="15.75">
      <c r="A19" s="368"/>
      <c r="B19" s="372"/>
      <c r="C19" s="368"/>
      <c r="D19" s="371"/>
      <c r="E19" s="368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20">
        <f>D22+D26</f>
        <v>50551.92999999999</v>
      </c>
      <c r="E21" s="19">
        <f>E22</f>
        <v>9891.49358</v>
      </c>
    </row>
    <row r="22" spans="1:5" ht="12.75">
      <c r="A22" s="14">
        <v>1</v>
      </c>
      <c r="B22" s="20" t="s">
        <v>11</v>
      </c>
      <c r="C22" s="395" t="s">
        <v>9</v>
      </c>
      <c r="D22" s="20">
        <f>D23+D25</f>
        <v>48967.78999999999</v>
      </c>
      <c r="E22" s="19">
        <f>E23+E25</f>
        <v>9891.49358</v>
      </c>
    </row>
    <row r="23" spans="1:5" ht="12.75">
      <c r="A23" s="14"/>
      <c r="B23" s="14" t="s">
        <v>12</v>
      </c>
      <c r="C23" s="14"/>
      <c r="D23" s="14">
        <v>44598.81</v>
      </c>
      <c r="E23" s="18">
        <f>D23*20.2%</f>
        <v>9008.95962</v>
      </c>
    </row>
    <row r="24" spans="1:5" ht="12.75">
      <c r="A24" s="14"/>
      <c r="B24" s="14" t="s">
        <v>13</v>
      </c>
      <c r="C24" s="14"/>
      <c r="D24" s="396"/>
      <c r="E24" s="18"/>
    </row>
    <row r="25" spans="1:5" ht="12.75">
      <c r="A25" s="14"/>
      <c r="B25" s="14" t="s">
        <v>155</v>
      </c>
      <c r="C25" s="14"/>
      <c r="D25" s="14">
        <v>4368.98</v>
      </c>
      <c r="E25" s="18">
        <f>D25*20.2%</f>
        <v>882.5339599999999</v>
      </c>
    </row>
    <row r="26" spans="1:5" ht="12.75">
      <c r="A26" s="14">
        <v>2</v>
      </c>
      <c r="B26" s="395" t="s">
        <v>16</v>
      </c>
      <c r="C26" s="14"/>
      <c r="D26" s="14">
        <v>1584.14</v>
      </c>
      <c r="E26" s="18"/>
    </row>
    <row r="27" spans="1:5" ht="12.75">
      <c r="A27" s="401" t="s">
        <v>71</v>
      </c>
      <c r="B27" s="402" t="s">
        <v>69</v>
      </c>
      <c r="C27" s="14"/>
      <c r="D27" s="20">
        <f>D28+D29+D30+D31</f>
        <v>55393.84</v>
      </c>
      <c r="E27" s="19">
        <f>E28</f>
        <v>8291.225339999999</v>
      </c>
    </row>
    <row r="28" spans="1:5" ht="12.75">
      <c r="A28" s="14">
        <v>1</v>
      </c>
      <c r="B28" s="22" t="s">
        <v>203</v>
      </c>
      <c r="C28" s="14"/>
      <c r="D28" s="22">
        <v>41045.67</v>
      </c>
      <c r="E28" s="18">
        <f>D28*20.2%</f>
        <v>8291.225339999999</v>
      </c>
    </row>
    <row r="29" spans="1:5" ht="12.75">
      <c r="A29" s="14">
        <v>2</v>
      </c>
      <c r="B29" s="22" t="s">
        <v>16</v>
      </c>
      <c r="C29" s="14"/>
      <c r="D29" s="22">
        <f>1353.92+2337.45</f>
        <v>3691.37</v>
      </c>
      <c r="E29" s="14"/>
    </row>
    <row r="30" spans="1:5" ht="12.75">
      <c r="A30" s="14">
        <v>3</v>
      </c>
      <c r="B30" s="22" t="s">
        <v>107</v>
      </c>
      <c r="C30" s="14"/>
      <c r="D30" s="22">
        <v>10220.6</v>
      </c>
      <c r="E30" s="14"/>
    </row>
    <row r="31" spans="1:5" ht="12.75">
      <c r="A31" s="14">
        <v>4</v>
      </c>
      <c r="B31" s="22" t="s">
        <v>195</v>
      </c>
      <c r="C31" s="14"/>
      <c r="D31" s="22">
        <v>436.2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D33+D34+D35+D36+D37+D38+D39+D40+D41</f>
        <v>61911.628</v>
      </c>
      <c r="E32" s="19"/>
    </row>
    <row r="33" spans="1:5" ht="12.75">
      <c r="A33" s="14"/>
      <c r="B33" s="14" t="s">
        <v>18</v>
      </c>
      <c r="C33" s="14"/>
      <c r="D33" s="18">
        <f>D18*5%</f>
        <v>16088.008000000002</v>
      </c>
      <c r="E33" s="14"/>
    </row>
    <row r="34" spans="1:5" ht="12.75">
      <c r="A34" s="14"/>
      <c r="B34" s="14" t="s">
        <v>19</v>
      </c>
      <c r="C34" s="14"/>
      <c r="D34" s="14">
        <v>691.45</v>
      </c>
      <c r="E34" s="14"/>
    </row>
    <row r="35" spans="1:5" ht="12.75">
      <c r="A35" s="14"/>
      <c r="B35" s="14" t="s">
        <v>20</v>
      </c>
      <c r="C35" s="14"/>
      <c r="D35" s="14">
        <v>2888</v>
      </c>
      <c r="E35" s="14"/>
    </row>
    <row r="36" spans="1:5" ht="12.75">
      <c r="A36" s="14"/>
      <c r="B36" s="14" t="s">
        <v>21</v>
      </c>
      <c r="C36" s="14"/>
      <c r="D36" s="18">
        <f>6157.65+1243.85</f>
        <v>7401.5</v>
      </c>
      <c r="E36" s="18"/>
    </row>
    <row r="37" spans="1:5" ht="12.75">
      <c r="A37" s="22"/>
      <c r="B37" s="22" t="s">
        <v>172</v>
      </c>
      <c r="C37" s="14"/>
      <c r="D37" s="14">
        <v>27025.24</v>
      </c>
      <c r="E37" s="14"/>
    </row>
    <row r="38" spans="1:5" ht="12.75">
      <c r="A38" s="395"/>
      <c r="B38" s="395" t="s">
        <v>62</v>
      </c>
      <c r="C38" s="14"/>
      <c r="D38" s="14">
        <v>1754.95</v>
      </c>
      <c r="E38" s="14"/>
    </row>
    <row r="39" spans="1:5" ht="12.75">
      <c r="A39" s="14"/>
      <c r="B39" s="22" t="s">
        <v>22</v>
      </c>
      <c r="C39" s="14"/>
      <c r="D39" s="14">
        <v>2979.52</v>
      </c>
      <c r="E39" s="14"/>
    </row>
    <row r="40" spans="1:5" ht="12.75">
      <c r="A40" s="14"/>
      <c r="B40" s="22" t="s">
        <v>191</v>
      </c>
      <c r="C40" s="14"/>
      <c r="D40" s="14">
        <v>1250</v>
      </c>
      <c r="E40" s="14"/>
    </row>
    <row r="41" spans="1:5" ht="12.75">
      <c r="A41" s="14"/>
      <c r="B41" s="395" t="s">
        <v>29</v>
      </c>
      <c r="C41" s="14"/>
      <c r="D41" s="14">
        <f>390.44+1442.52</f>
        <v>1832.96</v>
      </c>
      <c r="E41" s="14"/>
    </row>
    <row r="42" spans="1:5" ht="12.75">
      <c r="A42" s="14">
        <v>4</v>
      </c>
      <c r="B42" s="20" t="s">
        <v>199</v>
      </c>
      <c r="C42" s="14"/>
      <c r="D42" s="19">
        <v>41143.01</v>
      </c>
      <c r="E42" s="19"/>
    </row>
    <row r="43" spans="1:5" ht="12.75">
      <c r="A43" s="14">
        <v>5</v>
      </c>
      <c r="B43" s="20" t="s">
        <v>24</v>
      </c>
      <c r="C43" s="14"/>
      <c r="D43" s="19">
        <f>D21+E21+D27+E27+D32+E32+D42+E42</f>
        <v>227183.12692</v>
      </c>
      <c r="E43" s="14"/>
    </row>
    <row r="44" spans="1:5" ht="12.75">
      <c r="A44" s="14">
        <v>6</v>
      </c>
      <c r="B44" s="14" t="s">
        <v>33</v>
      </c>
      <c r="C44" s="14"/>
      <c r="D44" s="19">
        <f>D18*6%</f>
        <v>19305.6096</v>
      </c>
      <c r="E44" s="14"/>
    </row>
    <row r="45" spans="1:5" ht="12.75">
      <c r="A45" s="14">
        <v>7</v>
      </c>
      <c r="B45" s="20" t="s">
        <v>25</v>
      </c>
      <c r="C45" s="14"/>
      <c r="D45" s="19">
        <f>D43+D44</f>
        <v>246488.73652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>
        <v>8</v>
      </c>
      <c r="B47" s="20" t="s">
        <v>87</v>
      </c>
      <c r="C47" s="14"/>
      <c r="D47" s="19">
        <f>D18-D45</f>
        <v>75271.42348000003</v>
      </c>
      <c r="E47" s="14"/>
    </row>
    <row r="48" spans="1:5" ht="12.75">
      <c r="A48" s="14">
        <v>9</v>
      </c>
      <c r="B48" s="20" t="s">
        <v>47</v>
      </c>
      <c r="C48" s="14"/>
      <c r="D48" s="19">
        <f>D10+D47</f>
        <v>250631.75348</v>
      </c>
      <c r="E48" s="14"/>
    </row>
    <row r="49" spans="1:5" ht="12.75">
      <c r="A49" s="1"/>
      <c r="B49" s="426"/>
      <c r="C49" s="3"/>
      <c r="D49" s="429"/>
      <c r="E49" s="1"/>
    </row>
    <row r="50" spans="2:4" ht="12.75">
      <c r="B50" s="426"/>
      <c r="C50" s="3"/>
      <c r="D50" s="429"/>
    </row>
    <row r="51" spans="2:4" ht="12.75">
      <c r="B51" t="s">
        <v>31</v>
      </c>
      <c r="D51" t="s">
        <v>0</v>
      </c>
    </row>
    <row r="52" spans="2:4" ht="12.75">
      <c r="B52" s="1" t="s">
        <v>32</v>
      </c>
      <c r="C52" s="1"/>
      <c r="D52" s="1" t="s">
        <v>27</v>
      </c>
    </row>
  </sheetData>
  <sheetProtection/>
  <mergeCells count="2">
    <mergeCell ref="D7:E7"/>
    <mergeCell ref="D8:E8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6" max="53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5.125" style="0" customWidth="1"/>
    <col min="2" max="2" width="41.125" style="0" customWidth="1"/>
    <col min="3" max="3" width="8.625" style="0" customWidth="1"/>
    <col min="4" max="4" width="11.875" style="0" customWidth="1"/>
    <col min="5" max="5" width="11.125" style="0" customWidth="1"/>
    <col min="7" max="7" width="3.75390625" style="0" customWidth="1"/>
    <col min="8" max="8" width="41.875" style="0" customWidth="1"/>
    <col min="10" max="10" width="10.00390625" style="0" customWidth="1"/>
    <col min="13" max="13" width="4.25390625" style="0" customWidth="1"/>
    <col min="15" max="15" width="41.75390625" style="0" customWidth="1"/>
    <col min="16" max="16" width="7.875" style="0" customWidth="1"/>
    <col min="17" max="17" width="9.875" style="0" customWidth="1"/>
    <col min="21" max="21" width="40.25390625" style="0" customWidth="1"/>
    <col min="23" max="23" width="10.625" style="0" customWidth="1"/>
    <col min="24" max="24" width="10.37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196</v>
      </c>
    </row>
    <row r="5" ht="12.75">
      <c r="B5" t="s">
        <v>40</v>
      </c>
    </row>
    <row r="6" spans="1:5" ht="12.75">
      <c r="A6" s="378"/>
      <c r="B6" s="378"/>
      <c r="C6" s="378"/>
      <c r="D6" s="360"/>
      <c r="E6" s="379"/>
    </row>
    <row r="7" spans="1:5" ht="15.75">
      <c r="A7" s="359"/>
      <c r="B7" s="362" t="s">
        <v>1</v>
      </c>
      <c r="C7" s="363" t="s">
        <v>3</v>
      </c>
      <c r="D7" s="577" t="s">
        <v>4</v>
      </c>
      <c r="E7" s="578"/>
    </row>
    <row r="8" spans="1:5" ht="15.75">
      <c r="A8" s="364"/>
      <c r="B8" s="362" t="s">
        <v>2</v>
      </c>
      <c r="C8" s="363" t="s">
        <v>35</v>
      </c>
      <c r="D8" s="579" t="s">
        <v>124</v>
      </c>
      <c r="E8" s="580"/>
    </row>
    <row r="9" spans="1:5" ht="12.75">
      <c r="A9" s="365"/>
      <c r="B9" s="365"/>
      <c r="C9" s="365"/>
      <c r="D9" s="366"/>
      <c r="E9" s="367"/>
    </row>
    <row r="10" spans="1:5" ht="12.75">
      <c r="A10" s="365"/>
      <c r="B10" s="380" t="s">
        <v>80</v>
      </c>
      <c r="C10" s="365"/>
      <c r="D10" s="366">
        <v>78941</v>
      </c>
      <c r="E10" s="367"/>
    </row>
    <row r="11" spans="1:5" ht="12.75">
      <c r="A11" s="368"/>
      <c r="B11" s="369" t="s">
        <v>5</v>
      </c>
      <c r="C11" s="368" t="s">
        <v>36</v>
      </c>
      <c r="D11" s="368">
        <v>5531</v>
      </c>
      <c r="E11" s="368"/>
    </row>
    <row r="12" spans="1:5" ht="12.75">
      <c r="A12" s="368"/>
      <c r="B12" s="369" t="s">
        <v>6</v>
      </c>
      <c r="C12" s="368" t="s">
        <v>36</v>
      </c>
      <c r="D12" s="368">
        <v>4431.24</v>
      </c>
      <c r="E12" s="368"/>
    </row>
    <row r="13" spans="1:5" ht="12.75">
      <c r="A13" s="368"/>
      <c r="B13" s="370" t="s">
        <v>28</v>
      </c>
      <c r="C13" s="368" t="s">
        <v>9</v>
      </c>
      <c r="D13" s="368">
        <v>169503.18</v>
      </c>
      <c r="E13" s="368"/>
    </row>
    <row r="14" spans="1:5" ht="12.75">
      <c r="A14" s="368"/>
      <c r="B14" s="368"/>
      <c r="C14" s="368"/>
      <c r="D14" s="368"/>
      <c r="E14" s="368"/>
    </row>
    <row r="15" spans="1:5" ht="15.75">
      <c r="A15" s="368"/>
      <c r="B15" s="372" t="s">
        <v>7</v>
      </c>
      <c r="C15" s="368"/>
      <c r="D15" s="368"/>
      <c r="E15" s="368"/>
    </row>
    <row r="16" spans="1:5" ht="12.75">
      <c r="A16" s="368">
        <v>1</v>
      </c>
      <c r="B16" s="368" t="s">
        <v>8</v>
      </c>
      <c r="C16" s="368" t="s">
        <v>9</v>
      </c>
      <c r="D16" s="374">
        <v>167061.51</v>
      </c>
      <c r="E16" s="368"/>
    </row>
    <row r="17" spans="1:5" ht="12.75">
      <c r="A17" s="368">
        <v>2</v>
      </c>
      <c r="B17" s="368" t="s">
        <v>104</v>
      </c>
      <c r="C17" s="368"/>
      <c r="D17" s="368">
        <v>3000</v>
      </c>
      <c r="E17" s="368"/>
    </row>
    <row r="18" spans="1:5" ht="15.75">
      <c r="A18" s="368"/>
      <c r="B18" s="372" t="s">
        <v>10</v>
      </c>
      <c r="C18" s="368"/>
      <c r="D18" s="373">
        <f>D16+D17</f>
        <v>170061.51</v>
      </c>
      <c r="E18" s="368"/>
    </row>
    <row r="19" spans="1:5" ht="15.75">
      <c r="A19" s="368"/>
      <c r="B19" s="372"/>
      <c r="C19" s="368"/>
      <c r="D19" s="371"/>
      <c r="E19" s="368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20">
        <f>D22+D26</f>
        <v>38836.299999999996</v>
      </c>
      <c r="E21" s="19">
        <f>E22</f>
        <v>7526.358399999999</v>
      </c>
    </row>
    <row r="22" spans="1:5" ht="12.75">
      <c r="A22" s="14">
        <v>1</v>
      </c>
      <c r="B22" s="20" t="s">
        <v>11</v>
      </c>
      <c r="C22" s="395" t="s">
        <v>9</v>
      </c>
      <c r="D22" s="20">
        <f>D23</f>
        <v>37259.2</v>
      </c>
      <c r="E22" s="19">
        <f>E23</f>
        <v>7526.358399999999</v>
      </c>
    </row>
    <row r="23" spans="1:5" ht="12.75">
      <c r="A23" s="14"/>
      <c r="B23" s="14" t="s">
        <v>12</v>
      </c>
      <c r="C23" s="14"/>
      <c r="D23" s="14">
        <v>37259.2</v>
      </c>
      <c r="E23" s="18">
        <f>D23*20.2%</f>
        <v>7526.358399999999</v>
      </c>
    </row>
    <row r="24" spans="1:5" ht="12.75">
      <c r="A24" s="14"/>
      <c r="B24" s="14" t="s">
        <v>13</v>
      </c>
      <c r="C24" s="14"/>
      <c r="D24" s="396"/>
      <c r="E24" s="18"/>
    </row>
    <row r="25" spans="1:5" ht="12.75">
      <c r="A25" s="14"/>
      <c r="B25" s="14" t="s">
        <v>14</v>
      </c>
      <c r="C25" s="14"/>
      <c r="D25" s="14"/>
      <c r="E25" s="18"/>
    </row>
    <row r="26" spans="1:5" ht="12.75">
      <c r="A26" s="14">
        <v>2</v>
      </c>
      <c r="B26" s="395" t="s">
        <v>16</v>
      </c>
      <c r="C26" s="14"/>
      <c r="D26" s="14">
        <v>1577.1</v>
      </c>
      <c r="E26" s="18"/>
    </row>
    <row r="27" spans="1:5" ht="12.75">
      <c r="A27" s="401" t="s">
        <v>71</v>
      </c>
      <c r="B27" s="402" t="s">
        <v>69</v>
      </c>
      <c r="C27" s="14"/>
      <c r="D27" s="20">
        <f>D28+D29+D30+D31</f>
        <v>68241.8</v>
      </c>
      <c r="E27" s="19">
        <f>E28</f>
        <v>8254.380539999998</v>
      </c>
    </row>
    <row r="28" spans="1:5" ht="12.75">
      <c r="A28" s="14">
        <v>1</v>
      </c>
      <c r="B28" s="22" t="s">
        <v>203</v>
      </c>
      <c r="C28" s="14"/>
      <c r="D28" s="22">
        <v>40863.27</v>
      </c>
      <c r="E28" s="18">
        <f>D28*20.2%</f>
        <v>8254.380539999998</v>
      </c>
    </row>
    <row r="29" spans="1:5" ht="12.75">
      <c r="A29" s="14">
        <v>2</v>
      </c>
      <c r="B29" s="22" t="s">
        <v>16</v>
      </c>
      <c r="C29" s="14"/>
      <c r="D29" s="22">
        <f>2216.07+10325.61</f>
        <v>12541.68</v>
      </c>
      <c r="E29" s="14"/>
    </row>
    <row r="30" spans="1:5" ht="12.75">
      <c r="A30" s="14">
        <v>3</v>
      </c>
      <c r="B30" s="22" t="s">
        <v>96</v>
      </c>
      <c r="C30" s="14"/>
      <c r="D30" s="22">
        <v>4616.25</v>
      </c>
      <c r="E30" s="14"/>
    </row>
    <row r="31" spans="1:5" ht="12.75">
      <c r="A31" s="14">
        <v>3</v>
      </c>
      <c r="B31" s="22" t="s">
        <v>107</v>
      </c>
      <c r="C31" s="14"/>
      <c r="D31" s="22">
        <v>10220.6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D33+D34+D35+D36+D37+D38+D39+D40</f>
        <v>33512.815500000004</v>
      </c>
      <c r="E32" s="19"/>
    </row>
    <row r="33" spans="1:5" ht="12.75">
      <c r="A33" s="14"/>
      <c r="B33" s="14" t="s">
        <v>18</v>
      </c>
      <c r="C33" s="14"/>
      <c r="D33" s="18">
        <f>D18*5%</f>
        <v>8503.0755</v>
      </c>
      <c r="E33" s="14"/>
    </row>
    <row r="34" spans="1:5" ht="12.75">
      <c r="A34" s="14"/>
      <c r="B34" s="14" t="s">
        <v>19</v>
      </c>
      <c r="C34" s="14"/>
      <c r="D34" s="14">
        <v>1387.2</v>
      </c>
      <c r="E34" s="14"/>
    </row>
    <row r="35" spans="1:5" ht="12.75">
      <c r="A35" s="14"/>
      <c r="B35" s="14" t="s">
        <v>21</v>
      </c>
      <c r="C35" s="14"/>
      <c r="D35" s="18">
        <f>6130.28+1238.32</f>
        <v>7368.599999999999</v>
      </c>
      <c r="E35" s="18"/>
    </row>
    <row r="36" spans="1:5" ht="12.75">
      <c r="A36" s="14"/>
      <c r="B36" s="22" t="s">
        <v>191</v>
      </c>
      <c r="C36" s="14"/>
      <c r="D36" s="14">
        <v>1250</v>
      </c>
      <c r="E36" s="14"/>
    </row>
    <row r="37" spans="1:5" ht="12.75">
      <c r="A37" s="14"/>
      <c r="B37" s="395" t="s">
        <v>29</v>
      </c>
      <c r="C37" s="14"/>
      <c r="D37" s="14">
        <f>390.44+38.95</f>
        <v>429.39</v>
      </c>
      <c r="E37" s="14"/>
    </row>
    <row r="38" spans="1:5" ht="12.75">
      <c r="A38" s="14"/>
      <c r="B38" s="395" t="s">
        <v>62</v>
      </c>
      <c r="C38" s="14"/>
      <c r="D38" s="14">
        <v>1747.15</v>
      </c>
      <c r="E38" s="14"/>
    </row>
    <row r="39" spans="1:5" ht="12.75">
      <c r="A39" s="14"/>
      <c r="B39" s="395" t="s">
        <v>61</v>
      </c>
      <c r="C39" s="14"/>
      <c r="D39" s="14">
        <v>9861.12</v>
      </c>
      <c r="E39" s="14"/>
    </row>
    <row r="40" spans="1:5" ht="12.75">
      <c r="A40" s="14"/>
      <c r="B40" s="22" t="s">
        <v>22</v>
      </c>
      <c r="C40" s="14"/>
      <c r="D40" s="14">
        <v>2966.28</v>
      </c>
      <c r="E40" s="14"/>
    </row>
    <row r="41" spans="1:5" ht="12.75">
      <c r="A41" s="14">
        <v>4</v>
      </c>
      <c r="B41" s="20" t="s">
        <v>199</v>
      </c>
      <c r="C41" s="14"/>
      <c r="D41" s="19">
        <f>33016.73+4957.32</f>
        <v>37974.05</v>
      </c>
      <c r="E41" s="18"/>
    </row>
    <row r="42" spans="1:5" ht="12.75">
      <c r="A42" s="14">
        <v>5</v>
      </c>
      <c r="B42" s="20" t="s">
        <v>24</v>
      </c>
      <c r="C42" s="14"/>
      <c r="D42" s="19">
        <f>D21+E21+D27+E27+D32+E32+D41+E41</f>
        <v>194345.70444</v>
      </c>
      <c r="E42" s="14"/>
    </row>
    <row r="43" spans="1:5" ht="12.75">
      <c r="A43" s="14">
        <v>6</v>
      </c>
      <c r="B43" s="14" t="s">
        <v>33</v>
      </c>
      <c r="C43" s="14"/>
      <c r="D43" s="19">
        <f>D18*6%</f>
        <v>10203.6906</v>
      </c>
      <c r="E43" s="14"/>
    </row>
    <row r="44" spans="1:5" ht="12.75">
      <c r="A44" s="14">
        <v>7</v>
      </c>
      <c r="B44" s="20" t="s">
        <v>25</v>
      </c>
      <c r="C44" s="14"/>
      <c r="D44" s="19">
        <f>D42+D43</f>
        <v>204549.39504</v>
      </c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>
        <v>8</v>
      </c>
      <c r="B46" s="20" t="s">
        <v>87</v>
      </c>
      <c r="C46" s="14"/>
      <c r="D46" s="19">
        <f>D18-D44</f>
        <v>-34487.885039999994</v>
      </c>
      <c r="E46" s="14"/>
    </row>
    <row r="47" spans="1:5" ht="12.75">
      <c r="A47" s="14">
        <v>9</v>
      </c>
      <c r="B47" s="20" t="s">
        <v>47</v>
      </c>
      <c r="C47" s="14"/>
      <c r="D47" s="19">
        <f>D10+D46</f>
        <v>44453.114960000006</v>
      </c>
      <c r="E47" s="14"/>
    </row>
    <row r="48" spans="1:5" ht="12.75">
      <c r="A48" s="3"/>
      <c r="B48" s="426"/>
      <c r="C48" s="3"/>
      <c r="D48" s="429"/>
      <c r="E48" s="3"/>
    </row>
    <row r="49" spans="1:5" ht="12.75">
      <c r="A49" s="3"/>
      <c r="B49" s="426"/>
      <c r="C49" s="3"/>
      <c r="D49" s="429"/>
      <c r="E49" s="3"/>
    </row>
    <row r="50" spans="1:5" ht="12.75">
      <c r="A50" s="3"/>
      <c r="B50" t="s">
        <v>31</v>
      </c>
      <c r="D50" t="s">
        <v>0</v>
      </c>
      <c r="E50" s="3"/>
    </row>
    <row r="51" spans="1:5" ht="12.75">
      <c r="A51" s="1"/>
      <c r="B51" s="1" t="s">
        <v>32</v>
      </c>
      <c r="C51" s="1"/>
      <c r="D51" s="1" t="s">
        <v>27</v>
      </c>
      <c r="E51" s="1"/>
    </row>
  </sheetData>
  <sheetProtection/>
  <mergeCells count="2">
    <mergeCell ref="D8:E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9">
      <selection activeCell="H42" sqref="H42:H43"/>
    </sheetView>
  </sheetViews>
  <sheetFormatPr defaultColWidth="9.00390625" defaultRowHeight="12.75"/>
  <cols>
    <col min="1" max="1" width="5.25390625" style="0" customWidth="1"/>
    <col min="2" max="2" width="42.375" style="0" customWidth="1"/>
    <col min="3" max="3" width="8.625" style="0" customWidth="1"/>
    <col min="4" max="4" width="11.875" style="0" customWidth="1"/>
    <col min="5" max="5" width="11.125" style="0" customWidth="1"/>
    <col min="7" max="7" width="3.75390625" style="0" customWidth="1"/>
    <col min="8" max="8" width="41.875" style="0" customWidth="1"/>
    <col min="10" max="10" width="10.00390625" style="0" customWidth="1"/>
    <col min="13" max="13" width="4.25390625" style="0" customWidth="1"/>
    <col min="15" max="15" width="41.75390625" style="0" customWidth="1"/>
    <col min="16" max="16" width="7.875" style="0" customWidth="1"/>
    <col min="17" max="17" width="9.875" style="0" customWidth="1"/>
    <col min="21" max="21" width="40.25390625" style="0" customWidth="1"/>
    <col min="23" max="23" width="10.625" style="0" customWidth="1"/>
    <col min="24" max="24" width="10.37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197</v>
      </c>
    </row>
    <row r="5" ht="12.75">
      <c r="B5" t="s">
        <v>59</v>
      </c>
    </row>
    <row r="6" spans="1:5" ht="12.75">
      <c r="A6" s="378"/>
      <c r="B6" s="378"/>
      <c r="C6" s="378"/>
      <c r="D6" s="360"/>
      <c r="E6" s="379"/>
    </row>
    <row r="7" spans="1:5" ht="15.75">
      <c r="A7" s="359"/>
      <c r="B7" s="362" t="s">
        <v>1</v>
      </c>
      <c r="C7" s="363" t="s">
        <v>60</v>
      </c>
      <c r="D7" s="577" t="s">
        <v>4</v>
      </c>
      <c r="E7" s="578"/>
    </row>
    <row r="8" spans="1:5" ht="15.75">
      <c r="A8" s="364"/>
      <c r="B8" s="362" t="s">
        <v>2</v>
      </c>
      <c r="C8" s="363" t="s">
        <v>35</v>
      </c>
      <c r="D8" s="579" t="s">
        <v>121</v>
      </c>
      <c r="E8" s="580"/>
    </row>
    <row r="9" spans="1:5" ht="12.75">
      <c r="A9" s="365"/>
      <c r="B9" s="365"/>
      <c r="C9" s="365"/>
      <c r="D9" s="366"/>
      <c r="E9" s="367"/>
    </row>
    <row r="10" spans="1:5" ht="12.75">
      <c r="A10" s="365"/>
      <c r="B10" s="380" t="s">
        <v>80</v>
      </c>
      <c r="C10" s="365"/>
      <c r="D10" s="366">
        <v>25997.81</v>
      </c>
      <c r="E10" s="367"/>
    </row>
    <row r="11" spans="1:5" ht="12.75">
      <c r="A11" s="368"/>
      <c r="B11" s="369" t="s">
        <v>5</v>
      </c>
      <c r="C11" s="368" t="s">
        <v>36</v>
      </c>
      <c r="D11" s="368">
        <v>5597.1</v>
      </c>
      <c r="E11" s="368"/>
    </row>
    <row r="12" spans="1:5" ht="12.75">
      <c r="A12" s="368"/>
      <c r="B12" s="369" t="s">
        <v>6</v>
      </c>
      <c r="C12" s="368" t="s">
        <v>36</v>
      </c>
      <c r="D12" s="368">
        <v>4207.8</v>
      </c>
      <c r="E12" s="368"/>
    </row>
    <row r="13" spans="1:5" ht="12.75">
      <c r="A13" s="368"/>
      <c r="B13" s="370" t="s">
        <v>28</v>
      </c>
      <c r="C13" s="368" t="s">
        <v>9</v>
      </c>
      <c r="D13" s="368">
        <v>160222.17</v>
      </c>
      <c r="E13" s="368"/>
    </row>
    <row r="14" spans="1:5" ht="12.75">
      <c r="A14" s="368"/>
      <c r="B14" s="368"/>
      <c r="C14" s="368"/>
      <c r="D14" s="368"/>
      <c r="E14" s="368"/>
    </row>
    <row r="15" spans="1:5" ht="15.75">
      <c r="A15" s="368"/>
      <c r="B15" s="372" t="s">
        <v>7</v>
      </c>
      <c r="C15" s="368"/>
      <c r="D15" s="368"/>
      <c r="E15" s="368"/>
    </row>
    <row r="16" spans="1:5" ht="12.75">
      <c r="A16" s="368">
        <v>1</v>
      </c>
      <c r="B16" s="368" t="s">
        <v>8</v>
      </c>
      <c r="C16" s="368" t="s">
        <v>9</v>
      </c>
      <c r="D16" s="368">
        <v>156584.15</v>
      </c>
      <c r="E16" s="368"/>
    </row>
    <row r="17" spans="1:5" ht="12.75">
      <c r="A17" s="368">
        <v>2</v>
      </c>
      <c r="B17" s="368" t="s">
        <v>104</v>
      </c>
      <c r="C17" s="368"/>
      <c r="D17" s="368">
        <v>3000</v>
      </c>
      <c r="E17" s="368"/>
    </row>
    <row r="18" spans="1:5" ht="15.75">
      <c r="A18" s="368"/>
      <c r="B18" s="372" t="s">
        <v>10</v>
      </c>
      <c r="C18" s="368" t="s">
        <v>9</v>
      </c>
      <c r="D18" s="371">
        <f>D16+D17</f>
        <v>159584.15</v>
      </c>
      <c r="E18" s="368"/>
    </row>
    <row r="19" spans="1:5" ht="15.75">
      <c r="A19" s="368"/>
      <c r="B19" s="372"/>
      <c r="C19" s="368"/>
      <c r="D19" s="371"/>
      <c r="E19" s="368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20">
        <f>D22+D26</f>
        <v>40509.21</v>
      </c>
      <c r="E21" s="19">
        <f>E22</f>
        <v>7880.349259999998</v>
      </c>
    </row>
    <row r="22" spans="1:5" ht="12.75">
      <c r="A22" s="14">
        <v>1</v>
      </c>
      <c r="B22" s="20" t="s">
        <v>11</v>
      </c>
      <c r="C22" s="395" t="s">
        <v>9</v>
      </c>
      <c r="D22" s="20">
        <f>D23+D25</f>
        <v>39011.63</v>
      </c>
      <c r="E22" s="19">
        <f>E23+E25</f>
        <v>7880.349259999998</v>
      </c>
    </row>
    <row r="23" spans="1:5" ht="12.75">
      <c r="A23" s="14"/>
      <c r="B23" s="14" t="s">
        <v>12</v>
      </c>
      <c r="C23" s="14"/>
      <c r="D23" s="14">
        <v>35768.84</v>
      </c>
      <c r="E23" s="18">
        <f>D23*20.2%</f>
        <v>7225.305679999999</v>
      </c>
    </row>
    <row r="24" spans="1:5" ht="12.75">
      <c r="A24" s="14"/>
      <c r="B24" s="14" t="s">
        <v>13</v>
      </c>
      <c r="C24" s="14"/>
      <c r="D24" s="396"/>
      <c r="E24" s="18"/>
    </row>
    <row r="25" spans="1:5" ht="12.75">
      <c r="A25" s="14"/>
      <c r="B25" s="14" t="s">
        <v>155</v>
      </c>
      <c r="C25" s="14"/>
      <c r="D25" s="14">
        <v>3242.79</v>
      </c>
      <c r="E25" s="18">
        <f>D25*20.2%</f>
        <v>655.0435799999999</v>
      </c>
    </row>
    <row r="26" spans="1:5" ht="12.75">
      <c r="A26" s="14">
        <v>2</v>
      </c>
      <c r="B26" s="395" t="s">
        <v>16</v>
      </c>
      <c r="C26" s="14"/>
      <c r="D26" s="14">
        <v>1497.58</v>
      </c>
      <c r="E26" s="18"/>
    </row>
    <row r="27" spans="1:5" ht="12.75">
      <c r="A27" s="401" t="s">
        <v>71</v>
      </c>
      <c r="B27" s="402" t="s">
        <v>69</v>
      </c>
      <c r="C27" s="14"/>
      <c r="D27" s="20">
        <f>D28+D29+D30</f>
        <v>44470.19</v>
      </c>
      <c r="E27" s="19">
        <f>E28</f>
        <v>7838.1635799999995</v>
      </c>
    </row>
    <row r="28" spans="1:5" ht="12.75">
      <c r="A28" s="14">
        <v>1</v>
      </c>
      <c r="B28" s="22" t="s">
        <v>203</v>
      </c>
      <c r="C28" s="14"/>
      <c r="D28" s="22">
        <v>38802.79</v>
      </c>
      <c r="E28" s="18">
        <f>D28*20.2%</f>
        <v>7838.1635799999995</v>
      </c>
    </row>
    <row r="29" spans="1:5" ht="12.75">
      <c r="A29" s="14">
        <v>2</v>
      </c>
      <c r="B29" s="22" t="s">
        <v>16</v>
      </c>
      <c r="C29" s="14"/>
      <c r="D29" s="22">
        <v>5255.08</v>
      </c>
      <c r="E29" s="14"/>
    </row>
    <row r="30" spans="1:5" ht="12.75">
      <c r="A30" s="14">
        <v>3</v>
      </c>
      <c r="B30" s="22" t="s">
        <v>96</v>
      </c>
      <c r="C30" s="14"/>
      <c r="D30" s="22">
        <v>412.32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D32+D33+D34+D35++D37+D38+D39+D36</f>
        <v>23726.427499999998</v>
      </c>
      <c r="E31" s="19"/>
    </row>
    <row r="32" spans="1:5" ht="12.75">
      <c r="A32" s="14"/>
      <c r="B32" s="14" t="s">
        <v>18</v>
      </c>
      <c r="C32" s="14"/>
      <c r="D32" s="18">
        <f>D18*5%</f>
        <v>7979.2075</v>
      </c>
      <c r="E32" s="14"/>
    </row>
    <row r="33" spans="1:5" ht="12.75">
      <c r="A33" s="14"/>
      <c r="B33" s="14" t="s">
        <v>19</v>
      </c>
      <c r="C33" s="14"/>
      <c r="D33" s="14">
        <v>957.02</v>
      </c>
      <c r="E33" s="14"/>
    </row>
    <row r="34" spans="1:5" ht="12.75">
      <c r="A34" s="14"/>
      <c r="B34" s="395" t="s">
        <v>20</v>
      </c>
      <c r="C34" s="14"/>
      <c r="D34" s="14">
        <v>2888</v>
      </c>
      <c r="E34" s="14"/>
    </row>
    <row r="35" spans="1:5" ht="12.75">
      <c r="A35" s="14"/>
      <c r="B35" s="14" t="s">
        <v>21</v>
      </c>
      <c r="C35" s="14"/>
      <c r="D35" s="18">
        <f>5821.17+1175.88</f>
        <v>6997.05</v>
      </c>
      <c r="E35" s="18"/>
    </row>
    <row r="36" spans="1:5" ht="12.75">
      <c r="A36" s="14"/>
      <c r="B36" s="395" t="s">
        <v>29</v>
      </c>
      <c r="C36" s="14"/>
      <c r="D36" s="14">
        <f>390.44+38.95</f>
        <v>429.39</v>
      </c>
      <c r="E36" s="14"/>
    </row>
    <row r="37" spans="1:5" ht="12.75">
      <c r="A37" s="14"/>
      <c r="B37" s="22" t="s">
        <v>62</v>
      </c>
      <c r="C37" s="14"/>
      <c r="D37" s="14">
        <v>1659.05</v>
      </c>
      <c r="E37" s="14"/>
    </row>
    <row r="38" spans="1:5" ht="12.75">
      <c r="A38" s="14"/>
      <c r="B38" s="395" t="s">
        <v>61</v>
      </c>
      <c r="C38" s="14"/>
      <c r="D38" s="14">
        <v>0</v>
      </c>
      <c r="E38" s="14"/>
    </row>
    <row r="39" spans="1:5" ht="12.75">
      <c r="A39" s="14"/>
      <c r="B39" s="22" t="s">
        <v>22</v>
      </c>
      <c r="C39" s="14"/>
      <c r="D39" s="14">
        <v>2816.71</v>
      </c>
      <c r="E39" s="14"/>
    </row>
    <row r="40" spans="1:5" ht="12.75">
      <c r="A40" s="14">
        <v>4</v>
      </c>
      <c r="B40" s="20" t="s">
        <v>199</v>
      </c>
      <c r="C40" s="14"/>
      <c r="D40" s="19">
        <f>31351.87+4707.36</f>
        <v>36059.229999999996</v>
      </c>
      <c r="E40" s="19"/>
    </row>
    <row r="41" spans="1:5" ht="12.75">
      <c r="A41" s="14"/>
      <c r="B41" s="22" t="s">
        <v>82</v>
      </c>
      <c r="C41" s="22"/>
      <c r="D41" s="21">
        <v>23303.75</v>
      </c>
      <c r="E41" s="18">
        <f>D41*20.2%</f>
        <v>4707.3575</v>
      </c>
    </row>
    <row r="42" spans="1:5" ht="12.75">
      <c r="A42" s="14"/>
      <c r="B42" s="14" t="s">
        <v>89</v>
      </c>
      <c r="C42" s="14"/>
      <c r="D42" s="21">
        <v>8048.12</v>
      </c>
      <c r="E42" s="14"/>
    </row>
    <row r="43" spans="1:5" ht="12.75">
      <c r="A43" s="14">
        <v>5</v>
      </c>
      <c r="B43" s="20" t="s">
        <v>24</v>
      </c>
      <c r="C43" s="14"/>
      <c r="D43" s="19">
        <f>D21+E21+D27+E27+D31+E31+D40+E40</f>
        <v>160483.57033999998</v>
      </c>
      <c r="E43" s="14"/>
    </row>
    <row r="44" spans="1:5" ht="12.75">
      <c r="A44" s="14">
        <v>6</v>
      </c>
      <c r="B44" s="14" t="s">
        <v>33</v>
      </c>
      <c r="C44" s="14"/>
      <c r="D44" s="19">
        <f>D18*6%</f>
        <v>9575.048999999999</v>
      </c>
      <c r="E44" s="14"/>
    </row>
    <row r="45" spans="1:5" ht="12.75">
      <c r="A45" s="14">
        <v>7</v>
      </c>
      <c r="B45" s="20" t="s">
        <v>25</v>
      </c>
      <c r="C45" s="14"/>
      <c r="D45" s="19">
        <f>D43+D44</f>
        <v>170058.61933999998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>
        <v>8</v>
      </c>
      <c r="B47" s="20" t="s">
        <v>87</v>
      </c>
      <c r="C47" s="14"/>
      <c r="D47" s="19">
        <f>D18-D45</f>
        <v>-10474.469339999981</v>
      </c>
      <c r="E47" s="14"/>
    </row>
    <row r="48" spans="1:5" ht="12.75">
      <c r="A48" s="14">
        <v>9</v>
      </c>
      <c r="B48" s="20" t="s">
        <v>47</v>
      </c>
      <c r="C48" s="14"/>
      <c r="D48" s="19">
        <f>D10+D47</f>
        <v>15523.34066000002</v>
      </c>
      <c r="E48" s="14"/>
    </row>
    <row r="49" spans="1:5" ht="12.75">
      <c r="A49" s="3"/>
      <c r="B49" s="426"/>
      <c r="C49" s="3"/>
      <c r="D49" s="429"/>
      <c r="E49" s="3"/>
    </row>
    <row r="50" spans="1:5" ht="12.75">
      <c r="A50" s="3"/>
      <c r="B50" s="426"/>
      <c r="C50" s="3"/>
      <c r="D50" s="429"/>
      <c r="E50" s="3"/>
    </row>
    <row r="51" spans="1:5" ht="12.75">
      <c r="A51" s="1"/>
      <c r="B51" s="1" t="s">
        <v>31</v>
      </c>
      <c r="C51" s="1"/>
      <c r="D51" s="1" t="s">
        <v>0</v>
      </c>
      <c r="E51" s="1"/>
    </row>
    <row r="52" spans="1:5" ht="12.75">
      <c r="A52" s="1"/>
      <c r="B52" s="1" t="s">
        <v>32</v>
      </c>
      <c r="C52" s="1"/>
      <c r="D52" s="1" t="s">
        <v>27</v>
      </c>
      <c r="E52" s="1"/>
    </row>
  </sheetData>
  <sheetProtection/>
  <mergeCells count="2">
    <mergeCell ref="D8:E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1">
      <selection activeCell="H40" sqref="H40"/>
    </sheetView>
  </sheetViews>
  <sheetFormatPr defaultColWidth="9.00390625" defaultRowHeight="12.75"/>
  <cols>
    <col min="1" max="1" width="5.875" style="0" customWidth="1"/>
    <col min="2" max="2" width="41.375" style="0" customWidth="1"/>
    <col min="3" max="3" width="8.625" style="0" customWidth="1"/>
    <col min="4" max="4" width="11.875" style="0" customWidth="1"/>
    <col min="5" max="5" width="11.125" style="0" customWidth="1"/>
    <col min="7" max="7" width="3.75390625" style="0" customWidth="1"/>
    <col min="8" max="8" width="41.875" style="0" customWidth="1"/>
    <col min="10" max="10" width="10.00390625" style="0" customWidth="1"/>
    <col min="13" max="13" width="4.25390625" style="0" customWidth="1"/>
    <col min="15" max="15" width="41.75390625" style="0" customWidth="1"/>
    <col min="16" max="16" width="7.875" style="0" customWidth="1"/>
    <col min="17" max="17" width="9.875" style="0" customWidth="1"/>
    <col min="21" max="21" width="40.25390625" style="0" customWidth="1"/>
    <col min="23" max="23" width="10.625" style="0" customWidth="1"/>
    <col min="24" max="24" width="10.37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198</v>
      </c>
    </row>
    <row r="5" ht="12.75">
      <c r="B5" t="s">
        <v>41</v>
      </c>
    </row>
    <row r="6" spans="1:5" ht="12.75">
      <c r="A6" s="378"/>
      <c r="B6" s="378"/>
      <c r="C6" s="378"/>
      <c r="D6" s="360"/>
      <c r="E6" s="379"/>
    </row>
    <row r="7" spans="1:5" ht="15.75">
      <c r="A7" s="359"/>
      <c r="B7" s="362" t="s">
        <v>1</v>
      </c>
      <c r="C7" s="363" t="s">
        <v>3</v>
      </c>
      <c r="D7" s="577" t="s">
        <v>4</v>
      </c>
      <c r="E7" s="578"/>
    </row>
    <row r="8" spans="1:5" ht="15.75">
      <c r="A8" s="364"/>
      <c r="B8" s="362" t="s">
        <v>2</v>
      </c>
      <c r="C8" s="363" t="s">
        <v>35</v>
      </c>
      <c r="D8" s="579" t="s">
        <v>121</v>
      </c>
      <c r="E8" s="580"/>
    </row>
    <row r="9" spans="1:5" ht="12.75">
      <c r="A9" s="365"/>
      <c r="B9" s="365"/>
      <c r="C9" s="365"/>
      <c r="D9" s="366"/>
      <c r="E9" s="367"/>
    </row>
    <row r="10" spans="1:5" ht="12.75">
      <c r="A10" s="365"/>
      <c r="B10" s="337" t="s">
        <v>98</v>
      </c>
      <c r="C10" s="365"/>
      <c r="D10" s="366">
        <v>-32191.04</v>
      </c>
      <c r="E10" s="367"/>
    </row>
    <row r="11" spans="1:5" ht="12.75">
      <c r="A11" s="365"/>
      <c r="B11" s="422" t="s">
        <v>127</v>
      </c>
      <c r="C11" s="365"/>
      <c r="D11" s="366">
        <v>76253.07</v>
      </c>
      <c r="E11" s="367"/>
    </row>
    <row r="12" spans="1:5" ht="12.75">
      <c r="A12" s="368"/>
      <c r="B12" s="369" t="s">
        <v>5</v>
      </c>
      <c r="C12" s="369" t="s">
        <v>36</v>
      </c>
      <c r="D12" s="374">
        <v>4619.5</v>
      </c>
      <c r="E12" s="368"/>
    </row>
    <row r="13" spans="1:5" ht="12.75">
      <c r="A13" s="368"/>
      <c r="B13" s="369" t="s">
        <v>6</v>
      </c>
      <c r="C13" s="369" t="s">
        <v>36</v>
      </c>
      <c r="D13" s="374">
        <v>3701.3</v>
      </c>
      <c r="E13" s="368"/>
    </row>
    <row r="14" spans="1:5" ht="12.75">
      <c r="A14" s="368"/>
      <c r="B14" s="370" t="s">
        <v>28</v>
      </c>
      <c r="C14" s="369" t="s">
        <v>9</v>
      </c>
      <c r="D14" s="374">
        <v>183349.5</v>
      </c>
      <c r="E14" s="368"/>
    </row>
    <row r="15" spans="1:5" ht="12.75">
      <c r="A15" s="368"/>
      <c r="B15" s="368"/>
      <c r="C15" s="369"/>
      <c r="D15" s="374"/>
      <c r="E15" s="368"/>
    </row>
    <row r="16" spans="1:5" ht="15.75">
      <c r="A16" s="368"/>
      <c r="B16" s="372" t="s">
        <v>7</v>
      </c>
      <c r="C16" s="369"/>
      <c r="D16" s="374"/>
      <c r="E16" s="368"/>
    </row>
    <row r="17" spans="1:5" ht="12.75">
      <c r="A17" s="368">
        <v>1</v>
      </c>
      <c r="B17" s="368" t="s">
        <v>8</v>
      </c>
      <c r="C17" s="369" t="s">
        <v>9</v>
      </c>
      <c r="D17" s="374">
        <v>111378.64</v>
      </c>
      <c r="E17" s="368"/>
    </row>
    <row r="18" spans="1:5" ht="12.75">
      <c r="A18" s="368">
        <v>2</v>
      </c>
      <c r="B18" s="368" t="s">
        <v>88</v>
      </c>
      <c r="C18" s="369"/>
      <c r="D18" s="374">
        <v>41711</v>
      </c>
      <c r="E18" s="368"/>
    </row>
    <row r="19" spans="1:5" ht="15.75">
      <c r="A19" s="368"/>
      <c r="B19" s="372" t="s">
        <v>10</v>
      </c>
      <c r="C19" s="369"/>
      <c r="D19" s="373">
        <f>D17+D18</f>
        <v>153089.64</v>
      </c>
      <c r="E19" s="368"/>
    </row>
    <row r="20" spans="1:5" ht="15.75">
      <c r="A20" s="368"/>
      <c r="B20" s="372"/>
      <c r="C20" s="369"/>
      <c r="D20" s="371"/>
      <c r="E20" s="36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20">
        <f>D23+D27</f>
        <v>24165.99</v>
      </c>
      <c r="E22" s="19">
        <f>E23</f>
        <v>4615.43336</v>
      </c>
    </row>
    <row r="23" spans="1:5" ht="12.75">
      <c r="A23" s="14">
        <v>1</v>
      </c>
      <c r="B23" s="20" t="s">
        <v>11</v>
      </c>
      <c r="C23" s="395" t="s">
        <v>9</v>
      </c>
      <c r="D23" s="20">
        <f>D24</f>
        <v>22848.68</v>
      </c>
      <c r="E23" s="19">
        <f>E24</f>
        <v>4615.43336</v>
      </c>
    </row>
    <row r="24" spans="1:5" ht="12.75">
      <c r="A24" s="14"/>
      <c r="B24" s="14" t="s">
        <v>12</v>
      </c>
      <c r="C24" s="14"/>
      <c r="D24" s="14">
        <v>22848.68</v>
      </c>
      <c r="E24" s="18">
        <f>D24*20.2%</f>
        <v>4615.43336</v>
      </c>
    </row>
    <row r="25" spans="1:5" ht="12.75">
      <c r="A25" s="14"/>
      <c r="B25" s="14" t="s">
        <v>13</v>
      </c>
      <c r="C25" s="14"/>
      <c r="D25" s="396"/>
      <c r="E25" s="18"/>
    </row>
    <row r="26" spans="1:5" ht="12.75">
      <c r="A26" s="14"/>
      <c r="B26" s="14" t="s">
        <v>14</v>
      </c>
      <c r="C26" s="14"/>
      <c r="D26" s="14"/>
      <c r="E26" s="18"/>
    </row>
    <row r="27" spans="1:5" ht="12.75">
      <c r="A27" s="14">
        <v>2</v>
      </c>
      <c r="B27" s="395" t="s">
        <v>16</v>
      </c>
      <c r="C27" s="14"/>
      <c r="D27" s="14">
        <v>1317.31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D29+D30+D31</f>
        <v>39362.14000000001</v>
      </c>
      <c r="E28" s="19">
        <f>E29</f>
        <v>6805.07094</v>
      </c>
    </row>
    <row r="29" spans="1:5" ht="12.75">
      <c r="A29" s="14">
        <v>1</v>
      </c>
      <c r="B29" s="22" t="s">
        <v>203</v>
      </c>
      <c r="C29" s="14"/>
      <c r="D29" s="22">
        <v>33688.47</v>
      </c>
      <c r="E29" s="18">
        <f>D29*20.2%</f>
        <v>6805.07094</v>
      </c>
    </row>
    <row r="30" spans="1:5" ht="12.75">
      <c r="A30" s="14">
        <v>2</v>
      </c>
      <c r="B30" s="22" t="s">
        <v>16</v>
      </c>
      <c r="C30" s="14"/>
      <c r="D30" s="22">
        <v>4437.77</v>
      </c>
      <c r="E30" s="14"/>
    </row>
    <row r="31" spans="1:5" ht="12.75">
      <c r="A31" s="14">
        <v>3</v>
      </c>
      <c r="B31" s="22" t="s">
        <v>96</v>
      </c>
      <c r="C31" s="14"/>
      <c r="D31" s="22">
        <v>1235.9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D33+D34+D35+D36+D37+D38</f>
        <v>25894.17308</v>
      </c>
      <c r="E32" s="19"/>
    </row>
    <row r="33" spans="1:5" ht="12.75">
      <c r="A33" s="14"/>
      <c r="B33" s="14" t="s">
        <v>18</v>
      </c>
      <c r="C33" s="14"/>
      <c r="D33" s="18">
        <f>D19*4.7%</f>
        <v>7195.21308</v>
      </c>
      <c r="E33" s="14"/>
    </row>
    <row r="34" spans="1:5" ht="12.75">
      <c r="A34" s="14"/>
      <c r="B34" s="14" t="s">
        <v>21</v>
      </c>
      <c r="C34" s="14"/>
      <c r="D34" s="18">
        <f>5053.92+1020.89</f>
        <v>6074.81</v>
      </c>
      <c r="E34" s="18"/>
    </row>
    <row r="35" spans="1:5" ht="12.75">
      <c r="A35" s="14"/>
      <c r="B35" s="395" t="s">
        <v>29</v>
      </c>
      <c r="C35" s="14"/>
      <c r="D35" s="14">
        <f>390.44+38.95</f>
        <v>429.39</v>
      </c>
      <c r="E35" s="14"/>
    </row>
    <row r="36" spans="1:5" ht="12.75">
      <c r="A36" s="14"/>
      <c r="B36" s="395" t="s">
        <v>62</v>
      </c>
      <c r="C36" s="14"/>
      <c r="D36" s="14">
        <v>1434.77</v>
      </c>
      <c r="E36" s="14"/>
    </row>
    <row r="37" spans="1:5" ht="12.75">
      <c r="A37" s="14"/>
      <c r="B37" s="395" t="s">
        <v>61</v>
      </c>
      <c r="C37" s="14"/>
      <c r="D37" s="14">
        <v>8324.06</v>
      </c>
      <c r="E37" s="14"/>
    </row>
    <row r="38" spans="1:5" ht="12.75">
      <c r="A38" s="14"/>
      <c r="B38" s="22" t="s">
        <v>22</v>
      </c>
      <c r="C38" s="14"/>
      <c r="D38" s="14">
        <v>2435.93</v>
      </c>
      <c r="E38" s="14"/>
    </row>
    <row r="39" spans="1:5" ht="12.75">
      <c r="A39" s="14">
        <v>4</v>
      </c>
      <c r="B39" s="20" t="s">
        <v>199</v>
      </c>
      <c r="C39" s="14"/>
      <c r="D39" s="19">
        <f>27192.37+4086.91</f>
        <v>31279.28</v>
      </c>
      <c r="E39" s="19"/>
    </row>
    <row r="40" spans="1:5" ht="12.75">
      <c r="A40" s="14">
        <v>5</v>
      </c>
      <c r="B40" s="20" t="s">
        <v>24</v>
      </c>
      <c r="C40" s="14"/>
      <c r="D40" s="19">
        <f>D22+E22+D28+E28+D32+E32+D39+E39</f>
        <v>132122.08738</v>
      </c>
      <c r="E40" s="14"/>
    </row>
    <row r="41" spans="1:5" ht="12.75">
      <c r="A41" s="14">
        <v>6</v>
      </c>
      <c r="B41" s="14" t="s">
        <v>33</v>
      </c>
      <c r="C41" s="14"/>
      <c r="D41" s="19">
        <f>D19*6%</f>
        <v>9185.3784</v>
      </c>
      <c r="E41" s="14"/>
    </row>
    <row r="42" spans="1:5" ht="12.75">
      <c r="A42" s="14">
        <v>7</v>
      </c>
      <c r="B42" s="20" t="s">
        <v>25</v>
      </c>
      <c r="C42" s="14"/>
      <c r="D42" s="19">
        <f>D40+D41</f>
        <v>141307.46578</v>
      </c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>
        <v>8</v>
      </c>
      <c r="B44" s="20" t="s">
        <v>87</v>
      </c>
      <c r="C44" s="14"/>
      <c r="D44" s="19">
        <f>D17-D42</f>
        <v>-29928.82578</v>
      </c>
      <c r="E44" s="14"/>
    </row>
    <row r="45" spans="1:5" ht="12.75">
      <c r="A45" s="14">
        <v>9</v>
      </c>
      <c r="B45" s="20" t="s">
        <v>47</v>
      </c>
      <c r="C45" s="14"/>
      <c r="D45" s="19">
        <f>D10+D44</f>
        <v>-62119.86578</v>
      </c>
      <c r="E45" s="14"/>
    </row>
    <row r="46" spans="1:5" ht="12.75">
      <c r="A46" s="3"/>
      <c r="B46" s="426"/>
      <c r="C46" s="3"/>
      <c r="D46" s="429"/>
      <c r="E46" s="3"/>
    </row>
    <row r="47" spans="1:5" ht="12.75">
      <c r="A47" s="3"/>
      <c r="B47" s="426" t="s">
        <v>88</v>
      </c>
      <c r="C47" s="3"/>
      <c r="D47" s="429">
        <f>D11+D18</f>
        <v>117964.07</v>
      </c>
      <c r="E47" s="3"/>
    </row>
    <row r="48" spans="1:5" ht="12.75">
      <c r="A48" s="3"/>
      <c r="B48" s="426"/>
      <c r="C48" s="3"/>
      <c r="D48" s="429"/>
      <c r="E48" s="3"/>
    </row>
    <row r="49" spans="1:5" ht="12.75">
      <c r="A49" s="3"/>
      <c r="B49" t="s">
        <v>31</v>
      </c>
      <c r="D49" t="s">
        <v>0</v>
      </c>
      <c r="E49" s="3"/>
    </row>
    <row r="50" spans="1:5" ht="12.75">
      <c r="A50" s="1"/>
      <c r="B50" s="1" t="s">
        <v>32</v>
      </c>
      <c r="C50" s="1"/>
      <c r="D50" s="1" t="s">
        <v>27</v>
      </c>
      <c r="E50" s="1"/>
    </row>
  </sheetData>
  <sheetProtection/>
  <mergeCells count="2">
    <mergeCell ref="D8:E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6.875" style="0" customWidth="1"/>
    <col min="2" max="2" width="39.00390625" style="0" customWidth="1"/>
    <col min="3" max="3" width="8.125" style="0" customWidth="1"/>
    <col min="4" max="4" width="12.25390625" style="0" customWidth="1"/>
    <col min="5" max="6" width="10.875" style="0" customWidth="1"/>
    <col min="7" max="7" width="3.75390625" style="0" customWidth="1"/>
    <col min="8" max="8" width="40.25390625" style="0" customWidth="1"/>
    <col min="15" max="15" width="40.00390625" style="0" customWidth="1"/>
    <col min="17" max="17" width="10.75390625" style="0" customWidth="1"/>
    <col min="21" max="21" width="43.00390625" style="0" customWidth="1"/>
    <col min="23" max="23" width="11.75390625" style="0" customWidth="1"/>
    <col min="24" max="24" width="10.75390625" style="0" customWidth="1"/>
  </cols>
  <sheetData>
    <row r="1" ht="15.75">
      <c r="B1" s="356" t="s">
        <v>26</v>
      </c>
    </row>
    <row r="3" ht="12.75">
      <c r="B3" t="s">
        <v>30</v>
      </c>
    </row>
    <row r="4" ht="12.75">
      <c r="B4" t="s">
        <v>198</v>
      </c>
    </row>
    <row r="5" ht="12.75">
      <c r="B5" t="s">
        <v>41</v>
      </c>
    </row>
    <row r="6" spans="1:6" ht="12.75">
      <c r="A6" s="378"/>
      <c r="B6" s="378"/>
      <c r="C6" s="378"/>
      <c r="D6" s="360"/>
      <c r="E6" s="379"/>
      <c r="F6" s="375"/>
    </row>
    <row r="7" spans="1:6" ht="15.75">
      <c r="A7" s="359"/>
      <c r="B7" s="362" t="s">
        <v>1</v>
      </c>
      <c r="C7" s="363" t="s">
        <v>3</v>
      </c>
      <c r="D7" s="577" t="s">
        <v>4</v>
      </c>
      <c r="E7" s="578"/>
      <c r="F7" s="397"/>
    </row>
    <row r="8" spans="1:6" ht="15.75">
      <c r="A8" s="364"/>
      <c r="B8" s="362" t="s">
        <v>2</v>
      </c>
      <c r="C8" s="363" t="s">
        <v>35</v>
      </c>
      <c r="D8" s="579" t="s">
        <v>121</v>
      </c>
      <c r="E8" s="580"/>
      <c r="F8" s="398"/>
    </row>
    <row r="9" spans="1:6" ht="12.75">
      <c r="A9" s="365"/>
      <c r="B9" s="365"/>
      <c r="C9" s="365"/>
      <c r="D9" s="366"/>
      <c r="E9" s="367"/>
      <c r="F9" s="375"/>
    </row>
    <row r="10" spans="1:6" ht="12.75">
      <c r="A10" s="365"/>
      <c r="B10" s="337" t="s">
        <v>98</v>
      </c>
      <c r="C10" s="365"/>
      <c r="D10" s="366">
        <v>-32191.04</v>
      </c>
      <c r="E10" s="367"/>
      <c r="F10" s="375"/>
    </row>
    <row r="11" spans="1:6" ht="12.75">
      <c r="A11" s="365"/>
      <c r="B11" s="422" t="s">
        <v>127</v>
      </c>
      <c r="C11" s="365"/>
      <c r="D11" s="366">
        <v>76253.07</v>
      </c>
      <c r="E11" s="367"/>
      <c r="F11" s="375"/>
    </row>
    <row r="12" spans="1:6" ht="12.75">
      <c r="A12" s="368"/>
      <c r="B12" s="369" t="s">
        <v>5</v>
      </c>
      <c r="C12" s="369" t="s">
        <v>36</v>
      </c>
      <c r="D12" s="374">
        <v>4619.5</v>
      </c>
      <c r="E12" s="368"/>
      <c r="F12" s="375"/>
    </row>
    <row r="13" spans="1:6" ht="12.75">
      <c r="A13" s="368"/>
      <c r="B13" s="369" t="s">
        <v>6</v>
      </c>
      <c r="C13" s="369" t="s">
        <v>36</v>
      </c>
      <c r="D13" s="374">
        <v>3701.3</v>
      </c>
      <c r="E13" s="368"/>
      <c r="F13" s="375"/>
    </row>
    <row r="14" spans="1:6" ht="12.75">
      <c r="A14" s="368"/>
      <c r="B14" s="370" t="s">
        <v>28</v>
      </c>
      <c r="C14" s="369" t="s">
        <v>9</v>
      </c>
      <c r="D14" s="374">
        <v>183349.5</v>
      </c>
      <c r="E14" s="368"/>
      <c r="F14" s="375"/>
    </row>
    <row r="15" spans="1:6" ht="12.75">
      <c r="A15" s="368"/>
      <c r="B15" s="368"/>
      <c r="C15" s="369"/>
      <c r="D15" s="374"/>
      <c r="E15" s="368"/>
      <c r="F15" s="375"/>
    </row>
    <row r="16" spans="1:6" ht="15.75">
      <c r="A16" s="368"/>
      <c r="B16" s="372" t="s">
        <v>7</v>
      </c>
      <c r="C16" s="369"/>
      <c r="D16" s="374"/>
      <c r="E16" s="368"/>
      <c r="F16" s="375"/>
    </row>
    <row r="17" spans="1:6" ht="12.75">
      <c r="A17" s="368">
        <v>1</v>
      </c>
      <c r="B17" s="368" t="s">
        <v>8</v>
      </c>
      <c r="C17" s="369" t="s">
        <v>9</v>
      </c>
      <c r="D17" s="374">
        <v>111378.64</v>
      </c>
      <c r="E17" s="368"/>
      <c r="F17" s="375"/>
    </row>
    <row r="18" spans="1:6" ht="12.75">
      <c r="A18" s="368">
        <v>2</v>
      </c>
      <c r="B18" s="368" t="s">
        <v>88</v>
      </c>
      <c r="C18" s="369"/>
      <c r="D18" s="374">
        <v>41711</v>
      </c>
      <c r="E18" s="368"/>
      <c r="F18" s="375"/>
    </row>
    <row r="19" spans="1:6" ht="15.75">
      <c r="A19" s="368"/>
      <c r="B19" s="372" t="s">
        <v>10</v>
      </c>
      <c r="C19" s="369"/>
      <c r="D19" s="373">
        <f>D17+D18</f>
        <v>153089.64</v>
      </c>
      <c r="E19" s="368"/>
      <c r="F19" s="383"/>
    </row>
    <row r="20" spans="1:6" ht="15.75">
      <c r="A20" s="368"/>
      <c r="B20" s="372"/>
      <c r="C20" s="369"/>
      <c r="D20" s="371"/>
      <c r="E20" s="368"/>
      <c r="F20" s="399"/>
    </row>
    <row r="21" spans="1:6" ht="15.75">
      <c r="A21" s="14"/>
      <c r="B21" s="17" t="s">
        <v>66</v>
      </c>
      <c r="C21" s="14"/>
      <c r="D21" s="20"/>
      <c r="E21" s="51" t="s">
        <v>15</v>
      </c>
      <c r="F21" s="399"/>
    </row>
    <row r="22" spans="1:6" ht="12.75">
      <c r="A22" s="401" t="s">
        <v>67</v>
      </c>
      <c r="B22" s="16" t="s">
        <v>68</v>
      </c>
      <c r="C22" s="14"/>
      <c r="D22" s="20">
        <f>D23+D27</f>
        <v>24165.99</v>
      </c>
      <c r="E22" s="19">
        <f>E23</f>
        <v>4615.43336</v>
      </c>
      <c r="F22" s="399"/>
    </row>
    <row r="23" spans="1:6" ht="12.75">
      <c r="A23" s="14">
        <v>1</v>
      </c>
      <c r="B23" s="20" t="s">
        <v>11</v>
      </c>
      <c r="C23" s="395" t="s">
        <v>9</v>
      </c>
      <c r="D23" s="20">
        <f>D24</f>
        <v>22848.68</v>
      </c>
      <c r="E23" s="19">
        <f>E24</f>
        <v>4615.43336</v>
      </c>
      <c r="F23" s="399"/>
    </row>
    <row r="24" spans="1:6" ht="12.75">
      <c r="A24" s="14"/>
      <c r="B24" s="14" t="s">
        <v>12</v>
      </c>
      <c r="C24" s="14"/>
      <c r="D24" s="14">
        <v>22848.68</v>
      </c>
      <c r="E24" s="18">
        <f>D24*20.2%</f>
        <v>4615.43336</v>
      </c>
      <c r="F24" s="399"/>
    </row>
    <row r="25" spans="1:6" ht="12.75">
      <c r="A25" s="14"/>
      <c r="B25" s="14" t="s">
        <v>13</v>
      </c>
      <c r="C25" s="14"/>
      <c r="D25" s="396"/>
      <c r="E25" s="18"/>
      <c r="F25" s="375"/>
    </row>
    <row r="26" spans="1:6" ht="12.75">
      <c r="A26" s="14"/>
      <c r="B26" s="14" t="s">
        <v>14</v>
      </c>
      <c r="C26" s="14"/>
      <c r="D26" s="14"/>
      <c r="E26" s="18"/>
      <c r="F26" s="375"/>
    </row>
    <row r="27" spans="1:6" ht="12.75">
      <c r="A27" s="14">
        <v>2</v>
      </c>
      <c r="B27" s="395" t="s">
        <v>16</v>
      </c>
      <c r="C27" s="14"/>
      <c r="D27" s="14">
        <v>1317.31</v>
      </c>
      <c r="E27" s="18"/>
      <c r="F27" s="375"/>
    </row>
    <row r="28" spans="1:6" ht="12.75">
      <c r="A28" s="401" t="s">
        <v>71</v>
      </c>
      <c r="B28" s="402" t="s">
        <v>69</v>
      </c>
      <c r="C28" s="14"/>
      <c r="D28" s="20">
        <f>D29+D30+D31</f>
        <v>39362.14000000001</v>
      </c>
      <c r="E28" s="19">
        <f>E29</f>
        <v>6805.07094</v>
      </c>
      <c r="F28" s="375"/>
    </row>
    <row r="29" spans="1:6" ht="12.75">
      <c r="A29" s="14">
        <v>1</v>
      </c>
      <c r="B29" s="22" t="s">
        <v>203</v>
      </c>
      <c r="C29" s="14"/>
      <c r="D29" s="22">
        <v>33688.47</v>
      </c>
      <c r="E29" s="18">
        <f>D29*20.2%</f>
        <v>6805.07094</v>
      </c>
      <c r="F29" s="375"/>
    </row>
    <row r="30" spans="1:6" ht="12.75">
      <c r="A30" s="14">
        <v>2</v>
      </c>
      <c r="B30" s="22" t="s">
        <v>16</v>
      </c>
      <c r="C30" s="14"/>
      <c r="D30" s="22">
        <v>4437.77</v>
      </c>
      <c r="E30" s="14"/>
      <c r="F30" s="375"/>
    </row>
    <row r="31" spans="1:6" ht="12.75">
      <c r="A31" s="14">
        <v>3</v>
      </c>
      <c r="B31" s="22" t="s">
        <v>96</v>
      </c>
      <c r="C31" s="14"/>
      <c r="D31" s="22">
        <v>1235.9</v>
      </c>
      <c r="E31" s="14"/>
      <c r="F31" s="375"/>
    </row>
    <row r="32" spans="1:6" ht="12.75">
      <c r="A32" s="401" t="s">
        <v>72</v>
      </c>
      <c r="B32" s="20" t="s">
        <v>17</v>
      </c>
      <c r="C32" s="14"/>
      <c r="D32" s="19">
        <f>D33+D34+D35+D36+D37+D38</f>
        <v>24873.28308</v>
      </c>
      <c r="E32" s="19">
        <f>E34</f>
        <v>1020.8918399999999</v>
      </c>
      <c r="F32" s="375"/>
    </row>
    <row r="33" spans="1:6" ht="12.75">
      <c r="A33" s="14"/>
      <c r="B33" s="14" t="s">
        <v>18</v>
      </c>
      <c r="C33" s="14"/>
      <c r="D33" s="18">
        <f>D19*4.7%</f>
        <v>7195.21308</v>
      </c>
      <c r="E33" s="14"/>
      <c r="F33" s="375"/>
    </row>
    <row r="34" spans="1:6" ht="12.75">
      <c r="A34" s="14"/>
      <c r="B34" s="14" t="s">
        <v>21</v>
      </c>
      <c r="C34" s="14"/>
      <c r="D34" s="18">
        <v>5053.92</v>
      </c>
      <c r="E34" s="18">
        <f>D34*20.2%</f>
        <v>1020.8918399999999</v>
      </c>
      <c r="F34" s="375"/>
    </row>
    <row r="35" spans="1:6" ht="12.75">
      <c r="A35" s="14"/>
      <c r="B35" s="395" t="s">
        <v>29</v>
      </c>
      <c r="C35" s="14"/>
      <c r="D35" s="14">
        <f>390.44+38.95</f>
        <v>429.39</v>
      </c>
      <c r="E35" s="14"/>
      <c r="F35" s="375"/>
    </row>
    <row r="36" spans="1:6" ht="12.75">
      <c r="A36" s="14"/>
      <c r="B36" s="395" t="s">
        <v>62</v>
      </c>
      <c r="C36" s="14"/>
      <c r="D36" s="14">
        <v>1434.77</v>
      </c>
      <c r="E36" s="14"/>
      <c r="F36" s="375"/>
    </row>
    <row r="37" spans="1:6" ht="12.75">
      <c r="A37" s="14"/>
      <c r="B37" s="395" t="s">
        <v>61</v>
      </c>
      <c r="C37" s="14"/>
      <c r="D37" s="14">
        <v>8324.06</v>
      </c>
      <c r="E37" s="14"/>
      <c r="F37" s="375"/>
    </row>
    <row r="38" spans="1:6" ht="12.75">
      <c r="A38" s="14"/>
      <c r="B38" s="22" t="s">
        <v>22</v>
      </c>
      <c r="C38" s="14"/>
      <c r="D38" s="14">
        <v>2435.93</v>
      </c>
      <c r="E38" s="14"/>
      <c r="F38" s="375"/>
    </row>
    <row r="39" spans="1:6" ht="12.75">
      <c r="A39" s="14">
        <v>4</v>
      </c>
      <c r="B39" s="20" t="s">
        <v>23</v>
      </c>
      <c r="C39" s="14"/>
      <c r="D39" s="19">
        <f>D40+D41</f>
        <v>27192.37</v>
      </c>
      <c r="E39" s="19">
        <f>E40</f>
        <v>4086.9145</v>
      </c>
      <c r="F39" s="375"/>
    </row>
    <row r="40" spans="1:6" ht="12.75">
      <c r="A40" s="14"/>
      <c r="B40" s="22" t="s">
        <v>82</v>
      </c>
      <c r="C40" s="22"/>
      <c r="D40" s="21">
        <v>20232.25</v>
      </c>
      <c r="E40" s="18">
        <f>D40*20.2%</f>
        <v>4086.9145</v>
      </c>
      <c r="F40" s="375"/>
    </row>
    <row r="41" spans="1:6" ht="12.75">
      <c r="A41" s="14"/>
      <c r="B41" s="14" t="s">
        <v>89</v>
      </c>
      <c r="C41" s="14"/>
      <c r="D41" s="21">
        <v>6960.12</v>
      </c>
      <c r="E41" s="14"/>
      <c r="F41" s="375"/>
    </row>
    <row r="42" spans="1:6" ht="12.75">
      <c r="A42" s="14">
        <v>5</v>
      </c>
      <c r="B42" s="20" t="s">
        <v>24</v>
      </c>
      <c r="C42" s="14"/>
      <c r="D42" s="19">
        <f>D22+E22+D28+E28+D32+E32+D39+E39</f>
        <v>132122.09372</v>
      </c>
      <c r="E42" s="14"/>
      <c r="F42" s="375"/>
    </row>
    <row r="43" spans="1:6" ht="12.75">
      <c r="A43" s="14">
        <v>6</v>
      </c>
      <c r="B43" s="14" t="s">
        <v>33</v>
      </c>
      <c r="C43" s="14"/>
      <c r="D43" s="19">
        <f>D19*6%</f>
        <v>9185.3784</v>
      </c>
      <c r="E43" s="14"/>
      <c r="F43" s="375"/>
    </row>
    <row r="44" spans="1:6" ht="12.75">
      <c r="A44" s="14">
        <v>7</v>
      </c>
      <c r="B44" s="20" t="s">
        <v>25</v>
      </c>
      <c r="C44" s="14"/>
      <c r="D44" s="19">
        <f>D42+D43</f>
        <v>141307.47212</v>
      </c>
      <c r="E44" s="14"/>
      <c r="F44" s="375"/>
    </row>
    <row r="45" spans="1:6" ht="12.75">
      <c r="A45" s="14"/>
      <c r="B45" s="14"/>
      <c r="C45" s="14"/>
      <c r="D45" s="14"/>
      <c r="E45" s="14"/>
      <c r="F45" s="375"/>
    </row>
    <row r="46" spans="1:6" ht="12.75">
      <c r="A46" s="14">
        <v>8</v>
      </c>
      <c r="B46" s="20" t="s">
        <v>87</v>
      </c>
      <c r="C46" s="14"/>
      <c r="D46" s="19">
        <f>D17-D44</f>
        <v>-29928.832119999992</v>
      </c>
      <c r="E46" s="14"/>
      <c r="F46" s="375"/>
    </row>
    <row r="47" spans="1:6" ht="12.75">
      <c r="A47" s="14">
        <v>9</v>
      </c>
      <c r="B47" s="20" t="s">
        <v>47</v>
      </c>
      <c r="C47" s="14"/>
      <c r="D47" s="19">
        <f>D10+D46</f>
        <v>-62119.87211999999</v>
      </c>
      <c r="E47" s="14"/>
      <c r="F47" s="375"/>
    </row>
    <row r="48" spans="1:6" ht="12.75">
      <c r="A48" s="3"/>
      <c r="B48" s="426" t="s">
        <v>88</v>
      </c>
      <c r="C48" s="3"/>
      <c r="D48" s="429">
        <f>D11+D18</f>
        <v>117964.07</v>
      </c>
      <c r="E48" s="3"/>
      <c r="F48" s="375"/>
    </row>
    <row r="49" spans="1:6" ht="12.75">
      <c r="A49" s="3"/>
      <c r="B49" s="426"/>
      <c r="C49" s="3"/>
      <c r="D49" s="429"/>
      <c r="E49" s="3"/>
      <c r="F49" s="375"/>
    </row>
    <row r="50" spans="1:6" ht="12.75">
      <c r="A50" s="3"/>
      <c r="B50" t="s">
        <v>31</v>
      </c>
      <c r="D50" t="s">
        <v>0</v>
      </c>
      <c r="E50" s="3"/>
      <c r="F50" s="375"/>
    </row>
    <row r="51" spans="1:5" ht="12.75">
      <c r="A51" s="1"/>
      <c r="B51" s="1" t="s">
        <v>32</v>
      </c>
      <c r="C51" s="1"/>
      <c r="D51" s="1" t="s">
        <v>27</v>
      </c>
      <c r="E51" s="1"/>
    </row>
  </sheetData>
  <sheetProtection/>
  <mergeCells count="2">
    <mergeCell ref="D7:E7"/>
    <mergeCell ref="D8:E8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5.25390625" style="0" customWidth="1"/>
    <col min="2" max="2" width="41.125" style="0" customWidth="1"/>
    <col min="3" max="3" width="6.375" style="0" customWidth="1"/>
    <col min="4" max="4" width="14.375" style="0" customWidth="1"/>
    <col min="5" max="5" width="10.875" style="0" customWidth="1"/>
    <col min="7" max="7" width="5.125" style="0" customWidth="1"/>
    <col min="8" max="8" width="40.125" style="0" customWidth="1"/>
    <col min="9" max="10" width="11.125" style="0" customWidth="1"/>
    <col min="13" max="13" width="5.75390625" style="0" customWidth="1"/>
    <col min="14" max="14" width="46.125" style="0" customWidth="1"/>
    <col min="16" max="16" width="10.375" style="0" customWidth="1"/>
    <col min="19" max="19" width="4.875" style="0" customWidth="1"/>
    <col min="20" max="20" width="39.375" style="0" customWidth="1"/>
    <col min="22" max="22" width="12.00390625" style="0" customWidth="1"/>
    <col min="23" max="23" width="11.375" style="0" customWidth="1"/>
  </cols>
  <sheetData>
    <row r="1" spans="1:5" ht="15.75">
      <c r="A1" s="57"/>
      <c r="B1" s="58" t="s">
        <v>26</v>
      </c>
      <c r="C1" s="57"/>
      <c r="D1" s="57"/>
      <c r="E1" s="57"/>
    </row>
    <row r="2" spans="1:5" ht="12.75">
      <c r="A2" s="57"/>
      <c r="B2" s="57"/>
      <c r="C2" s="57"/>
      <c r="D2" s="57"/>
      <c r="E2" s="57"/>
    </row>
    <row r="3" spans="1:5" ht="12.75">
      <c r="A3" s="57"/>
      <c r="B3" s="57" t="s">
        <v>30</v>
      </c>
      <c r="C3" s="57"/>
      <c r="D3" s="57"/>
      <c r="E3" s="57"/>
    </row>
    <row r="4" spans="1:5" ht="12.75">
      <c r="A4" s="57"/>
      <c r="B4" s="450" t="s">
        <v>117</v>
      </c>
      <c r="C4" s="57"/>
      <c r="D4" s="57"/>
      <c r="E4" s="57"/>
    </row>
    <row r="5" spans="1:5" ht="12.75">
      <c r="A5" s="57"/>
      <c r="B5" s="57" t="s">
        <v>43</v>
      </c>
      <c r="C5" s="57"/>
      <c r="D5" s="57"/>
      <c r="E5" s="57"/>
    </row>
    <row r="6" spans="1:5" ht="12.75">
      <c r="A6" s="493"/>
      <c r="B6" s="493"/>
      <c r="C6" s="493"/>
      <c r="D6" s="59"/>
      <c r="E6" s="60"/>
    </row>
    <row r="7" spans="1:5" ht="12.75">
      <c r="A7" s="61"/>
      <c r="B7" s="61"/>
      <c r="C7" s="61"/>
      <c r="D7" s="62"/>
      <c r="E7" s="63"/>
    </row>
    <row r="8" spans="1:5" ht="15.75">
      <c r="A8" s="61"/>
      <c r="B8" s="64" t="s">
        <v>1</v>
      </c>
      <c r="C8" s="65" t="s">
        <v>3</v>
      </c>
      <c r="D8" s="494" t="s">
        <v>4</v>
      </c>
      <c r="E8" s="495"/>
    </row>
    <row r="9" spans="1:5" ht="15.75">
      <c r="A9" s="66"/>
      <c r="B9" s="64" t="s">
        <v>2</v>
      </c>
      <c r="C9" s="65" t="s">
        <v>35</v>
      </c>
      <c r="D9" s="496" t="s">
        <v>115</v>
      </c>
      <c r="E9" s="497"/>
    </row>
    <row r="10" spans="1:5" ht="12.75">
      <c r="A10" s="67"/>
      <c r="B10" s="67"/>
      <c r="C10" s="67"/>
      <c r="D10" s="68"/>
      <c r="E10" s="69"/>
    </row>
    <row r="11" spans="1:5" ht="12.75">
      <c r="A11" s="67"/>
      <c r="B11" s="408" t="s">
        <v>80</v>
      </c>
      <c r="C11" s="67"/>
      <c r="D11" s="68">
        <v>77199.57</v>
      </c>
      <c r="E11" s="69"/>
    </row>
    <row r="12" spans="1:5" ht="12.75">
      <c r="A12" s="70"/>
      <c r="B12" s="71" t="s">
        <v>5</v>
      </c>
      <c r="C12" s="70" t="s">
        <v>36</v>
      </c>
      <c r="D12" s="70">
        <v>4428.1</v>
      </c>
      <c r="E12" s="70"/>
    </row>
    <row r="13" spans="1:5" ht="12.75">
      <c r="A13" s="70"/>
      <c r="B13" s="71" t="s">
        <v>6</v>
      </c>
      <c r="C13" s="70" t="s">
        <v>36</v>
      </c>
      <c r="D13" s="70">
        <v>3467.4</v>
      </c>
      <c r="E13" s="70"/>
    </row>
    <row r="14" spans="1:5" ht="12.75">
      <c r="A14" s="70"/>
      <c r="B14" s="72" t="s">
        <v>28</v>
      </c>
      <c r="C14" s="70" t="s">
        <v>9</v>
      </c>
      <c r="D14" s="70">
        <v>135898.86</v>
      </c>
      <c r="E14" s="70"/>
    </row>
    <row r="15" spans="1:5" ht="12.75">
      <c r="A15" s="70"/>
      <c r="B15" s="70"/>
      <c r="C15" s="70"/>
      <c r="D15" s="70"/>
      <c r="E15" s="70"/>
    </row>
    <row r="16" spans="1:5" ht="15.75">
      <c r="A16" s="70"/>
      <c r="B16" s="73" t="s">
        <v>7</v>
      </c>
      <c r="C16" s="70"/>
      <c r="D16" s="70"/>
      <c r="E16" s="70"/>
    </row>
    <row r="17" spans="1:5" ht="12.75">
      <c r="A17" s="70">
        <v>1</v>
      </c>
      <c r="B17" s="70" t="s">
        <v>8</v>
      </c>
      <c r="C17" s="70" t="s">
        <v>9</v>
      </c>
      <c r="D17" s="70">
        <v>135547.72</v>
      </c>
      <c r="E17" s="70"/>
    </row>
    <row r="18" spans="1:5" ht="12.75">
      <c r="A18" s="70">
        <v>2</v>
      </c>
      <c r="B18" s="70" t="s">
        <v>104</v>
      </c>
      <c r="C18" s="70"/>
      <c r="D18" s="70">
        <f>1200+3000+500</f>
        <v>4700</v>
      </c>
      <c r="E18" s="70"/>
    </row>
    <row r="19" spans="1:5" ht="15.75">
      <c r="A19" s="70"/>
      <c r="B19" s="73" t="s">
        <v>10</v>
      </c>
      <c r="C19" s="70"/>
      <c r="D19" s="74">
        <f>D17+D18</f>
        <v>140247.72</v>
      </c>
      <c r="E19" s="70"/>
    </row>
    <row r="20" spans="1:5" ht="15.75">
      <c r="A20" s="70"/>
      <c r="B20" s="73"/>
      <c r="C20" s="70"/>
      <c r="D20" s="74"/>
      <c r="E20" s="70"/>
    </row>
    <row r="21" spans="1:5" ht="15.75">
      <c r="A21" s="14"/>
      <c r="B21" s="17" t="s">
        <v>66</v>
      </c>
      <c r="C21" s="14"/>
      <c r="D21" s="20"/>
      <c r="E21" s="70" t="s">
        <v>15</v>
      </c>
    </row>
    <row r="22" spans="1:5" ht="12.75">
      <c r="A22" s="401" t="s">
        <v>67</v>
      </c>
      <c r="B22" s="16" t="s">
        <v>68</v>
      </c>
      <c r="C22" s="14"/>
      <c r="D22" s="20">
        <f>D23+D27</f>
        <v>18954.81</v>
      </c>
      <c r="E22" s="19">
        <f>E23</f>
        <v>3579.5894799999996</v>
      </c>
    </row>
    <row r="23" spans="1:5" ht="12.75">
      <c r="A23" s="14">
        <v>1</v>
      </c>
      <c r="B23" s="20" t="s">
        <v>11</v>
      </c>
      <c r="C23" s="395" t="s">
        <v>9</v>
      </c>
      <c r="D23" s="20">
        <f>D24+D26</f>
        <v>17720.74</v>
      </c>
      <c r="E23" s="19">
        <f>E24+E25+E26</f>
        <v>3579.5894799999996</v>
      </c>
    </row>
    <row r="24" spans="1:5" ht="12.75">
      <c r="A24" s="14"/>
      <c r="B24" s="14" t="s">
        <v>12</v>
      </c>
      <c r="C24" s="14"/>
      <c r="D24" s="14">
        <v>16565.27</v>
      </c>
      <c r="E24" s="18">
        <f>D24*20.2%</f>
        <v>3346.1845399999997</v>
      </c>
    </row>
    <row r="25" spans="1:5" ht="12.75">
      <c r="A25" s="14"/>
      <c r="B25" s="14" t="s">
        <v>13</v>
      </c>
      <c r="C25" s="14"/>
      <c r="D25" s="396">
        <v>0</v>
      </c>
      <c r="E25" s="18">
        <f>D25*20.2%</f>
        <v>0</v>
      </c>
    </row>
    <row r="26" spans="1:5" ht="12.75">
      <c r="A26" s="14"/>
      <c r="B26" s="22" t="s">
        <v>112</v>
      </c>
      <c r="C26" s="14"/>
      <c r="D26" s="14">
        <v>1155.47</v>
      </c>
      <c r="E26" s="18">
        <f>D26*20.2%</f>
        <v>233.40493999999998</v>
      </c>
    </row>
    <row r="27" spans="1:5" ht="12.75">
      <c r="A27" s="14">
        <v>2</v>
      </c>
      <c r="B27" s="395" t="s">
        <v>16</v>
      </c>
      <c r="C27" s="14"/>
      <c r="D27" s="14">
        <v>1234.07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D29+D30+D31</f>
        <v>33484.72</v>
      </c>
      <c r="E28" s="19">
        <f>E29</f>
        <v>6458.96818</v>
      </c>
    </row>
    <row r="29" spans="1:5" ht="12.75">
      <c r="A29" s="14">
        <v>1</v>
      </c>
      <c r="B29" s="22" t="s">
        <v>70</v>
      </c>
      <c r="C29" s="14"/>
      <c r="D29" s="22">
        <v>31975.09</v>
      </c>
      <c r="E29" s="18">
        <f>D29*20.2%</f>
        <v>6458.96818</v>
      </c>
    </row>
    <row r="30" spans="1:5" ht="12.75">
      <c r="A30" s="14">
        <v>2</v>
      </c>
      <c r="B30" s="22" t="s">
        <v>16</v>
      </c>
      <c r="C30" s="14"/>
      <c r="D30" s="22">
        <v>1509.63</v>
      </c>
      <c r="E30" s="14"/>
    </row>
    <row r="31" spans="1:5" ht="12.75">
      <c r="A31" s="14">
        <v>3</v>
      </c>
      <c r="B31" s="22" t="s">
        <v>94</v>
      </c>
      <c r="C31" s="14"/>
      <c r="D31" s="22">
        <v>0</v>
      </c>
      <c r="E31" s="14"/>
    </row>
    <row r="32" spans="1:5" ht="12.75">
      <c r="A32" s="401" t="s">
        <v>72</v>
      </c>
      <c r="B32" s="20" t="s">
        <v>17</v>
      </c>
      <c r="C32" s="14"/>
      <c r="D32" s="19">
        <f>D33+D34+D35+D36+D37+D38+D39+D40</f>
        <v>21167.665999999997</v>
      </c>
      <c r="E32" s="19"/>
    </row>
    <row r="33" spans="1:5" ht="12.75">
      <c r="A33" s="14"/>
      <c r="B33" s="14" t="s">
        <v>18</v>
      </c>
      <c r="C33" s="14"/>
      <c r="D33" s="18">
        <f>D19*5%</f>
        <v>7012.386</v>
      </c>
      <c r="E33" s="14"/>
    </row>
    <row r="34" spans="1:5" ht="12.75">
      <c r="A34" s="14"/>
      <c r="B34" s="14" t="s">
        <v>19</v>
      </c>
      <c r="C34" s="14"/>
      <c r="D34" s="14">
        <v>848.65</v>
      </c>
      <c r="E34" s="14"/>
    </row>
    <row r="35" spans="1:5" ht="12.75">
      <c r="A35" s="14"/>
      <c r="B35" s="22" t="s">
        <v>20</v>
      </c>
      <c r="C35" s="14"/>
      <c r="D35" s="14">
        <v>2310.4</v>
      </c>
      <c r="E35" s="14"/>
    </row>
    <row r="36" spans="1:5" ht="12.75">
      <c r="A36" s="14"/>
      <c r="B36" s="14" t="s">
        <v>21</v>
      </c>
      <c r="C36" s="14"/>
      <c r="D36" s="18">
        <f>4796.88+968.97</f>
        <v>5765.85</v>
      </c>
      <c r="E36" s="18"/>
    </row>
    <row r="37" spans="1:5" ht="12.75">
      <c r="A37" s="14"/>
      <c r="B37" s="22" t="s">
        <v>29</v>
      </c>
      <c r="C37" s="14"/>
      <c r="D37" s="14">
        <f>195.22+38.95</f>
        <v>234.17000000000002</v>
      </c>
      <c r="E37" s="14"/>
    </row>
    <row r="38" spans="1:5" ht="12.75">
      <c r="A38" s="14"/>
      <c r="B38" s="395" t="s">
        <v>62</v>
      </c>
      <c r="C38" s="14"/>
      <c r="D38" s="14">
        <v>1367.13</v>
      </c>
      <c r="E38" s="14"/>
    </row>
    <row r="39" spans="1:5" ht="12.75">
      <c r="A39" s="14"/>
      <c r="B39" s="395" t="s">
        <v>34</v>
      </c>
      <c r="C39" s="14"/>
      <c r="D39" s="14">
        <v>1308</v>
      </c>
      <c r="E39" s="14"/>
    </row>
    <row r="40" spans="1:5" ht="12.75">
      <c r="A40" s="14"/>
      <c r="B40" s="14" t="s">
        <v>22</v>
      </c>
      <c r="C40" s="14"/>
      <c r="D40" s="14">
        <v>2321.08</v>
      </c>
      <c r="E40" s="14"/>
    </row>
    <row r="41" spans="1:5" ht="12.75">
      <c r="A41" s="14">
        <v>4</v>
      </c>
      <c r="B41" s="20" t="s">
        <v>23</v>
      </c>
      <c r="C41" s="14"/>
      <c r="D41" s="19">
        <f>25835.32+3879.05</f>
        <v>29714.37</v>
      </c>
      <c r="E41" s="19"/>
    </row>
    <row r="42" spans="1:5" ht="12.75">
      <c r="A42" s="14">
        <v>5</v>
      </c>
      <c r="B42" s="20" t="s">
        <v>24</v>
      </c>
      <c r="C42" s="14"/>
      <c r="D42" s="19">
        <f>D22+E22+D28+E28+D32+E32+D41+E41</f>
        <v>113360.12366</v>
      </c>
      <c r="E42" s="14"/>
    </row>
    <row r="43" spans="1:5" ht="12.75">
      <c r="A43" s="14">
        <v>6</v>
      </c>
      <c r="B43" s="14" t="s">
        <v>33</v>
      </c>
      <c r="C43" s="14"/>
      <c r="D43" s="19">
        <f>D19*6%</f>
        <v>8414.8632</v>
      </c>
      <c r="E43" s="14"/>
    </row>
    <row r="44" spans="1:5" ht="12.75">
      <c r="A44" s="14">
        <v>7</v>
      </c>
      <c r="B44" s="20" t="s">
        <v>25</v>
      </c>
      <c r="C44" s="14"/>
      <c r="D44" s="19">
        <f>D42+D43</f>
        <v>121774.98686</v>
      </c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>
        <v>8</v>
      </c>
      <c r="B46" s="20" t="s">
        <v>87</v>
      </c>
      <c r="C46" s="14"/>
      <c r="D46" s="19">
        <f>D19-D44</f>
        <v>18472.733139999997</v>
      </c>
      <c r="E46" s="14"/>
    </row>
    <row r="47" spans="1:5" ht="12.75">
      <c r="A47" s="14">
        <v>9</v>
      </c>
      <c r="B47" s="20" t="s">
        <v>47</v>
      </c>
      <c r="C47" s="14"/>
      <c r="D47" s="19">
        <f>D11+D46</f>
        <v>95672.30314</v>
      </c>
      <c r="E47" s="14"/>
    </row>
    <row r="48" spans="1:5" ht="12.75">
      <c r="A48" s="3"/>
      <c r="B48" s="426"/>
      <c r="C48" s="3"/>
      <c r="D48" s="429"/>
      <c r="E48" s="3"/>
    </row>
    <row r="49" spans="1:5" ht="12.75">
      <c r="A49" s="3"/>
      <c r="B49" s="426"/>
      <c r="C49" s="3"/>
      <c r="D49" s="429"/>
      <c r="E49" s="3"/>
    </row>
    <row r="50" spans="1:5" ht="12.75">
      <c r="A50" s="1"/>
      <c r="B50" s="1" t="s">
        <v>31</v>
      </c>
      <c r="C50" s="1"/>
      <c r="D50" s="1" t="s">
        <v>0</v>
      </c>
      <c r="E50" s="1"/>
    </row>
    <row r="51" spans="1:5" ht="12.75">
      <c r="A51" s="1"/>
      <c r="B51" s="1" t="s">
        <v>32</v>
      </c>
      <c r="C51" s="1"/>
      <c r="D51" s="1" t="s">
        <v>27</v>
      </c>
      <c r="E51" s="1"/>
    </row>
  </sheetData>
  <sheetProtection/>
  <mergeCells count="3">
    <mergeCell ref="A6:C6"/>
    <mergeCell ref="D8:E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6">
      <selection activeCell="D47" sqref="D47"/>
    </sheetView>
  </sheetViews>
  <sheetFormatPr defaultColWidth="9.00390625" defaultRowHeight="12.75"/>
  <cols>
    <col min="2" max="2" width="40.00390625" style="0" customWidth="1"/>
    <col min="4" max="4" width="11.00390625" style="0" customWidth="1"/>
    <col min="5" max="5" width="10.25390625" style="0" customWidth="1"/>
    <col min="8" max="8" width="39.625" style="0" customWidth="1"/>
    <col min="10" max="10" width="10.625" style="0" customWidth="1"/>
    <col min="11" max="11" width="10.875" style="0" customWidth="1"/>
  </cols>
  <sheetData>
    <row r="1" spans="1:5" ht="15.75">
      <c r="A1" s="75"/>
      <c r="B1" s="76" t="s">
        <v>26</v>
      </c>
      <c r="C1" s="75"/>
      <c r="D1" s="75"/>
      <c r="E1" s="75"/>
    </row>
    <row r="2" spans="1:5" ht="12.75">
      <c r="A2" s="75"/>
      <c r="B2" s="75"/>
      <c r="C2" s="75"/>
      <c r="D2" s="75"/>
      <c r="E2" s="75"/>
    </row>
    <row r="3" spans="1:5" ht="12.75">
      <c r="A3" s="75"/>
      <c r="B3" s="75" t="s">
        <v>30</v>
      </c>
      <c r="C3" s="75"/>
      <c r="D3" s="75"/>
      <c r="E3" s="75"/>
    </row>
    <row r="4" spans="1:5" ht="12.75">
      <c r="A4" s="75"/>
      <c r="B4" s="464" t="s">
        <v>204</v>
      </c>
      <c r="C4" s="75"/>
      <c r="D4" s="75"/>
      <c r="E4" s="75"/>
    </row>
    <row r="5" spans="1:5" ht="12.75">
      <c r="A5" s="75"/>
      <c r="B5" s="75" t="s">
        <v>44</v>
      </c>
      <c r="C5" s="75"/>
      <c r="D5" s="75"/>
      <c r="E5" s="75"/>
    </row>
    <row r="6" spans="1:5" ht="12.75">
      <c r="A6" s="498"/>
      <c r="B6" s="498"/>
      <c r="C6" s="498"/>
      <c r="D6" s="77"/>
      <c r="E6" s="78"/>
    </row>
    <row r="7" spans="1:5" ht="12.75">
      <c r="A7" s="79"/>
      <c r="B7" s="79"/>
      <c r="C7" s="79"/>
      <c r="D7" s="80"/>
      <c r="E7" s="81"/>
    </row>
    <row r="8" spans="1:5" ht="15.75">
      <c r="A8" s="79"/>
      <c r="B8" s="82" t="s">
        <v>1</v>
      </c>
      <c r="C8" s="83" t="s">
        <v>3</v>
      </c>
      <c r="D8" s="499" t="s">
        <v>4</v>
      </c>
      <c r="E8" s="500"/>
    </row>
    <row r="9" spans="1:5" ht="15.75">
      <c r="A9" s="84"/>
      <c r="B9" s="82" t="s">
        <v>2</v>
      </c>
      <c r="C9" s="83" t="s">
        <v>37</v>
      </c>
      <c r="D9" s="501" t="s">
        <v>205</v>
      </c>
      <c r="E9" s="502"/>
    </row>
    <row r="10" spans="1:5" ht="12.75">
      <c r="A10" s="85"/>
      <c r="B10" s="85"/>
      <c r="C10" s="85"/>
      <c r="D10" s="86"/>
      <c r="E10" s="87"/>
    </row>
    <row r="11" spans="1:5" ht="12.75">
      <c r="A11" s="88"/>
      <c r="B11" s="89" t="s">
        <v>5</v>
      </c>
      <c r="C11" s="88" t="s">
        <v>36</v>
      </c>
      <c r="D11" s="88">
        <v>9663.44</v>
      </c>
      <c r="E11" s="88"/>
    </row>
    <row r="12" spans="1:5" ht="12.75">
      <c r="A12" s="88"/>
      <c r="B12" s="89" t="s">
        <v>6</v>
      </c>
      <c r="C12" s="88" t="s">
        <v>36</v>
      </c>
      <c r="D12" s="88">
        <v>7379.1</v>
      </c>
      <c r="E12" s="88"/>
    </row>
    <row r="13" spans="1:5" ht="12.75">
      <c r="A13" s="88"/>
      <c r="B13" s="90" t="s">
        <v>28</v>
      </c>
      <c r="C13" s="88" t="s">
        <v>9</v>
      </c>
      <c r="D13" s="91">
        <f>54690.54*2</f>
        <v>109381.08</v>
      </c>
      <c r="E13" s="88"/>
    </row>
    <row r="14" spans="1:5" ht="12.75">
      <c r="A14" s="88"/>
      <c r="B14" s="88"/>
      <c r="C14" s="88"/>
      <c r="D14" s="88"/>
      <c r="E14" s="88"/>
    </row>
    <row r="15" spans="1:5" ht="15.75">
      <c r="A15" s="88"/>
      <c r="B15" s="92" t="s">
        <v>7</v>
      </c>
      <c r="C15" s="88"/>
      <c r="D15" s="88"/>
      <c r="E15" s="88"/>
    </row>
    <row r="16" spans="1:5" ht="12.75">
      <c r="A16" s="88">
        <v>1</v>
      </c>
      <c r="B16" s="88" t="s">
        <v>8</v>
      </c>
      <c r="C16" s="88" t="s">
        <v>9</v>
      </c>
      <c r="D16" s="88">
        <v>845519.57</v>
      </c>
      <c r="E16" s="88"/>
    </row>
    <row r="17" spans="1:5" ht="12.75">
      <c r="A17" s="88">
        <v>2</v>
      </c>
      <c r="B17" s="88" t="s">
        <v>88</v>
      </c>
      <c r="C17" s="88"/>
      <c r="D17" s="88">
        <v>222872.68</v>
      </c>
      <c r="E17" s="88"/>
    </row>
    <row r="18" spans="1:5" ht="12.75">
      <c r="A18" s="88">
        <v>3</v>
      </c>
      <c r="B18" s="88" t="s">
        <v>104</v>
      </c>
      <c r="C18" s="88"/>
      <c r="D18" s="88">
        <v>692565.52</v>
      </c>
      <c r="E18" s="88"/>
    </row>
    <row r="19" spans="1:5" ht="15.75">
      <c r="A19" s="88"/>
      <c r="B19" s="92" t="s">
        <v>10</v>
      </c>
      <c r="C19" s="88"/>
      <c r="D19" s="91">
        <f>D16+D18+D17</f>
        <v>1760957.7699999998</v>
      </c>
      <c r="E19" s="88"/>
    </row>
    <row r="20" spans="1:5" ht="15.75">
      <c r="A20" s="88"/>
      <c r="B20" s="92"/>
      <c r="C20" s="88"/>
      <c r="D20" s="91"/>
      <c r="E20" s="88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19">
        <f>D23+D28+D29</f>
        <v>364773.14</v>
      </c>
      <c r="E22" s="19">
        <f>E23</f>
        <v>68583.15918</v>
      </c>
    </row>
    <row r="23" spans="1:5" ht="12.75">
      <c r="A23" s="14">
        <v>1</v>
      </c>
      <c r="B23" s="20" t="s">
        <v>11</v>
      </c>
      <c r="C23" s="395" t="s">
        <v>9</v>
      </c>
      <c r="D23" s="19">
        <f>D24+D25+D26+D27</f>
        <v>339520.59</v>
      </c>
      <c r="E23" s="19">
        <f>E24+E25+E26+E27</f>
        <v>68583.15918</v>
      </c>
    </row>
    <row r="24" spans="1:5" ht="12.75">
      <c r="A24" s="14"/>
      <c r="B24" s="14" t="s">
        <v>12</v>
      </c>
      <c r="C24" s="14"/>
      <c r="D24" s="14">
        <v>82249.49</v>
      </c>
      <c r="E24" s="18">
        <f>D24*20.2%</f>
        <v>16614.39698</v>
      </c>
    </row>
    <row r="25" spans="1:5" ht="12.75">
      <c r="A25" s="14"/>
      <c r="B25" s="14" t="s">
        <v>13</v>
      </c>
      <c r="C25" s="14"/>
      <c r="D25" s="396">
        <v>220414.1</v>
      </c>
      <c r="E25" s="18">
        <f>D25*20.2%</f>
        <v>44523.648199999996</v>
      </c>
    </row>
    <row r="26" spans="1:5" ht="12.75">
      <c r="A26" s="14"/>
      <c r="B26" s="14" t="s">
        <v>14</v>
      </c>
      <c r="C26" s="14"/>
      <c r="D26" s="14">
        <v>35935.07</v>
      </c>
      <c r="E26" s="18">
        <f>D26*20.2%</f>
        <v>7258.884139999999</v>
      </c>
    </row>
    <row r="27" spans="1:5" ht="12.75">
      <c r="A27" s="14"/>
      <c r="B27" s="22" t="s">
        <v>112</v>
      </c>
      <c r="C27" s="14"/>
      <c r="D27" s="14">
        <v>921.93</v>
      </c>
      <c r="E27" s="18">
        <f>D27*20.2%</f>
        <v>186.22985999999997</v>
      </c>
    </row>
    <row r="28" spans="1:5" ht="12.75">
      <c r="A28" s="14">
        <v>2</v>
      </c>
      <c r="B28" s="395" t="s">
        <v>16</v>
      </c>
      <c r="C28" s="14"/>
      <c r="D28" s="14">
        <f>2626.26+406.29</f>
        <v>3032.55</v>
      </c>
      <c r="E28" s="18"/>
    </row>
    <row r="29" spans="1:5" ht="12.75">
      <c r="A29" s="14">
        <v>3</v>
      </c>
      <c r="B29" s="395" t="s">
        <v>206</v>
      </c>
      <c r="C29" s="14"/>
      <c r="D29" s="14">
        <v>22220</v>
      </c>
      <c r="E29" s="18"/>
    </row>
    <row r="30" spans="1:5" ht="12.75">
      <c r="A30" s="401" t="s">
        <v>71</v>
      </c>
      <c r="B30" s="402" t="s">
        <v>69</v>
      </c>
      <c r="C30" s="14"/>
      <c r="D30" s="20">
        <f>D31+D32</f>
        <v>147217.15</v>
      </c>
      <c r="E30" s="19">
        <f>E31</f>
        <v>25568.28332</v>
      </c>
    </row>
    <row r="31" spans="1:5" ht="12.75">
      <c r="A31" s="14">
        <v>1</v>
      </c>
      <c r="B31" s="22" t="s">
        <v>207</v>
      </c>
      <c r="C31" s="14"/>
      <c r="D31" s="22">
        <v>126575.66</v>
      </c>
      <c r="E31" s="18">
        <f>D31*20.2%</f>
        <v>25568.28332</v>
      </c>
    </row>
    <row r="32" spans="1:5" ht="12.75">
      <c r="A32" s="14">
        <v>2</v>
      </c>
      <c r="B32" s="22" t="s">
        <v>16</v>
      </c>
      <c r="C32" s="14"/>
      <c r="D32" s="22">
        <f>18396.32+2113.2+131.97</f>
        <v>20641.49</v>
      </c>
      <c r="E32" s="14"/>
    </row>
    <row r="33" spans="1:5" ht="12.75">
      <c r="A33" s="401" t="s">
        <v>72</v>
      </c>
      <c r="B33" s="20" t="s">
        <v>17</v>
      </c>
      <c r="C33" s="14"/>
      <c r="D33" s="19">
        <f>D34+D35+D36+D37+D38+D39+D40+D41</f>
        <v>218223.17518999998</v>
      </c>
      <c r="E33" s="19"/>
    </row>
    <row r="34" spans="1:5" ht="12.75">
      <c r="A34" s="14"/>
      <c r="B34" s="14" t="s">
        <v>18</v>
      </c>
      <c r="C34" s="14"/>
      <c r="D34" s="18">
        <f>D19*4.7%</f>
        <v>82765.01518999999</v>
      </c>
      <c r="E34" s="14"/>
    </row>
    <row r="35" spans="1:5" ht="12.75">
      <c r="A35" s="14"/>
      <c r="B35" s="22" t="s">
        <v>29</v>
      </c>
      <c r="C35" s="14"/>
      <c r="D35" s="14">
        <v>1442.52</v>
      </c>
      <c r="E35" s="14"/>
    </row>
    <row r="36" spans="1:5" ht="12.75">
      <c r="A36" s="14"/>
      <c r="B36" s="14" t="s">
        <v>21</v>
      </c>
      <c r="C36" s="14"/>
      <c r="D36" s="18">
        <f>10208.42+2062.1+9570.07</f>
        <v>21840.59</v>
      </c>
      <c r="E36" s="18"/>
    </row>
    <row r="37" spans="1:5" ht="12.75">
      <c r="A37" s="14"/>
      <c r="B37" s="22" t="s">
        <v>118</v>
      </c>
      <c r="C37" s="14"/>
      <c r="D37" s="18">
        <v>3000</v>
      </c>
      <c r="E37" s="14"/>
    </row>
    <row r="38" spans="1:5" ht="12.75">
      <c r="A38" s="14"/>
      <c r="B38" s="22" t="s">
        <v>119</v>
      </c>
      <c r="C38" s="14"/>
      <c r="D38" s="18">
        <v>4000</v>
      </c>
      <c r="E38" s="14"/>
    </row>
    <row r="39" spans="1:5" ht="12.75">
      <c r="A39" s="14"/>
      <c r="B39" s="14" t="s">
        <v>100</v>
      </c>
      <c r="C39" s="14"/>
      <c r="D39" s="18">
        <v>51333.06</v>
      </c>
      <c r="E39" s="14"/>
    </row>
    <row r="40" spans="1:5" ht="12.75">
      <c r="A40" s="14"/>
      <c r="B40" s="395" t="s">
        <v>62</v>
      </c>
      <c r="C40" s="14"/>
      <c r="D40" s="14">
        <v>43459.44</v>
      </c>
      <c r="E40" s="14"/>
    </row>
    <row r="41" spans="1:5" ht="12.75">
      <c r="A41" s="14"/>
      <c r="B41" s="14" t="s">
        <v>22</v>
      </c>
      <c r="C41" s="14"/>
      <c r="D41" s="14">
        <f>4939.58+5442.97</f>
        <v>10382.55</v>
      </c>
      <c r="E41" s="14"/>
    </row>
    <row r="42" spans="1:5" ht="12.75">
      <c r="A42" s="14">
        <v>4</v>
      </c>
      <c r="B42" s="20" t="s">
        <v>199</v>
      </c>
      <c r="C42" s="14"/>
      <c r="D42" s="19">
        <v>193312.01</v>
      </c>
      <c r="E42" s="19"/>
    </row>
    <row r="43" spans="1:5" ht="12.75">
      <c r="A43" s="14">
        <v>5</v>
      </c>
      <c r="B43" s="20" t="s">
        <v>24</v>
      </c>
      <c r="C43" s="14"/>
      <c r="D43" s="19">
        <f>D22+E22+D30+E30+D33+D42</f>
        <v>1017676.91769</v>
      </c>
      <c r="E43" s="14"/>
    </row>
    <row r="44" spans="1:5" ht="12.75">
      <c r="A44" s="14">
        <v>6</v>
      </c>
      <c r="B44" s="14" t="s">
        <v>33</v>
      </c>
      <c r="C44" s="14"/>
      <c r="D44" s="19">
        <f>D19*6%</f>
        <v>105657.46619999998</v>
      </c>
      <c r="E44" s="14"/>
    </row>
    <row r="45" spans="1:5" ht="12.75">
      <c r="A45" s="14">
        <v>7</v>
      </c>
      <c r="B45" s="20" t="s">
        <v>25</v>
      </c>
      <c r="C45" s="14"/>
      <c r="D45" s="19">
        <f>D43+D44</f>
        <v>1123334.38389</v>
      </c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>
        <v>8</v>
      </c>
      <c r="B47" s="20" t="s">
        <v>208</v>
      </c>
      <c r="C47" s="14"/>
      <c r="D47" s="19">
        <f>(D16+23847.37+74104.51)-D45</f>
        <v>-179862.93389</v>
      </c>
      <c r="E47" s="14"/>
    </row>
    <row r="48" spans="1:5" ht="12.75">
      <c r="A48" s="14">
        <v>9</v>
      </c>
      <c r="B48" s="20" t="s">
        <v>47</v>
      </c>
      <c r="C48" s="14"/>
      <c r="D48" s="19">
        <f>D47</f>
        <v>-179862.93389</v>
      </c>
      <c r="E48" s="14"/>
    </row>
    <row r="49" spans="1:5" ht="12.75">
      <c r="A49" s="3"/>
      <c r="B49" s="426" t="s">
        <v>209</v>
      </c>
      <c r="C49" s="3"/>
      <c r="D49" s="429">
        <v>66138.37</v>
      </c>
      <c r="E49" s="3"/>
    </row>
    <row r="50" spans="1:5" ht="12.75">
      <c r="A50" s="3"/>
      <c r="B50" s="426" t="s">
        <v>210</v>
      </c>
      <c r="C50" s="3"/>
      <c r="D50" s="429">
        <f>D17-D49</f>
        <v>156734.31</v>
      </c>
      <c r="E50" s="3"/>
    </row>
    <row r="51" spans="1:5" ht="12.75">
      <c r="A51" s="3"/>
      <c r="B51" s="426"/>
      <c r="C51" s="3"/>
      <c r="D51" s="429"/>
      <c r="E51" s="3"/>
    </row>
    <row r="52" spans="1:5" ht="12.75">
      <c r="A52" s="3"/>
      <c r="B52" s="426" t="s">
        <v>211</v>
      </c>
      <c r="C52" s="3"/>
      <c r="D52" s="429">
        <v>827600</v>
      </c>
      <c r="E52" s="3"/>
    </row>
    <row r="53" spans="1:5" ht="12.75">
      <c r="A53" s="3"/>
      <c r="B53" s="478">
        <v>0.107</v>
      </c>
      <c r="C53" s="3"/>
      <c r="D53" s="429">
        <v>74104.51</v>
      </c>
      <c r="E53" s="3"/>
    </row>
    <row r="54" spans="1:5" ht="12.75">
      <c r="A54" s="3"/>
      <c r="B54" s="426" t="s">
        <v>212</v>
      </c>
      <c r="C54" s="3"/>
      <c r="D54" s="429">
        <f>D18-D52-D53</f>
        <v>-209138.99</v>
      </c>
      <c r="E54" s="3"/>
    </row>
    <row r="55" spans="1:5" ht="12.75">
      <c r="A55" s="3"/>
      <c r="B55" s="426"/>
      <c r="C55" s="3"/>
      <c r="D55" s="429"/>
      <c r="E55" s="3"/>
    </row>
    <row r="56" spans="1:5" ht="12.75">
      <c r="A56" s="1"/>
      <c r="B56" s="1" t="s">
        <v>31</v>
      </c>
      <c r="C56" s="1"/>
      <c r="D56" s="1" t="s">
        <v>0</v>
      </c>
      <c r="E56" s="1"/>
    </row>
    <row r="57" spans="1:5" ht="12.75">
      <c r="A57" s="1"/>
      <c r="B57" s="1" t="s">
        <v>32</v>
      </c>
      <c r="C57" s="1"/>
      <c r="D57" s="1" t="s">
        <v>27</v>
      </c>
      <c r="E57" s="428"/>
    </row>
  </sheetData>
  <sheetProtection/>
  <mergeCells count="3">
    <mergeCell ref="A6:C6"/>
    <mergeCell ref="D8:E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22">
      <selection activeCell="F38" sqref="F38"/>
    </sheetView>
  </sheetViews>
  <sheetFormatPr defaultColWidth="9.00390625" defaultRowHeight="12.75"/>
  <cols>
    <col min="1" max="1" width="6.00390625" style="0" customWidth="1"/>
    <col min="2" max="2" width="42.875" style="0" customWidth="1"/>
    <col min="3" max="3" width="5.875" style="0" customWidth="1"/>
    <col min="4" max="4" width="12.375" style="0" customWidth="1"/>
    <col min="5" max="5" width="10.25390625" style="0" customWidth="1"/>
    <col min="7" max="7" width="3.75390625" style="0" customWidth="1"/>
    <col min="8" max="8" width="38.25390625" style="0" customWidth="1"/>
    <col min="10" max="10" width="9.875" style="0" customWidth="1"/>
    <col min="13" max="13" width="6.125" style="0" customWidth="1"/>
    <col min="14" max="14" width="39.875" style="0" customWidth="1"/>
    <col min="16" max="16" width="11.125" style="0" customWidth="1"/>
    <col min="19" max="19" width="7.125" style="0" customWidth="1"/>
    <col min="20" max="20" width="41.875" style="0" customWidth="1"/>
    <col min="22" max="22" width="11.125" style="0" customWidth="1"/>
  </cols>
  <sheetData>
    <row r="1" spans="1:5" ht="15.75">
      <c r="A1" s="93"/>
      <c r="B1" s="94" t="s">
        <v>26</v>
      </c>
      <c r="C1" s="93"/>
      <c r="D1" s="93"/>
      <c r="E1" s="93"/>
    </row>
    <row r="2" spans="1:5" ht="12.75">
      <c r="A2" s="93"/>
      <c r="B2" s="93"/>
      <c r="C2" s="93"/>
      <c r="D2" s="93"/>
      <c r="E2" s="93"/>
    </row>
    <row r="3" spans="1:5" ht="12.75">
      <c r="A3" s="93"/>
      <c r="B3" s="93" t="s">
        <v>30</v>
      </c>
      <c r="C3" s="93"/>
      <c r="D3" s="93"/>
      <c r="E3" s="93"/>
    </row>
    <row r="4" spans="1:5" ht="12.75">
      <c r="A4" s="93"/>
      <c r="B4" s="451" t="s">
        <v>120</v>
      </c>
      <c r="C4" s="93"/>
      <c r="D4" s="93"/>
      <c r="E4" s="93"/>
    </row>
    <row r="5" spans="1:5" ht="12.75">
      <c r="A5" s="503"/>
      <c r="B5" s="503"/>
      <c r="C5" s="503"/>
      <c r="D5" s="392"/>
      <c r="E5" s="95"/>
    </row>
    <row r="6" spans="1:5" ht="12.75">
      <c r="A6" s="393"/>
      <c r="B6" s="393"/>
      <c r="C6" s="393"/>
      <c r="D6" s="97"/>
      <c r="E6" s="98"/>
    </row>
    <row r="7" spans="1:5" ht="15.75">
      <c r="A7" s="96"/>
      <c r="B7" s="99" t="s">
        <v>1</v>
      </c>
      <c r="C7" s="100" t="s">
        <v>3</v>
      </c>
      <c r="D7" s="504" t="s">
        <v>4</v>
      </c>
      <c r="E7" s="505"/>
    </row>
    <row r="8" spans="1:5" ht="15.75">
      <c r="A8" s="101"/>
      <c r="B8" s="99" t="s">
        <v>2</v>
      </c>
      <c r="C8" s="100" t="s">
        <v>35</v>
      </c>
      <c r="D8" s="506" t="s">
        <v>121</v>
      </c>
      <c r="E8" s="507"/>
    </row>
    <row r="9" spans="1:5" ht="12.75">
      <c r="A9" s="102"/>
      <c r="B9" s="102"/>
      <c r="C9" s="102"/>
      <c r="D9" s="103"/>
      <c r="E9" s="104"/>
    </row>
    <row r="10" spans="1:5" ht="12.75">
      <c r="A10" s="102"/>
      <c r="B10" s="409" t="s">
        <v>80</v>
      </c>
      <c r="C10" s="102"/>
      <c r="D10" s="103">
        <v>-179924.94</v>
      </c>
      <c r="E10" s="104"/>
    </row>
    <row r="11" spans="1:5" ht="12.75">
      <c r="A11" s="105"/>
      <c r="B11" s="106" t="s">
        <v>5</v>
      </c>
      <c r="C11" s="105" t="s">
        <v>36</v>
      </c>
      <c r="D11" s="105">
        <v>5024.31</v>
      </c>
      <c r="E11" s="105"/>
    </row>
    <row r="12" spans="1:5" ht="12.75">
      <c r="A12" s="105"/>
      <c r="B12" s="106" t="s">
        <v>6</v>
      </c>
      <c r="C12" s="105" t="s">
        <v>36</v>
      </c>
      <c r="D12" s="105">
        <v>3641.7</v>
      </c>
      <c r="E12" s="105"/>
    </row>
    <row r="13" spans="1:5" ht="12.75">
      <c r="A13" s="105"/>
      <c r="B13" s="107" t="s">
        <v>28</v>
      </c>
      <c r="C13" s="105" t="s">
        <v>9</v>
      </c>
      <c r="D13" s="105">
        <v>148546.32</v>
      </c>
      <c r="E13" s="105"/>
    </row>
    <row r="14" spans="1:5" ht="12.75">
      <c r="A14" s="105"/>
      <c r="B14" s="105"/>
      <c r="C14" s="105"/>
      <c r="D14" s="105"/>
      <c r="E14" s="105"/>
    </row>
    <row r="15" spans="1:5" ht="15.75">
      <c r="A15" s="105"/>
      <c r="B15" s="108" t="s">
        <v>7</v>
      </c>
      <c r="C15" s="105"/>
      <c r="D15" s="105"/>
      <c r="E15" s="105"/>
    </row>
    <row r="16" spans="1:5" ht="12.75">
      <c r="A16" s="105">
        <v>1</v>
      </c>
      <c r="B16" s="105" t="s">
        <v>8</v>
      </c>
      <c r="C16" s="105" t="s">
        <v>9</v>
      </c>
      <c r="D16" s="105">
        <v>142167.33</v>
      </c>
      <c r="E16" s="105"/>
    </row>
    <row r="17" spans="1:5" ht="12.75">
      <c r="A17" s="105">
        <v>2</v>
      </c>
      <c r="B17" s="105" t="s">
        <v>109</v>
      </c>
      <c r="C17" s="105"/>
      <c r="D17" s="105">
        <f>6000+4800</f>
        <v>10800</v>
      </c>
      <c r="E17" s="105"/>
    </row>
    <row r="18" spans="1:5" ht="15.75">
      <c r="A18" s="105"/>
      <c r="B18" s="108" t="s">
        <v>10</v>
      </c>
      <c r="C18" s="105"/>
      <c r="D18" s="109">
        <f>D16+D17</f>
        <v>152967.33</v>
      </c>
      <c r="E18" s="105"/>
    </row>
    <row r="19" spans="1:5" ht="15.75">
      <c r="A19" s="105"/>
      <c r="B19" s="108"/>
      <c r="C19" s="105"/>
      <c r="D19" s="109"/>
      <c r="E19" s="105"/>
    </row>
    <row r="20" spans="1:5" ht="15.75">
      <c r="A20" s="14"/>
      <c r="B20" s="17" t="s">
        <v>66</v>
      </c>
      <c r="C20" s="14"/>
      <c r="D20" s="20"/>
      <c r="E20" s="51" t="s">
        <v>15</v>
      </c>
    </row>
    <row r="21" spans="1:5" ht="12.75">
      <c r="A21" s="401" t="s">
        <v>67</v>
      </c>
      <c r="B21" s="16" t="s">
        <v>68</v>
      </c>
      <c r="C21" s="14"/>
      <c r="D21" s="19">
        <f>D22+D27</f>
        <v>56991.85</v>
      </c>
      <c r="E21" s="19">
        <f>E22</f>
        <v>11250.5415</v>
      </c>
    </row>
    <row r="22" spans="1:5" ht="12.75">
      <c r="A22" s="14">
        <v>1</v>
      </c>
      <c r="B22" s="20" t="s">
        <v>11</v>
      </c>
      <c r="C22" s="395" t="s">
        <v>9</v>
      </c>
      <c r="D22" s="19">
        <f>D23+D24+D25+D26</f>
        <v>55695.75</v>
      </c>
      <c r="E22" s="19">
        <f>E23+E24+E25+E26</f>
        <v>11250.5415</v>
      </c>
    </row>
    <row r="23" spans="1:5" ht="12.75">
      <c r="A23" s="14"/>
      <c r="B23" s="14" t="s">
        <v>12</v>
      </c>
      <c r="C23" s="14"/>
      <c r="D23" s="14">
        <v>12827.86</v>
      </c>
      <c r="E23" s="18">
        <f>D23*20.2%</f>
        <v>2591.22772</v>
      </c>
    </row>
    <row r="24" spans="1:5" ht="12.75">
      <c r="A24" s="14"/>
      <c r="B24" s="14" t="s">
        <v>13</v>
      </c>
      <c r="C24" s="14"/>
      <c r="D24" s="396">
        <v>24695</v>
      </c>
      <c r="E24" s="18">
        <f>D24*20.2%</f>
        <v>4988.389999999999</v>
      </c>
    </row>
    <row r="25" spans="1:5" ht="12.75">
      <c r="A25" s="14"/>
      <c r="B25" s="14" t="s">
        <v>14</v>
      </c>
      <c r="C25" s="14"/>
      <c r="D25" s="14">
        <v>16354.49</v>
      </c>
      <c r="E25" s="18">
        <f>D25*20.2%</f>
        <v>3303.6069799999996</v>
      </c>
    </row>
    <row r="26" spans="1:5" ht="12.75">
      <c r="A26" s="14"/>
      <c r="B26" s="22" t="s">
        <v>112</v>
      </c>
      <c r="C26" s="14"/>
      <c r="D26" s="14">
        <v>1818.4</v>
      </c>
      <c r="E26" s="18">
        <f>D26*20.2%</f>
        <v>367.3168</v>
      </c>
    </row>
    <row r="27" spans="1:5" ht="12.75">
      <c r="A27" s="14">
        <v>2</v>
      </c>
      <c r="B27" s="395" t="s">
        <v>16</v>
      </c>
      <c r="C27" s="14"/>
      <c r="D27" s="14">
        <v>1296.1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42633.14</v>
      </c>
      <c r="E28" s="19">
        <f>E29</f>
        <v>6783.648839999999</v>
      </c>
    </row>
    <row r="29" spans="1:5" ht="12.75">
      <c r="A29" s="14">
        <v>1</v>
      </c>
      <c r="B29" s="22" t="s">
        <v>70</v>
      </c>
      <c r="C29" s="14"/>
      <c r="D29" s="22">
        <v>33582.42</v>
      </c>
      <c r="E29" s="18">
        <f>D29*20.2%</f>
        <v>6783.648839999999</v>
      </c>
    </row>
    <row r="30" spans="1:5" ht="12.75">
      <c r="A30" s="14">
        <v>2</v>
      </c>
      <c r="B30" s="22" t="s">
        <v>16</v>
      </c>
      <c r="C30" s="14"/>
      <c r="D30" s="22">
        <v>9050.72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D32+D33+D34+D35+D36+D37+D38+D39+D40</f>
        <v>22052.646500000003</v>
      </c>
      <c r="E31" s="20"/>
    </row>
    <row r="32" spans="1:5" ht="12.75">
      <c r="A32" s="14"/>
      <c r="B32" s="14" t="s">
        <v>18</v>
      </c>
      <c r="C32" s="14"/>
      <c r="D32" s="18">
        <f>D18*5%</f>
        <v>7648.3665</v>
      </c>
      <c r="E32" s="14"/>
    </row>
    <row r="33" spans="1:5" ht="12.75">
      <c r="A33" s="14"/>
      <c r="B33" s="14" t="s">
        <v>19</v>
      </c>
      <c r="C33" s="14"/>
      <c r="D33" s="14">
        <v>411.58</v>
      </c>
      <c r="E33" s="14"/>
    </row>
    <row r="34" spans="1:5" ht="12.75">
      <c r="A34" s="14"/>
      <c r="B34" s="22" t="s">
        <v>20</v>
      </c>
      <c r="C34" s="14"/>
      <c r="D34" s="14">
        <v>2888</v>
      </c>
      <c r="E34" s="14"/>
    </row>
    <row r="35" spans="1:5" ht="12.75">
      <c r="A35" s="14"/>
      <c r="B35" s="14" t="s">
        <v>21</v>
      </c>
      <c r="C35" s="14"/>
      <c r="D35" s="18">
        <f>5038.02+1017.68</f>
        <v>6055.700000000001</v>
      </c>
      <c r="E35" s="14"/>
    </row>
    <row r="36" spans="1:5" ht="12.75">
      <c r="A36" s="14"/>
      <c r="B36" s="22" t="s">
        <v>34</v>
      </c>
      <c r="C36" s="14"/>
      <c r="D36" s="14">
        <v>746</v>
      </c>
      <c r="E36" s="14"/>
    </row>
    <row r="37" spans="1:5" ht="12.75">
      <c r="A37" s="14"/>
      <c r="B37" s="395" t="s">
        <v>62</v>
      </c>
      <c r="C37" s="14"/>
      <c r="D37" s="14">
        <v>1435.85</v>
      </c>
      <c r="E37" s="14"/>
    </row>
    <row r="38" spans="1:5" ht="12.75">
      <c r="A38" s="14"/>
      <c r="B38" s="395" t="s">
        <v>61</v>
      </c>
      <c r="C38" s="14"/>
      <c r="D38" s="14">
        <v>0</v>
      </c>
      <c r="E38" s="14"/>
    </row>
    <row r="39" spans="1:5" ht="12.75">
      <c r="A39" s="14"/>
      <c r="B39" s="22" t="s">
        <v>29</v>
      </c>
      <c r="C39" s="14"/>
      <c r="D39" s="14">
        <f>390.44+38.95</f>
        <v>429.39</v>
      </c>
      <c r="E39" s="14"/>
    </row>
    <row r="40" spans="1:5" ht="12.75">
      <c r="A40" s="14"/>
      <c r="B40" s="14" t="s">
        <v>22</v>
      </c>
      <c r="C40" s="14"/>
      <c r="D40" s="14">
        <v>2437.76</v>
      </c>
      <c r="E40" s="14"/>
    </row>
    <row r="41" spans="1:5" ht="12.75">
      <c r="A41" s="14">
        <v>4</v>
      </c>
      <c r="B41" s="20" t="s">
        <v>199</v>
      </c>
      <c r="C41" s="14"/>
      <c r="D41" s="19">
        <f>27133.73+4074.05</f>
        <v>31207.78</v>
      </c>
      <c r="E41" s="19"/>
    </row>
    <row r="42" spans="1:5" ht="12.75">
      <c r="A42" s="14">
        <v>5</v>
      </c>
      <c r="B42" s="20" t="s">
        <v>24</v>
      </c>
      <c r="C42" s="14"/>
      <c r="D42" s="19">
        <f>D21+E21+D28+E28+D31+E31+D41+E41</f>
        <v>170919.60684</v>
      </c>
      <c r="E42" s="14"/>
    </row>
    <row r="43" spans="1:5" ht="12.75">
      <c r="A43" s="14">
        <v>6</v>
      </c>
      <c r="B43" s="14" t="s">
        <v>33</v>
      </c>
      <c r="C43" s="14"/>
      <c r="D43" s="19">
        <f>D18*6%</f>
        <v>9178.039799999999</v>
      </c>
      <c r="E43" s="14"/>
    </row>
    <row r="44" spans="1:5" ht="12.75">
      <c r="A44" s="14">
        <v>7</v>
      </c>
      <c r="B44" s="20" t="s">
        <v>25</v>
      </c>
      <c r="C44" s="14"/>
      <c r="D44" s="19">
        <f>D42+D43</f>
        <v>180097.64664</v>
      </c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>
        <v>8</v>
      </c>
      <c r="B46" s="20" t="s">
        <v>87</v>
      </c>
      <c r="C46" s="14"/>
      <c r="D46" s="19">
        <f>D18-D44</f>
        <v>-27130.316640000005</v>
      </c>
      <c r="E46" s="14"/>
    </row>
    <row r="47" spans="1:5" ht="12.75">
      <c r="A47" s="14">
        <v>9</v>
      </c>
      <c r="B47" s="20" t="s">
        <v>47</v>
      </c>
      <c r="C47" s="14"/>
      <c r="D47" s="19">
        <f>D10+D46</f>
        <v>-207055.25664</v>
      </c>
      <c r="E47" s="14"/>
    </row>
    <row r="48" spans="1:5" ht="12.75">
      <c r="A48" s="3"/>
      <c r="B48" s="426"/>
      <c r="C48" s="3"/>
      <c r="D48" s="429"/>
      <c r="E48" s="3"/>
    </row>
    <row r="49" spans="1:5" ht="12.75">
      <c r="A49" s="3"/>
      <c r="B49" s="426"/>
      <c r="C49" s="3"/>
      <c r="D49" s="429"/>
      <c r="E49" s="3"/>
    </row>
    <row r="50" spans="1:5" ht="12.75">
      <c r="A50" s="3"/>
      <c r="B50" s="426"/>
      <c r="C50" s="3"/>
      <c r="D50" s="429"/>
      <c r="E50" s="3"/>
    </row>
    <row r="51" spans="1:5" ht="12.75">
      <c r="A51" s="1"/>
      <c r="B51" s="1" t="s">
        <v>31</v>
      </c>
      <c r="C51" s="1"/>
      <c r="D51" s="1" t="s">
        <v>0</v>
      </c>
      <c r="E51" s="1"/>
    </row>
    <row r="52" spans="1:5" ht="12.75">
      <c r="A52" s="1"/>
      <c r="B52" s="1" t="s">
        <v>32</v>
      </c>
      <c r="C52" s="1"/>
      <c r="D52" s="1" t="s">
        <v>27</v>
      </c>
      <c r="E52" s="1"/>
    </row>
  </sheetData>
  <sheetProtection/>
  <mergeCells count="3">
    <mergeCell ref="A5:C5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zoomScalePageLayoutView="0" workbookViewId="0" topLeftCell="A21">
      <selection activeCell="H37" sqref="H37"/>
    </sheetView>
  </sheetViews>
  <sheetFormatPr defaultColWidth="9.00390625" defaultRowHeight="12.75"/>
  <cols>
    <col min="1" max="1" width="6.25390625" style="0" customWidth="1"/>
    <col min="2" max="2" width="43.375" style="0" customWidth="1"/>
    <col min="3" max="3" width="6.75390625" style="0" customWidth="1"/>
    <col min="4" max="4" width="10.625" style="0" customWidth="1"/>
    <col min="7" max="7" width="5.375" style="0" customWidth="1"/>
    <col min="8" max="8" width="41.00390625" style="0" customWidth="1"/>
    <col min="10" max="10" width="10.625" style="0" customWidth="1"/>
    <col min="13" max="13" width="5.875" style="0" customWidth="1"/>
    <col min="14" max="14" width="37.75390625" style="0" customWidth="1"/>
    <col min="15" max="15" width="8.875" style="0" customWidth="1"/>
    <col min="16" max="16" width="15.125" style="0" customWidth="1"/>
    <col min="19" max="19" width="5.625" style="0" customWidth="1"/>
    <col min="20" max="20" width="42.75390625" style="0" customWidth="1"/>
    <col min="22" max="22" width="10.625" style="0" customWidth="1"/>
  </cols>
  <sheetData>
    <row r="1" spans="1:5" ht="15.75">
      <c r="A1" s="110"/>
      <c r="B1" s="111" t="s">
        <v>26</v>
      </c>
      <c r="C1" s="110"/>
      <c r="D1" s="110"/>
      <c r="E1" s="110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 t="s">
        <v>30</v>
      </c>
      <c r="C3" s="110"/>
      <c r="D3" s="110"/>
      <c r="E3" s="110"/>
    </row>
    <row r="4" spans="1:5" ht="12.75">
      <c r="A4" s="110"/>
      <c r="B4" s="452" t="s">
        <v>122</v>
      </c>
      <c r="C4" s="110"/>
      <c r="D4" s="110"/>
      <c r="E4" s="110"/>
    </row>
    <row r="5" spans="1:5" ht="12.75">
      <c r="A5" s="110"/>
      <c r="B5" s="110" t="s">
        <v>42</v>
      </c>
      <c r="C5" s="110"/>
      <c r="D5" s="110"/>
      <c r="E5" s="110"/>
    </row>
    <row r="6" spans="1:5" ht="12.75">
      <c r="A6" s="508"/>
      <c r="B6" s="508"/>
      <c r="C6" s="508"/>
      <c r="D6" s="56"/>
      <c r="E6" s="112"/>
    </row>
    <row r="7" spans="1:5" ht="12.75">
      <c r="A7" s="113"/>
      <c r="B7" s="113"/>
      <c r="C7" s="113"/>
      <c r="D7" s="114"/>
      <c r="E7" s="115"/>
    </row>
    <row r="8" spans="1:5" ht="15.75">
      <c r="A8" s="113"/>
      <c r="B8" s="116" t="s">
        <v>1</v>
      </c>
      <c r="C8" s="117" t="s">
        <v>3</v>
      </c>
      <c r="D8" s="509" t="s">
        <v>4</v>
      </c>
      <c r="E8" s="510"/>
    </row>
    <row r="9" spans="1:5" ht="15.75">
      <c r="A9" s="118"/>
      <c r="B9" s="116" t="s">
        <v>2</v>
      </c>
      <c r="C9" s="117" t="s">
        <v>35</v>
      </c>
      <c r="D9" s="511" t="s">
        <v>121</v>
      </c>
      <c r="E9" s="512"/>
    </row>
    <row r="10" spans="1:5" ht="12.75">
      <c r="A10" s="119"/>
      <c r="B10" s="119"/>
      <c r="C10" s="119"/>
      <c r="D10" s="120"/>
      <c r="E10" s="121"/>
    </row>
    <row r="11" spans="1:5" ht="12.75">
      <c r="A11" s="119"/>
      <c r="B11" s="410" t="s">
        <v>80</v>
      </c>
      <c r="C11" s="119"/>
      <c r="D11" s="120">
        <v>-159056.97</v>
      </c>
      <c r="E11" s="121"/>
    </row>
    <row r="12" spans="1:5" ht="12.75">
      <c r="A12" s="122"/>
      <c r="B12" s="123" t="s">
        <v>5</v>
      </c>
      <c r="C12" s="122" t="s">
        <v>36</v>
      </c>
      <c r="D12" s="122">
        <v>7865.6</v>
      </c>
      <c r="E12" s="122"/>
    </row>
    <row r="13" spans="1:5" ht="12.75">
      <c r="A13" s="122"/>
      <c r="B13" s="123" t="s">
        <v>6</v>
      </c>
      <c r="C13" s="122" t="s">
        <v>36</v>
      </c>
      <c r="D13" s="122">
        <v>5669.08</v>
      </c>
      <c r="E13" s="122"/>
    </row>
    <row r="14" spans="1:5" ht="12.75">
      <c r="A14" s="122"/>
      <c r="B14" s="124" t="s">
        <v>28</v>
      </c>
      <c r="C14" s="122" t="s">
        <v>38</v>
      </c>
      <c r="D14" s="122">
        <v>232945.74</v>
      </c>
      <c r="E14" s="122"/>
    </row>
    <row r="15" spans="1:5" ht="12.75">
      <c r="A15" s="122"/>
      <c r="B15" s="122"/>
      <c r="C15" s="122"/>
      <c r="D15" s="122"/>
      <c r="E15" s="122"/>
    </row>
    <row r="16" spans="1:5" ht="15.75">
      <c r="A16" s="122"/>
      <c r="B16" s="125" t="s">
        <v>7</v>
      </c>
      <c r="C16" s="122"/>
      <c r="D16" s="122"/>
      <c r="E16" s="122"/>
    </row>
    <row r="17" spans="1:5" ht="12.75">
      <c r="A17" s="122">
        <v>1</v>
      </c>
      <c r="B17" s="122" t="s">
        <v>8</v>
      </c>
      <c r="C17" s="122" t="s">
        <v>9</v>
      </c>
      <c r="D17" s="122">
        <v>223924.58</v>
      </c>
      <c r="E17" s="122"/>
    </row>
    <row r="18" spans="1:5" ht="12.75">
      <c r="A18" s="122">
        <v>2</v>
      </c>
      <c r="B18" s="122" t="s">
        <v>104</v>
      </c>
      <c r="C18" s="122"/>
      <c r="D18" s="122">
        <v>7200</v>
      </c>
      <c r="E18" s="122"/>
    </row>
    <row r="19" spans="1:5" ht="15.75">
      <c r="A19" s="122"/>
      <c r="B19" s="125" t="s">
        <v>10</v>
      </c>
      <c r="C19" s="122"/>
      <c r="D19" s="126">
        <f>D17+D18</f>
        <v>231124.58</v>
      </c>
      <c r="E19" s="122"/>
    </row>
    <row r="20" spans="1:5" ht="15.75">
      <c r="A20" s="122"/>
      <c r="B20" s="125"/>
      <c r="C20" s="122"/>
      <c r="D20" s="126"/>
      <c r="E20" s="122"/>
    </row>
    <row r="21" spans="1:5" ht="15.75">
      <c r="A21" s="14"/>
      <c r="B21" s="17" t="s">
        <v>66</v>
      </c>
      <c r="C21" s="14"/>
      <c r="D21" s="20"/>
      <c r="E21" s="51" t="s">
        <v>15</v>
      </c>
    </row>
    <row r="22" spans="1:5" ht="12.75">
      <c r="A22" s="401" t="s">
        <v>67</v>
      </c>
      <c r="B22" s="16" t="s">
        <v>68</v>
      </c>
      <c r="C22" s="14"/>
      <c r="D22" s="19">
        <f>D23+D27</f>
        <v>70443.4</v>
      </c>
      <c r="E22" s="19">
        <f>E23</f>
        <v>13822.001499999998</v>
      </c>
    </row>
    <row r="23" spans="1:5" ht="12.75">
      <c r="A23" s="14">
        <v>1</v>
      </c>
      <c r="B23" s="20" t="s">
        <v>11</v>
      </c>
      <c r="C23" s="395" t="s">
        <v>9</v>
      </c>
      <c r="D23" s="19">
        <f>D24+D25+D26</f>
        <v>68425.75</v>
      </c>
      <c r="E23" s="19">
        <f>E24+E25+E26</f>
        <v>13822.001499999998</v>
      </c>
    </row>
    <row r="24" spans="1:5" ht="12.75">
      <c r="A24" s="14"/>
      <c r="B24" s="14" t="s">
        <v>12</v>
      </c>
      <c r="C24" s="14"/>
      <c r="D24" s="14">
        <v>13718.21</v>
      </c>
      <c r="E24" s="18">
        <f>D24*20.2%</f>
        <v>2771.07842</v>
      </c>
    </row>
    <row r="25" spans="1:5" ht="12.75">
      <c r="A25" s="14"/>
      <c r="B25" s="14" t="s">
        <v>13</v>
      </c>
      <c r="C25" s="14"/>
      <c r="D25" s="396">
        <v>31173.07</v>
      </c>
      <c r="E25" s="18">
        <f>D25*20.2%</f>
        <v>6296.960139999999</v>
      </c>
    </row>
    <row r="26" spans="1:5" ht="12.75">
      <c r="A26" s="14"/>
      <c r="B26" s="14" t="s">
        <v>14</v>
      </c>
      <c r="C26" s="14"/>
      <c r="D26" s="14">
        <v>23534.47</v>
      </c>
      <c r="E26" s="18">
        <f>D26*20.2%</f>
        <v>4753.962939999999</v>
      </c>
    </row>
    <row r="27" spans="1:5" ht="12.75">
      <c r="A27" s="14">
        <v>2</v>
      </c>
      <c r="B27" s="395" t="s">
        <v>16</v>
      </c>
      <c r="C27" s="14"/>
      <c r="D27" s="14">
        <v>2017.65</v>
      </c>
      <c r="E27" s="18"/>
    </row>
    <row r="28" spans="1:5" ht="12.75">
      <c r="A28" s="401" t="s">
        <v>71</v>
      </c>
      <c r="B28" s="402" t="s">
        <v>69</v>
      </c>
      <c r="C28" s="14"/>
      <c r="D28" s="20">
        <f>D29+D30</f>
        <v>67271.23</v>
      </c>
      <c r="E28" s="19">
        <f>E29</f>
        <v>10560.19034</v>
      </c>
    </row>
    <row r="29" spans="1:5" ht="12.75">
      <c r="A29" s="14">
        <v>1</v>
      </c>
      <c r="B29" s="22" t="s">
        <v>70</v>
      </c>
      <c r="C29" s="14"/>
      <c r="D29" s="22">
        <v>52278.17</v>
      </c>
      <c r="E29" s="21">
        <f>D29*20.2%</f>
        <v>10560.19034</v>
      </c>
    </row>
    <row r="30" spans="1:5" ht="12.75">
      <c r="A30" s="14">
        <v>2</v>
      </c>
      <c r="B30" s="22" t="s">
        <v>16</v>
      </c>
      <c r="C30" s="14"/>
      <c r="D30" s="22">
        <f>3227.69+11765.37</f>
        <v>14993.060000000001</v>
      </c>
      <c r="E30" s="14"/>
    </row>
    <row r="31" spans="1:5" ht="12.75">
      <c r="A31" s="401" t="s">
        <v>72</v>
      </c>
      <c r="B31" s="20" t="s">
        <v>17</v>
      </c>
      <c r="C31" s="14"/>
      <c r="D31" s="19">
        <f>D32+D33+D34+D35+D36+D37+D38+D39</f>
        <v>40863.708999999995</v>
      </c>
      <c r="E31" s="19"/>
    </row>
    <row r="32" spans="1:5" ht="12.75">
      <c r="A32" s="14"/>
      <c r="B32" s="14" t="s">
        <v>18</v>
      </c>
      <c r="C32" s="14"/>
      <c r="D32" s="18">
        <f>D19*5%</f>
        <v>11556.229</v>
      </c>
      <c r="E32" s="14"/>
    </row>
    <row r="33" spans="1:5" ht="12.75">
      <c r="A33" s="14"/>
      <c r="B33" s="14" t="s">
        <v>19</v>
      </c>
      <c r="C33" s="14"/>
      <c r="D33" s="14">
        <v>452.24</v>
      </c>
      <c r="E33" s="14"/>
    </row>
    <row r="34" spans="1:5" ht="12.75">
      <c r="A34" s="14"/>
      <c r="B34" s="22" t="s">
        <v>20</v>
      </c>
      <c r="C34" s="14"/>
      <c r="D34" s="14">
        <v>8664</v>
      </c>
      <c r="E34" s="14"/>
    </row>
    <row r="35" spans="1:5" ht="12.75">
      <c r="A35" s="14"/>
      <c r="B35" s="14" t="s">
        <v>21</v>
      </c>
      <c r="C35" s="14"/>
      <c r="D35" s="18">
        <f>7842.74+1584.23</f>
        <v>9426.97</v>
      </c>
      <c r="E35" s="18"/>
    </row>
    <row r="36" spans="1:5" ht="12.75">
      <c r="A36" s="14"/>
      <c r="B36" s="395" t="s">
        <v>61</v>
      </c>
      <c r="C36" s="14"/>
      <c r="D36" s="18">
        <v>4500</v>
      </c>
      <c r="E36" s="18"/>
    </row>
    <row r="37" spans="1:5" ht="12.75">
      <c r="A37" s="14"/>
      <c r="B37" s="22" t="s">
        <v>29</v>
      </c>
      <c r="C37" s="14"/>
      <c r="D37" s="14">
        <f>195.22+38.95</f>
        <v>234.17000000000002</v>
      </c>
      <c r="E37" s="14"/>
    </row>
    <row r="38" spans="1:5" ht="12.75">
      <c r="A38" s="14"/>
      <c r="B38" s="395" t="s">
        <v>62</v>
      </c>
      <c r="C38" s="14"/>
      <c r="D38" s="14">
        <v>2235.21</v>
      </c>
      <c r="E38" s="14"/>
    </row>
    <row r="39" spans="1:5" ht="12.75">
      <c r="A39" s="14"/>
      <c r="B39" s="14" t="s">
        <v>22</v>
      </c>
      <c r="C39" s="14"/>
      <c r="D39" s="14">
        <v>3794.89</v>
      </c>
      <c r="E39" s="14"/>
    </row>
    <row r="40" spans="1:5" ht="12.75">
      <c r="A40" s="14">
        <v>4</v>
      </c>
      <c r="B40" s="20" t="s">
        <v>199</v>
      </c>
      <c r="C40" s="14"/>
      <c r="D40" s="19">
        <f>42239.75+6342.12</f>
        <v>48581.87</v>
      </c>
      <c r="E40" s="19"/>
    </row>
    <row r="41" spans="1:5" ht="12.75">
      <c r="A41" s="14">
        <v>5</v>
      </c>
      <c r="B41" s="20" t="s">
        <v>24</v>
      </c>
      <c r="C41" s="14"/>
      <c r="D41" s="19">
        <f>D22+E22+D28+E28+D31+E31+D40+E40</f>
        <v>251542.40084</v>
      </c>
      <c r="E41" s="14"/>
    </row>
    <row r="42" spans="1:5" ht="12.75">
      <c r="A42" s="14">
        <v>6</v>
      </c>
      <c r="B42" s="14" t="s">
        <v>33</v>
      </c>
      <c r="C42" s="14"/>
      <c r="D42" s="19">
        <f>D19*6%</f>
        <v>13867.474799999998</v>
      </c>
      <c r="E42" s="14"/>
    </row>
    <row r="43" spans="1:5" ht="12.75">
      <c r="A43" s="14">
        <v>7</v>
      </c>
      <c r="B43" s="20" t="s">
        <v>25</v>
      </c>
      <c r="C43" s="14"/>
      <c r="D43" s="19">
        <f>D41+D42</f>
        <v>265409.87564</v>
      </c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>
        <v>8</v>
      </c>
      <c r="B45" s="20" t="s">
        <v>87</v>
      </c>
      <c r="C45" s="14"/>
      <c r="D45" s="19">
        <f>D19-D43</f>
        <v>-34285.29564</v>
      </c>
      <c r="E45" s="14"/>
    </row>
    <row r="46" spans="1:5" ht="12.75">
      <c r="A46" s="14">
        <v>9</v>
      </c>
      <c r="B46" s="20" t="s">
        <v>47</v>
      </c>
      <c r="C46" s="14"/>
      <c r="D46" s="19">
        <f>D11+D45</f>
        <v>-193342.26564</v>
      </c>
      <c r="E46" s="14"/>
    </row>
    <row r="47" spans="1:5" ht="12.75">
      <c r="A47" s="3"/>
      <c r="B47" s="426"/>
      <c r="C47" s="3"/>
      <c r="D47" s="429"/>
      <c r="E47" s="3"/>
    </row>
    <row r="48" spans="1:5" ht="12.75">
      <c r="A48" s="3"/>
      <c r="B48" s="426"/>
      <c r="C48" s="3"/>
      <c r="D48" s="429"/>
      <c r="E48" s="3"/>
    </row>
    <row r="49" spans="1:5" ht="12.75">
      <c r="A49" s="3"/>
      <c r="B49" s="426"/>
      <c r="C49" s="3"/>
      <c r="D49" s="429"/>
      <c r="E49" s="3"/>
    </row>
    <row r="50" spans="1:5" ht="12.75">
      <c r="A50" s="1"/>
      <c r="B50" s="1" t="s">
        <v>31</v>
      </c>
      <c r="C50" s="1"/>
      <c r="D50" s="1" t="s">
        <v>0</v>
      </c>
      <c r="E50" s="1"/>
    </row>
    <row r="51" spans="1:5" ht="12.75">
      <c r="A51" s="1"/>
      <c r="B51" s="1" t="s">
        <v>32</v>
      </c>
      <c r="C51" s="1"/>
      <c r="D51" s="1" t="s">
        <v>27</v>
      </c>
      <c r="E51" s="1"/>
    </row>
  </sheetData>
  <sheetProtection/>
  <mergeCells count="3">
    <mergeCell ref="A6:C6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ДУ-8</cp:lastModifiedBy>
  <cp:lastPrinted>2013-03-18T05:20:29Z</cp:lastPrinted>
  <dcterms:created xsi:type="dcterms:W3CDTF">2009-09-28T04:33:27Z</dcterms:created>
  <dcterms:modified xsi:type="dcterms:W3CDTF">2013-03-18T05:36:50Z</dcterms:modified>
  <cp:category/>
  <cp:version/>
  <cp:contentType/>
  <cp:contentStatus/>
</cp:coreProperties>
</file>