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5" activeTab="7"/>
  </bookViews>
  <sheets>
    <sheet name="А18" sheetId="6" r:id="rId1"/>
    <sheet name="А23а" sheetId="70" r:id="rId2"/>
    <sheet name="А25" sheetId="9" r:id="rId3"/>
    <sheet name="В4" sheetId="8" r:id="rId4"/>
    <sheet name="В10" sheetId="11" r:id="rId5"/>
    <sheet name="В12" sheetId="12" r:id="rId6"/>
    <sheet name="В13" sheetId="10" r:id="rId7"/>
    <sheet name="В16" sheetId="2" r:id="rId8"/>
    <sheet name="В17" sheetId="44" r:id="rId9"/>
    <sheet name="В18" sheetId="43" r:id="rId10"/>
    <sheet name="В19" sheetId="42" r:id="rId11"/>
    <sheet name="В20" sheetId="41" r:id="rId12"/>
    <sheet name="В21" sheetId="40" r:id="rId13"/>
    <sheet name="В22" sheetId="39" r:id="rId14"/>
    <sheet name="В23" sheetId="45" r:id="rId15"/>
    <sheet name="В24" sheetId="53" r:id="rId16"/>
    <sheet name="В25" sheetId="52" r:id="rId17"/>
    <sheet name="В26" sheetId="51" r:id="rId18"/>
    <sheet name="В27" sheetId="50" r:id="rId19"/>
    <sheet name="В28" sheetId="49" r:id="rId20"/>
    <sheet name="В30" sheetId="48" r:id="rId21"/>
    <sheet name="В31" sheetId="68" r:id="rId22"/>
    <sheet name="В32" sheetId="47" r:id="rId23"/>
    <sheet name="В34" sheetId="46" r:id="rId24"/>
    <sheet name="В36" sheetId="38" r:id="rId25"/>
    <sheet name="М1" sheetId="3" r:id="rId26"/>
    <sheet name="М18" sheetId="64" r:id="rId27"/>
    <sheet name="М19" sheetId="17" r:id="rId28"/>
    <sheet name="М28" sheetId="18" r:id="rId29"/>
    <sheet name="М30" sheetId="20" r:id="rId30"/>
    <sheet name="М39" sheetId="19" r:id="rId31"/>
    <sheet name="М41" sheetId="16" r:id="rId32"/>
    <sheet name="М43" sheetId="15" r:id="rId33"/>
    <sheet name="Мак.43пр" sheetId="67" r:id="rId34"/>
    <sheet name="М45" sheetId="14" r:id="rId35"/>
    <sheet name="М47" sheetId="13" r:id="rId36"/>
    <sheet name="Т3" sheetId="4" r:id="rId37"/>
    <sheet name="Т4" sheetId="32" r:id="rId38"/>
    <sheet name="Т7" sheetId="31" r:id="rId39"/>
    <sheet name="Т8" sheetId="30" r:id="rId40"/>
    <sheet name="Т9" sheetId="29" r:id="rId41"/>
    <sheet name="Т10" sheetId="28" r:id="rId42"/>
    <sheet name="Т12" sheetId="27" r:id="rId43"/>
    <sheet name="Т13" sheetId="26" r:id="rId44"/>
    <sheet name="Т14" sheetId="25" r:id="rId45"/>
    <sheet name="Т15" sheetId="24" r:id="rId46"/>
    <sheet name="Т16" sheetId="23" r:id="rId47"/>
    <sheet name="Т171" sheetId="33" r:id="rId48"/>
    <sheet name="Т172" sheetId="34" r:id="rId49"/>
    <sheet name="Т18" sheetId="63" r:id="rId50"/>
    <sheet name="Т21" sheetId="37" r:id="rId51"/>
    <sheet name="Т23" sheetId="36" r:id="rId52"/>
    <sheet name="Т27" sheetId="22" r:id="rId53"/>
    <sheet name="П100" sheetId="54" r:id="rId54"/>
    <sheet name="П179а" sheetId="5" r:id="rId55"/>
    <sheet name="П181" sheetId="55" r:id="rId56"/>
    <sheet name="П181а" sheetId="56" r:id="rId57"/>
    <sheet name="П183" sheetId="57" r:id="rId58"/>
    <sheet name="П185" sheetId="58" r:id="rId59"/>
    <sheet name="П187" sheetId="60" r:id="rId60"/>
    <sheet name="П191" sheetId="61" r:id="rId61"/>
  </sheets>
  <calcPr calcId="144525"/>
</workbook>
</file>

<file path=xl/calcChain.xml><?xml version="1.0" encoding="utf-8"?>
<calcChain xmlns="http://schemas.openxmlformats.org/spreadsheetml/2006/main">
  <c r="D32" i="5" l="1"/>
  <c r="D25" i="14"/>
  <c r="D24" i="18"/>
  <c r="D23" i="52"/>
  <c r="D55" i="8"/>
  <c r="D49" i="15"/>
  <c r="D26" i="15"/>
  <c r="D16" i="20"/>
  <c r="D47" i="54"/>
  <c r="E26" i="70"/>
  <c r="E25" i="70" s="1"/>
  <c r="D25" i="70"/>
  <c r="D24" i="70"/>
  <c r="E23" i="70"/>
  <c r="E22" i="70"/>
  <c r="E21" i="70"/>
  <c r="D20" i="70"/>
  <c r="D19" i="70" s="1"/>
  <c r="D16" i="70"/>
  <c r="D46" i="20"/>
  <c r="D48" i="20" s="1"/>
  <c r="D52" i="38"/>
  <c r="D47" i="47"/>
  <c r="D52" i="46"/>
  <c r="E26" i="68"/>
  <c r="E25" i="68" s="1"/>
  <c r="D25" i="68"/>
  <c r="D24" i="68"/>
  <c r="E23" i="68"/>
  <c r="E22" i="68"/>
  <c r="E21" i="68" s="1"/>
  <c r="E20" i="68" s="1"/>
  <c r="D21" i="68"/>
  <c r="D20" i="68"/>
  <c r="D17" i="68"/>
  <c r="D28" i="45"/>
  <c r="D47" i="40"/>
  <c r="D29" i="42"/>
  <c r="D54" i="2"/>
  <c r="D30" i="12"/>
  <c r="D48" i="14"/>
  <c r="D52" i="14" s="1"/>
  <c r="D45" i="16"/>
  <c r="D47" i="16" s="1"/>
  <c r="D31" i="19"/>
  <c r="D47" i="17"/>
  <c r="D28" i="54"/>
  <c r="D22" i="38"/>
  <c r="D27" i="38"/>
  <c r="D28" i="46"/>
  <c r="D46" i="47"/>
  <c r="D48" i="47" s="1"/>
  <c r="D26" i="47"/>
  <c r="D27" i="48"/>
  <c r="D22" i="49"/>
  <c r="D24" i="49"/>
  <c r="D22" i="50"/>
  <c r="D27" i="50"/>
  <c r="D46" i="51"/>
  <c r="D48" i="51" s="1"/>
  <c r="D25" i="51"/>
  <c r="D45" i="52"/>
  <c r="D47" i="52" s="1"/>
  <c r="D19" i="52"/>
  <c r="D24" i="52"/>
  <c r="D26" i="53"/>
  <c r="D25" i="45"/>
  <c r="D27" i="39"/>
  <c r="D20" i="40"/>
  <c r="D26" i="40"/>
  <c r="D27" i="41"/>
  <c r="D25" i="42"/>
  <c r="D25" i="43"/>
  <c r="D50" i="44"/>
  <c r="D53" i="44" s="1"/>
  <c r="D28" i="44"/>
  <c r="D40" i="2"/>
  <c r="D57" i="2"/>
  <c r="D59" i="2" s="1"/>
  <c r="D53" i="2"/>
  <c r="D32" i="2"/>
  <c r="D21" i="10"/>
  <c r="D25" i="10"/>
  <c r="D21" i="11"/>
  <c r="D24" i="11"/>
  <c r="D54" i="8"/>
  <c r="D31" i="8"/>
  <c r="D26" i="9"/>
  <c r="D52" i="6"/>
  <c r="D53" i="6" s="1"/>
  <c r="D54" i="6" s="1"/>
  <c r="D30" i="6"/>
  <c r="D46" i="13"/>
  <c r="D48" i="13" s="1"/>
  <c r="D20" i="13"/>
  <c r="D26" i="13"/>
  <c r="D26" i="14"/>
  <c r="D20" i="67"/>
  <c r="D23" i="16"/>
  <c r="D25" i="16"/>
  <c r="D28" i="19"/>
  <c r="D30" i="19"/>
  <c r="D16" i="19"/>
  <c r="D24" i="20"/>
  <c r="D26" i="20"/>
  <c r="D25" i="18"/>
  <c r="D46" i="17"/>
  <c r="D48" i="17" s="1"/>
  <c r="D25" i="17"/>
  <c r="D13" i="17"/>
  <c r="D46" i="64"/>
  <c r="D48" i="64" s="1"/>
  <c r="D23" i="64"/>
  <c r="D25" i="64"/>
  <c r="D26" i="64"/>
  <c r="E26" i="3"/>
  <c r="E25" i="3"/>
  <c r="D25" i="37"/>
  <c r="D30" i="34"/>
  <c r="D26" i="33"/>
  <c r="D43" i="61"/>
  <c r="D42" i="61"/>
  <c r="D44" i="61" s="1"/>
  <c r="D22" i="61"/>
  <c r="D23" i="61"/>
  <c r="D23" i="60"/>
  <c r="D26" i="60"/>
  <c r="D24" i="60" s="1"/>
  <c r="D27" i="58"/>
  <c r="D25" i="58" s="1"/>
  <c r="D24" i="58"/>
  <c r="D23" i="57"/>
  <c r="D26" i="57"/>
  <c r="D24" i="57" s="1"/>
  <c r="D46" i="56"/>
  <c r="D45" i="56"/>
  <c r="D27" i="56"/>
  <c r="D24" i="55"/>
  <c r="D27" i="55"/>
  <c r="D25" i="55" s="1"/>
  <c r="D51" i="5"/>
  <c r="D28" i="5"/>
  <c r="D29" i="5"/>
  <c r="D34" i="63"/>
  <c r="D46" i="22"/>
  <c r="D27" i="36"/>
  <c r="D27" i="24"/>
  <c r="D44" i="24"/>
  <c r="D25" i="24"/>
  <c r="D26" i="36"/>
  <c r="D46" i="37"/>
  <c r="D24" i="37"/>
  <c r="D45" i="63"/>
  <c r="D26" i="63"/>
  <c r="D14" i="63"/>
  <c r="D28" i="34"/>
  <c r="D27" i="34"/>
  <c r="D37" i="34"/>
  <c r="D46" i="33"/>
  <c r="D25" i="33"/>
  <c r="D24" i="23"/>
  <c r="D24" i="24"/>
  <c r="D41" i="25"/>
  <c r="D26" i="25"/>
  <c r="D23" i="25"/>
  <c r="D25" i="26"/>
  <c r="D25" i="27"/>
  <c r="D25" i="28"/>
  <c r="D24" i="29"/>
  <c r="D26" i="30"/>
  <c r="D27" i="31"/>
  <c r="D26" i="32"/>
  <c r="D28" i="4"/>
  <c r="D27" i="22"/>
  <c r="D45" i="22"/>
  <c r="D26" i="22"/>
  <c r="D21" i="37"/>
  <c r="D20" i="37" s="1"/>
  <c r="D45" i="37"/>
  <c r="D47" i="37" s="1"/>
  <c r="D14" i="22"/>
  <c r="D17" i="22" s="1"/>
  <c r="H16" i="22" s="1"/>
  <c r="D29" i="32"/>
  <c r="E26" i="67"/>
  <c r="E25" i="67" s="1"/>
  <c r="D25" i="67"/>
  <c r="D22" i="67"/>
  <c r="E21" i="67"/>
  <c r="D16" i="67"/>
  <c r="D42" i="67" s="1"/>
  <c r="D47" i="56" l="1"/>
  <c r="D21" i="50"/>
  <c r="D19" i="40"/>
  <c r="D56" i="8"/>
  <c r="E20" i="70"/>
  <c r="E19" i="70" s="1"/>
  <c r="D19" i="67"/>
  <c r="D29" i="70"/>
  <c r="D39" i="70"/>
  <c r="D29" i="68"/>
  <c r="D28" i="68" s="1"/>
  <c r="D35" i="68" s="1"/>
  <c r="D37" i="68" s="1"/>
  <c r="D39" i="68" s="1"/>
  <c r="D40" i="68" s="1"/>
  <c r="D36" i="68"/>
  <c r="D55" i="2"/>
  <c r="D21" i="38"/>
  <c r="D30" i="67"/>
  <c r="D29" i="67" s="1"/>
  <c r="D22" i="64"/>
  <c r="D47" i="22"/>
  <c r="E20" i="67"/>
  <c r="E19" i="67" s="1"/>
  <c r="E22" i="55"/>
  <c r="D20" i="55"/>
  <c r="D19" i="55" s="1"/>
  <c r="D21" i="22"/>
  <c r="D20" i="22" s="1"/>
  <c r="D28" i="70" l="1"/>
  <c r="D38" i="70" s="1"/>
  <c r="D40" i="70" s="1"/>
  <c r="D42" i="70" s="1"/>
  <c r="D43" i="70" s="1"/>
  <c r="D41" i="67"/>
  <c r="D43" i="67" s="1"/>
  <c r="E28" i="22"/>
  <c r="E23" i="22"/>
  <c r="E24" i="22"/>
  <c r="E22" i="22"/>
  <c r="D23" i="15"/>
  <c r="D27" i="19"/>
  <c r="D23" i="30"/>
  <c r="D22" i="30" s="1"/>
  <c r="D25" i="13"/>
  <c r="D20" i="18"/>
  <c r="D19" i="18" s="1"/>
  <c r="D20" i="17"/>
  <c r="D24" i="17"/>
  <c r="D27" i="13"/>
  <c r="D27" i="14"/>
  <c r="D28" i="20"/>
  <c r="D27" i="18"/>
  <c r="D26" i="17"/>
  <c r="D27" i="64"/>
  <c r="D29" i="46"/>
  <c r="D28" i="38"/>
  <c r="D22" i="46"/>
  <c r="D21" i="46" s="1"/>
  <c r="D27" i="47"/>
  <c r="D22" i="48"/>
  <c r="D21" i="48" s="1"/>
  <c r="D28" i="48"/>
  <c r="D26" i="49"/>
  <c r="D28" i="50"/>
  <c r="D26" i="51"/>
  <c r="D26" i="52"/>
  <c r="D26" i="45"/>
  <c r="D27" i="40"/>
  <c r="D28" i="41"/>
  <c r="D27" i="43"/>
  <c r="D32" i="8"/>
  <c r="D30" i="44"/>
  <c r="D24" i="8"/>
  <c r="D23" i="8" s="1"/>
  <c r="D27" i="9"/>
  <c r="D23" i="6"/>
  <c r="D22" i="6" s="1"/>
  <c r="D31" i="6"/>
  <c r="D19" i="17" l="1"/>
  <c r="D45" i="67"/>
  <c r="D46" i="67" s="1"/>
  <c r="D36" i="46"/>
  <c r="D35" i="47"/>
  <c r="E21" i="61" l="1"/>
  <c r="D15" i="60"/>
  <c r="D39" i="60" s="1"/>
  <c r="E24" i="61"/>
  <c r="E21" i="60"/>
  <c r="E20" i="60"/>
  <c r="E25" i="60"/>
  <c r="E22" i="58"/>
  <c r="E21" i="58"/>
  <c r="E26" i="58"/>
  <c r="D18" i="56"/>
  <c r="D14" i="57"/>
  <c r="E21" i="57"/>
  <c r="E20" i="57"/>
  <c r="E25" i="57"/>
  <c r="E24" i="56"/>
  <c r="E25" i="56"/>
  <c r="E23" i="56"/>
  <c r="E30" i="56"/>
  <c r="E21" i="55"/>
  <c r="E20" i="55" s="1"/>
  <c r="E26" i="55"/>
  <c r="E27" i="5"/>
  <c r="E26" i="5"/>
  <c r="E30" i="5"/>
  <c r="E25" i="54"/>
  <c r="E26" i="54"/>
  <c r="E27" i="54"/>
  <c r="E24" i="54"/>
  <c r="E30" i="54"/>
  <c r="E28" i="36" l="1"/>
  <c r="E24" i="36"/>
  <c r="E25" i="36"/>
  <c r="E23" i="36"/>
  <c r="E22" i="37"/>
  <c r="E26" i="37"/>
  <c r="E28" i="63"/>
  <c r="D21" i="63"/>
  <c r="D20" i="63" s="1"/>
  <c r="E22" i="63"/>
  <c r="E29" i="34"/>
  <c r="E24" i="34"/>
  <c r="E25" i="34"/>
  <c r="E23" i="34"/>
  <c r="D17" i="24"/>
  <c r="E23" i="33"/>
  <c r="E24" i="33"/>
  <c r="E22" i="33"/>
  <c r="E27" i="33"/>
  <c r="E23" i="23"/>
  <c r="E26" i="23"/>
  <c r="E26" i="24"/>
  <c r="E22" i="24"/>
  <c r="E22" i="25"/>
  <c r="E21" i="25" s="1"/>
  <c r="D21" i="25"/>
  <c r="E25" i="25"/>
  <c r="E23" i="26"/>
  <c r="E27" i="26"/>
  <c r="E23" i="27"/>
  <c r="E27" i="27"/>
  <c r="E27" i="28"/>
  <c r="E23" i="28"/>
  <c r="E26" i="29"/>
  <c r="E24" i="30"/>
  <c r="E28" i="30"/>
  <c r="E23" i="31"/>
  <c r="E29" i="31"/>
  <c r="E28" i="32"/>
  <c r="E22" i="32"/>
  <c r="E24" i="4"/>
  <c r="E30" i="4"/>
  <c r="E28" i="13"/>
  <c r="E22" i="13"/>
  <c r="E23" i="13"/>
  <c r="E21" i="13"/>
  <c r="D16" i="13"/>
  <c r="D32" i="13" s="1"/>
  <c r="D15" i="14"/>
  <c r="D21" i="14"/>
  <c r="E24" i="14"/>
  <c r="E23" i="14"/>
  <c r="E22" i="14"/>
  <c r="E28" i="14"/>
  <c r="D17" i="15"/>
  <c r="E27" i="15"/>
  <c r="D16" i="16"/>
  <c r="E21" i="16"/>
  <c r="E22" i="16"/>
  <c r="E20" i="16"/>
  <c r="D26" i="16"/>
  <c r="E27" i="16"/>
  <c r="E26" i="16" s="1"/>
  <c r="D19" i="19"/>
  <c r="E32" i="19"/>
  <c r="D23" i="20"/>
  <c r="E22" i="20"/>
  <c r="E21" i="20"/>
  <c r="E29" i="20"/>
  <c r="D16" i="18"/>
  <c r="E28" i="18"/>
  <c r="E27" i="17"/>
  <c r="E22" i="17"/>
  <c r="E23" i="17"/>
  <c r="E21" i="17"/>
  <c r="D16" i="17"/>
  <c r="E28" i="64"/>
  <c r="E27" i="64" s="1"/>
  <c r="E24" i="64"/>
  <c r="E23" i="64" s="1"/>
  <c r="D19" i="64"/>
  <c r="D32" i="64" s="1"/>
  <c r="D31" i="64" s="1"/>
  <c r="F21" i="3"/>
  <c r="F27" i="3"/>
  <c r="E29" i="38"/>
  <c r="E30" i="46"/>
  <c r="E24" i="46"/>
  <c r="E25" i="46"/>
  <c r="E23" i="46"/>
  <c r="E28" i="47"/>
  <c r="E22" i="47"/>
  <c r="E23" i="47"/>
  <c r="E21" i="47"/>
  <c r="D16" i="47"/>
  <c r="D32" i="47" s="1"/>
  <c r="D31" i="47" s="1"/>
  <c r="E29" i="48"/>
  <c r="E23" i="49"/>
  <c r="E22" i="49" s="1"/>
  <c r="E27" i="49"/>
  <c r="D18" i="50"/>
  <c r="E24" i="50"/>
  <c r="E25" i="50"/>
  <c r="E23" i="50"/>
  <c r="D16" i="51"/>
  <c r="E22" i="51"/>
  <c r="E23" i="51"/>
  <c r="E24" i="51"/>
  <c r="E21" i="51"/>
  <c r="D15" i="52"/>
  <c r="E27" i="52"/>
  <c r="E23" i="53"/>
  <c r="E24" i="53"/>
  <c r="E25" i="53"/>
  <c r="E22" i="53"/>
  <c r="E28" i="53"/>
  <c r="E23" i="45"/>
  <c r="E27" i="45"/>
  <c r="E38" i="45"/>
  <c r="D18" i="39"/>
  <c r="E23" i="39"/>
  <c r="E29" i="39"/>
  <c r="E22" i="40"/>
  <c r="E23" i="40"/>
  <c r="E21" i="40"/>
  <c r="E28" i="40"/>
  <c r="E25" i="41"/>
  <c r="E26" i="41"/>
  <c r="E24" i="41"/>
  <c r="E29" i="41"/>
  <c r="D21" i="42"/>
  <c r="D20" i="42" s="1"/>
  <c r="E23" i="42"/>
  <c r="E24" i="42"/>
  <c r="E20" i="40" l="1"/>
  <c r="D20" i="14"/>
  <c r="E21" i="14"/>
  <c r="E23" i="20"/>
  <c r="D20" i="20"/>
  <c r="D19" i="20" s="1"/>
  <c r="E22" i="64"/>
  <c r="D40" i="64" s="1"/>
  <c r="D41" i="64"/>
  <c r="E22" i="42"/>
  <c r="E21" i="42" s="1"/>
  <c r="E20" i="42" s="1"/>
  <c r="E28" i="42"/>
  <c r="E27" i="42" s="1"/>
  <c r="E22" i="43"/>
  <c r="E23" i="43"/>
  <c r="E21" i="43"/>
  <c r="E28" i="43"/>
  <c r="D22" i="44"/>
  <c r="D21" i="44" s="1"/>
  <c r="D18" i="44"/>
  <c r="E24" i="44"/>
  <c r="E25" i="44"/>
  <c r="E26" i="44"/>
  <c r="E23" i="44"/>
  <c r="E31" i="44"/>
  <c r="E30" i="44" s="1"/>
  <c r="E23" i="10"/>
  <c r="E24" i="10"/>
  <c r="E22" i="10"/>
  <c r="E28" i="10"/>
  <c r="E27" i="10" s="1"/>
  <c r="E23" i="12"/>
  <c r="E24" i="12"/>
  <c r="E25" i="12"/>
  <c r="E22" i="12"/>
  <c r="D17" i="12"/>
  <c r="E29" i="12"/>
  <c r="E28" i="12" s="1"/>
  <c r="D17" i="11"/>
  <c r="E23" i="11"/>
  <c r="E22" i="11"/>
  <c r="E27" i="11"/>
  <c r="D18" i="9"/>
  <c r="D20" i="8"/>
  <c r="E26" i="8"/>
  <c r="E33" i="8"/>
  <c r="E24" i="9"/>
  <c r="E28" i="9"/>
  <c r="E27" i="9" s="1"/>
  <c r="E23" i="9"/>
  <c r="E22" i="9" s="1"/>
  <c r="D18" i="6"/>
  <c r="E32" i="6"/>
  <c r="E31" i="6" s="1"/>
  <c r="E25" i="6"/>
  <c r="E26" i="6"/>
  <c r="E24" i="6"/>
  <c r="E34" i="2"/>
  <c r="E33" i="2" s="1"/>
  <c r="D33" i="2"/>
  <c r="E29" i="2"/>
  <c r="E27" i="2"/>
  <c r="E28" i="2"/>
  <c r="E30" i="2"/>
  <c r="D22" i="2"/>
  <c r="D37" i="2" s="1"/>
  <c r="D36" i="2" s="1"/>
  <c r="E27" i="63"/>
  <c r="D27" i="63"/>
  <c r="E21" i="63"/>
  <c r="E20" i="63" s="1"/>
  <c r="E29" i="5"/>
  <c r="D25" i="5"/>
  <c r="D24" i="5" s="1"/>
  <c r="D49" i="5"/>
  <c r="D26" i="2"/>
  <c r="D25" i="2" s="1"/>
  <c r="E23" i="61"/>
  <c r="E20" i="61"/>
  <c r="E19" i="61" s="1"/>
  <c r="D20" i="61"/>
  <c r="D19" i="61" s="1"/>
  <c r="E24" i="60"/>
  <c r="E19" i="60"/>
  <c r="E18" i="60" s="1"/>
  <c r="D19" i="60"/>
  <c r="D18" i="60" s="1"/>
  <c r="D28" i="60"/>
  <c r="D27" i="60" s="1"/>
  <c r="E25" i="58"/>
  <c r="E20" i="58"/>
  <c r="E19" i="58" s="1"/>
  <c r="D20" i="58"/>
  <c r="D19" i="58" s="1"/>
  <c r="D16" i="58"/>
  <c r="D29" i="58" s="1"/>
  <c r="D28" i="58" s="1"/>
  <c r="E24" i="57"/>
  <c r="E19" i="57"/>
  <c r="E18" i="57" s="1"/>
  <c r="D19" i="57"/>
  <c r="D18" i="57" s="1"/>
  <c r="D15" i="57"/>
  <c r="E29" i="56"/>
  <c r="D29" i="56"/>
  <c r="D22" i="56"/>
  <c r="D21" i="56" s="1"/>
  <c r="E25" i="55"/>
  <c r="E19" i="55"/>
  <c r="D16" i="55"/>
  <c r="D29" i="55" s="1"/>
  <c r="D28" i="55" s="1"/>
  <c r="E29" i="54"/>
  <c r="D29" i="54"/>
  <c r="E23" i="54"/>
  <c r="E22" i="54" s="1"/>
  <c r="D23" i="54"/>
  <c r="D22" i="54" s="1"/>
  <c r="D46" i="54"/>
  <c r="D48" i="54" s="1"/>
  <c r="E27" i="22"/>
  <c r="E27" i="36"/>
  <c r="E22" i="36"/>
  <c r="E21" i="36" s="1"/>
  <c r="D22" i="36"/>
  <c r="D21" i="36"/>
  <c r="D18" i="36"/>
  <c r="D31" i="36" s="1"/>
  <c r="E25" i="37"/>
  <c r="E28" i="34"/>
  <c r="E26" i="34"/>
  <c r="D22" i="34"/>
  <c r="D21" i="34" s="1"/>
  <c r="D18" i="34"/>
  <c r="E26" i="33"/>
  <c r="D21" i="33"/>
  <c r="D20" i="33" s="1"/>
  <c r="E25" i="23"/>
  <c r="D25" i="23"/>
  <c r="E22" i="23"/>
  <c r="E21" i="23" s="1"/>
  <c r="D22" i="23"/>
  <c r="D21" i="23" s="1"/>
  <c r="D18" i="23"/>
  <c r="E25" i="24"/>
  <c r="E21" i="24"/>
  <c r="E20" i="24" s="1"/>
  <c r="D21" i="24"/>
  <c r="D20" i="24" s="1"/>
  <c r="E24" i="25"/>
  <c r="D24" i="25"/>
  <c r="E20" i="25"/>
  <c r="D20" i="25"/>
  <c r="D40" i="25"/>
  <c r="E26" i="26"/>
  <c r="D26" i="26"/>
  <c r="E24" i="26"/>
  <c r="D22" i="26"/>
  <c r="D21" i="26" s="1"/>
  <c r="D18" i="26"/>
  <c r="E26" i="27"/>
  <c r="D26" i="27"/>
  <c r="E24" i="27"/>
  <c r="E22" i="27"/>
  <c r="E21" i="27" s="1"/>
  <c r="D22" i="27"/>
  <c r="D21" i="27" s="1"/>
  <c r="D18" i="27"/>
  <c r="E26" i="28"/>
  <c r="D26" i="28"/>
  <c r="E24" i="28"/>
  <c r="E22" i="28" s="1"/>
  <c r="E21" i="28" s="1"/>
  <c r="D22" i="28"/>
  <c r="D21" i="28" s="1"/>
  <c r="D18" i="28"/>
  <c r="E25" i="29"/>
  <c r="D25" i="29"/>
  <c r="E23" i="29"/>
  <c r="E22" i="29"/>
  <c r="D21" i="29"/>
  <c r="D20" i="29" s="1"/>
  <c r="D17" i="29"/>
  <c r="E27" i="30"/>
  <c r="D27" i="30"/>
  <c r="E23" i="30"/>
  <c r="E22" i="30" s="1"/>
  <c r="D19" i="30"/>
  <c r="E28" i="31"/>
  <c r="D28" i="31"/>
  <c r="E26" i="31"/>
  <c r="E25" i="31"/>
  <c r="E24" i="31"/>
  <c r="D22" i="31"/>
  <c r="D21" i="31" s="1"/>
  <c r="D18" i="31"/>
  <c r="E27" i="32"/>
  <c r="D27" i="32"/>
  <c r="E25" i="32"/>
  <c r="E24" i="32"/>
  <c r="E23" i="32"/>
  <c r="D21" i="32"/>
  <c r="D20" i="32" s="1"/>
  <c r="D17" i="32"/>
  <c r="E29" i="4"/>
  <c r="D29" i="4"/>
  <c r="E27" i="4"/>
  <c r="E26" i="4"/>
  <c r="E25" i="4"/>
  <c r="D23" i="4"/>
  <c r="D22" i="4" s="1"/>
  <c r="D19" i="4"/>
  <c r="E27" i="13"/>
  <c r="D19" i="13"/>
  <c r="E27" i="14"/>
  <c r="E26" i="15"/>
  <c r="E22" i="15"/>
  <c r="D21" i="15"/>
  <c r="D20" i="15" s="1"/>
  <c r="D52" i="15"/>
  <c r="D31" i="15"/>
  <c r="D30" i="15" s="1"/>
  <c r="D19" i="16"/>
  <c r="D18" i="16" s="1"/>
  <c r="D31" i="16"/>
  <c r="D30" i="16" s="1"/>
  <c r="E31" i="19"/>
  <c r="E26" i="19"/>
  <c r="E25" i="19"/>
  <c r="E24" i="19"/>
  <c r="D23" i="19"/>
  <c r="D22" i="19" s="1"/>
  <c r="D52" i="19"/>
  <c r="D54" i="19" s="1"/>
  <c r="E28" i="20"/>
  <c r="E27" i="18"/>
  <c r="E23" i="18"/>
  <c r="E22" i="18"/>
  <c r="E21" i="18"/>
  <c r="D32" i="18"/>
  <c r="E26" i="17"/>
  <c r="F26" i="3"/>
  <c r="F20" i="3"/>
  <c r="F19" i="3" s="1"/>
  <c r="F23" i="3"/>
  <c r="F22" i="3"/>
  <c r="E20" i="3"/>
  <c r="E19" i="3" s="1"/>
  <c r="E16" i="3"/>
  <c r="E28" i="38"/>
  <c r="E25" i="38"/>
  <c r="E24" i="38"/>
  <c r="E23" i="38"/>
  <c r="D50" i="38"/>
  <c r="D18" i="38"/>
  <c r="E29" i="46"/>
  <c r="D49" i="46"/>
  <c r="D54" i="46" s="1"/>
  <c r="E27" i="47"/>
  <c r="D20" i="47"/>
  <c r="D19" i="47" s="1"/>
  <c r="E28" i="48"/>
  <c r="E25" i="48"/>
  <c r="E24" i="48"/>
  <c r="E23" i="48"/>
  <c r="D18" i="48"/>
  <c r="D33" i="48" s="1"/>
  <c r="D32" i="48" s="1"/>
  <c r="E26" i="49"/>
  <c r="E21" i="49"/>
  <c r="D21" i="49"/>
  <c r="D18" i="49"/>
  <c r="D31" i="49" s="1"/>
  <c r="D30" i="49" s="1"/>
  <c r="D33" i="50"/>
  <c r="D32" i="50" s="1"/>
  <c r="D20" i="51"/>
  <c r="D19" i="51" s="1"/>
  <c r="E26" i="52"/>
  <c r="E22" i="52"/>
  <c r="E21" i="52"/>
  <c r="E20" i="52"/>
  <c r="E27" i="53"/>
  <c r="D17" i="53"/>
  <c r="D32" i="53" s="1"/>
  <c r="E37" i="45"/>
  <c r="D37" i="45"/>
  <c r="E26" i="45"/>
  <c r="E22" i="45"/>
  <c r="E21" i="45" s="1"/>
  <c r="D18" i="45"/>
  <c r="D31" i="45" s="1"/>
  <c r="D30" i="45" s="1"/>
  <c r="E28" i="39"/>
  <c r="D28" i="39"/>
  <c r="E22" i="39"/>
  <c r="E21" i="39" s="1"/>
  <c r="E27" i="40"/>
  <c r="D46" i="40"/>
  <c r="D48" i="40" s="1"/>
  <c r="E28" i="41"/>
  <c r="E23" i="41"/>
  <c r="E22" i="41" s="1"/>
  <c r="D19" i="41"/>
  <c r="D33" i="41" s="1"/>
  <c r="D27" i="42"/>
  <c r="D17" i="42"/>
  <c r="D16" i="43"/>
  <c r="D17" i="10"/>
  <c r="D21" i="12"/>
  <c r="D20" i="12" s="1"/>
  <c r="E26" i="11"/>
  <c r="D20" i="11"/>
  <c r="E27" i="8"/>
  <c r="E25" i="8"/>
  <c r="D22" i="9"/>
  <c r="D21" i="9" s="1"/>
  <c r="D38" i="60" l="1"/>
  <c r="D40" i="60" s="1"/>
  <c r="D42" i="60" s="1"/>
  <c r="D43" i="60" s="1"/>
  <c r="D38" i="55"/>
  <c r="E19" i="52"/>
  <c r="E21" i="10"/>
  <c r="E20" i="10" s="1"/>
  <c r="E21" i="11"/>
  <c r="E20" i="11" s="1"/>
  <c r="D19" i="6"/>
  <c r="D46" i="6" s="1"/>
  <c r="E20" i="18"/>
  <c r="E19" i="18" s="1"/>
  <c r="D47" i="63"/>
  <c r="D54" i="38"/>
  <c r="E22" i="44"/>
  <c r="E25" i="5"/>
  <c r="E24" i="5" s="1"/>
  <c r="E22" i="34"/>
  <c r="E21" i="34" s="1"/>
  <c r="D17" i="25"/>
  <c r="D28" i="25" s="1"/>
  <c r="E21" i="29"/>
  <c r="E20" i="29" s="1"/>
  <c r="E21" i="15"/>
  <c r="E20" i="15" s="1"/>
  <c r="E23" i="19"/>
  <c r="E22" i="19" s="1"/>
  <c r="D42" i="64"/>
  <c r="E20" i="47"/>
  <c r="E19" i="47" s="1"/>
  <c r="E22" i="48"/>
  <c r="E21" i="48" s="1"/>
  <c r="E29" i="50"/>
  <c r="E28" i="50" s="1"/>
  <c r="E27" i="51"/>
  <c r="E26" i="51" s="1"/>
  <c r="E27" i="43"/>
  <c r="E20" i="43"/>
  <c r="E19" i="43" s="1"/>
  <c r="E21" i="44"/>
  <c r="E32" i="8"/>
  <c r="E24" i="8"/>
  <c r="E23" i="8" s="1"/>
  <c r="D20" i="43"/>
  <c r="D19" i="43" s="1"/>
  <c r="D23" i="41"/>
  <c r="D22" i="41" s="1"/>
  <c r="D22" i="45"/>
  <c r="D21" i="45" s="1"/>
  <c r="E20" i="20"/>
  <c r="E19" i="20" s="1"/>
  <c r="E20" i="13"/>
  <c r="E19" i="13" s="1"/>
  <c r="E23" i="4"/>
  <c r="E22" i="4" s="1"/>
  <c r="E22" i="26"/>
  <c r="E21" i="26" s="1"/>
  <c r="E21" i="22"/>
  <c r="E20" i="22" s="1"/>
  <c r="E22" i="56"/>
  <c r="E21" i="56" s="1"/>
  <c r="D53" i="5"/>
  <c r="D18" i="52"/>
  <c r="E19" i="16"/>
  <c r="E18" i="16" s="1"/>
  <c r="D39" i="16" s="1"/>
  <c r="E19" i="40"/>
  <c r="E21" i="53"/>
  <c r="E20" i="53" s="1"/>
  <c r="E18" i="52"/>
  <c r="E20" i="51"/>
  <c r="E19" i="51" s="1"/>
  <c r="E22" i="50"/>
  <c r="E21" i="50" s="1"/>
  <c r="E22" i="46"/>
  <c r="E21" i="46" s="1"/>
  <c r="E22" i="38"/>
  <c r="E21" i="38" s="1"/>
  <c r="E21" i="32"/>
  <c r="E20" i="32" s="1"/>
  <c r="E22" i="31"/>
  <c r="E21" i="31" s="1"/>
  <c r="E21" i="33"/>
  <c r="E20" i="33" s="1"/>
  <c r="D17" i="63"/>
  <c r="D21" i="5"/>
  <c r="E21" i="37"/>
  <c r="E20" i="37" s="1"/>
  <c r="E20" i="14"/>
  <c r="E20" i="17"/>
  <c r="E19" i="17" s="1"/>
  <c r="D21" i="53"/>
  <c r="D20" i="53" s="1"/>
  <c r="D27" i="53"/>
  <c r="D22" i="39"/>
  <c r="D21" i="39" s="1"/>
  <c r="D20" i="10"/>
  <c r="D27" i="10"/>
  <c r="D28" i="12"/>
  <c r="D26" i="11"/>
  <c r="D48" i="2"/>
  <c r="E26" i="2"/>
  <c r="E25" i="2" s="1"/>
  <c r="D47" i="2" s="1"/>
  <c r="D16" i="61"/>
  <c r="D27" i="61" s="1"/>
  <c r="D39" i="58"/>
  <c r="D38" i="58"/>
  <c r="D40" i="57"/>
  <c r="D28" i="57"/>
  <c r="D39" i="55"/>
  <c r="D19" i="54"/>
  <c r="D33" i="54" s="1"/>
  <c r="D40" i="22"/>
  <c r="D31" i="22"/>
  <c r="D30" i="22" s="1"/>
  <c r="D41" i="36"/>
  <c r="D30" i="36"/>
  <c r="D40" i="36" s="1"/>
  <c r="D17" i="37"/>
  <c r="D42" i="34"/>
  <c r="D32" i="34"/>
  <c r="D31" i="34" s="1"/>
  <c r="D17" i="33"/>
  <c r="D35" i="23"/>
  <c r="D29" i="23"/>
  <c r="D39" i="24"/>
  <c r="D29" i="24"/>
  <c r="D39" i="26"/>
  <c r="D30" i="26"/>
  <c r="D29" i="26" s="1"/>
  <c r="D38" i="27"/>
  <c r="D30" i="27"/>
  <c r="D30" i="28"/>
  <c r="D29" i="28" s="1"/>
  <c r="D38" i="28" s="1"/>
  <c r="D39" i="28"/>
  <c r="D36" i="29"/>
  <c r="D38" i="30"/>
  <c r="D31" i="30"/>
  <c r="D40" i="31"/>
  <c r="D32" i="31"/>
  <c r="D31" i="31" s="1"/>
  <c r="D41" i="32"/>
  <c r="D32" i="32"/>
  <c r="D31" i="32" s="1"/>
  <c r="D33" i="4"/>
  <c r="D39" i="4"/>
  <c r="D41" i="13"/>
  <c r="D31" i="13"/>
  <c r="D17" i="14"/>
  <c r="D32" i="14" s="1"/>
  <c r="D31" i="14" s="1"/>
  <c r="D42" i="15"/>
  <c r="D40" i="16"/>
  <c r="D41" i="20"/>
  <c r="D33" i="20"/>
  <c r="D32" i="20" s="1"/>
  <c r="D42" i="18"/>
  <c r="D31" i="18"/>
  <c r="D41" i="17"/>
  <c r="D31" i="17"/>
  <c r="D30" i="17" s="1"/>
  <c r="E38" i="3"/>
  <c r="E30" i="3"/>
  <c r="D42" i="38"/>
  <c r="D33" i="38"/>
  <c r="D32" i="38" s="1"/>
  <c r="D18" i="46"/>
  <c r="D41" i="47"/>
  <c r="D42" i="48"/>
  <c r="D40" i="49"/>
  <c r="D39" i="49"/>
  <c r="D42" i="50"/>
  <c r="D41" i="51"/>
  <c r="D31" i="51"/>
  <c r="D30" i="51" s="1"/>
  <c r="D40" i="52"/>
  <c r="D31" i="52"/>
  <c r="D30" i="52" s="1"/>
  <c r="D41" i="53"/>
  <c r="D31" i="53"/>
  <c r="D41" i="45"/>
  <c r="D41" i="39"/>
  <c r="D33" i="39"/>
  <c r="D32" i="39" s="1"/>
  <c r="D16" i="40"/>
  <c r="D42" i="41"/>
  <c r="D32" i="41"/>
  <c r="D41" i="42"/>
  <c r="D32" i="42"/>
  <c r="D41" i="43"/>
  <c r="D32" i="43"/>
  <c r="D31" i="43" s="1"/>
  <c r="D44" i="44"/>
  <c r="D35" i="44"/>
  <c r="D34" i="44" s="1"/>
  <c r="D42" i="10"/>
  <c r="D32" i="10"/>
  <c r="D31" i="10" s="1"/>
  <c r="D42" i="12"/>
  <c r="D33" i="12"/>
  <c r="D32" i="12" s="1"/>
  <c r="E21" i="12"/>
  <c r="E20" i="12" s="1"/>
  <c r="D41" i="11"/>
  <c r="D31" i="11"/>
  <c r="D30" i="11" s="1"/>
  <c r="D48" i="8"/>
  <c r="D37" i="8"/>
  <c r="D36" i="8" s="1"/>
  <c r="D41" i="9"/>
  <c r="D32" i="9"/>
  <c r="D31" i="9" s="1"/>
  <c r="E21" i="9"/>
  <c r="D36" i="6"/>
  <c r="D35" i="6" s="1"/>
  <c r="E23" i="6"/>
  <c r="E22" i="6" s="1"/>
  <c r="D40" i="9" l="1"/>
  <c r="D41" i="41"/>
  <c r="D40" i="13"/>
  <c r="D39" i="52"/>
  <c r="D41" i="52" s="1"/>
  <c r="D40" i="11"/>
  <c r="D45" i="6"/>
  <c r="D47" i="8"/>
  <c r="D49" i="8" s="1"/>
  <c r="D44" i="64"/>
  <c r="D45" i="64" s="1"/>
  <c r="E29" i="3"/>
  <c r="E37" i="3" s="1"/>
  <c r="E39" i="3" s="1"/>
  <c r="E41" i="3" s="1"/>
  <c r="E42" i="3" s="1"/>
  <c r="D27" i="57"/>
  <c r="D39" i="22"/>
  <c r="D41" i="22" s="1"/>
  <c r="D42" i="36"/>
  <c r="D44" i="36" s="1"/>
  <c r="D45" i="36" s="1"/>
  <c r="D35" i="25"/>
  <c r="D40" i="28"/>
  <c r="D42" i="28" s="1"/>
  <c r="D43" i="28" s="1"/>
  <c r="D41" i="49"/>
  <c r="D43" i="49" s="1"/>
  <c r="D44" i="49" s="1"/>
  <c r="D40" i="45"/>
  <c r="D42" i="45" s="1"/>
  <c r="D44" i="45" s="1"/>
  <c r="D45" i="45" s="1"/>
  <c r="D31" i="42"/>
  <c r="D40" i="42" s="1"/>
  <c r="D42" i="42" s="1"/>
  <c r="D44" i="42" s="1"/>
  <c r="D45" i="42" s="1"/>
  <c r="D40" i="58"/>
  <c r="D42" i="58" s="1"/>
  <c r="D43" i="58" s="1"/>
  <c r="D33" i="56"/>
  <c r="D41" i="34"/>
  <c r="D43" i="34" s="1"/>
  <c r="D45" i="34" s="1"/>
  <c r="D46" i="34" s="1"/>
  <c r="D28" i="24"/>
  <c r="D28" i="23"/>
  <c r="D27" i="25"/>
  <c r="D34" i="25" s="1"/>
  <c r="D36" i="25" s="1"/>
  <c r="D38" i="26"/>
  <c r="D40" i="26" s="1"/>
  <c r="D42" i="26" s="1"/>
  <c r="D43" i="26" s="1"/>
  <c r="D29" i="27"/>
  <c r="D28" i="29"/>
  <c r="D35" i="29" s="1"/>
  <c r="D37" i="29" s="1"/>
  <c r="D39" i="29" s="1"/>
  <c r="D40" i="29" s="1"/>
  <c r="D30" i="30"/>
  <c r="D37" i="30" s="1"/>
  <c r="D39" i="30" s="1"/>
  <c r="D41" i="30" s="1"/>
  <c r="D42" i="30" s="1"/>
  <c r="D39" i="31"/>
  <c r="D41" i="31" s="1"/>
  <c r="D43" i="31" s="1"/>
  <c r="D44" i="31" s="1"/>
  <c r="D32" i="4"/>
  <c r="D38" i="4" s="1"/>
  <c r="D40" i="4" s="1"/>
  <c r="D42" i="4" s="1"/>
  <c r="D43" i="4" s="1"/>
  <c r="D41" i="15"/>
  <c r="D43" i="15" s="1"/>
  <c r="D41" i="18"/>
  <c r="D43" i="18" s="1"/>
  <c r="D45" i="18" s="1"/>
  <c r="D46" i="18" s="1"/>
  <c r="D40" i="17"/>
  <c r="D42" i="17" s="1"/>
  <c r="D40" i="47"/>
  <c r="D42" i="47" s="1"/>
  <c r="D44" i="47" s="1"/>
  <c r="D45" i="47" s="1"/>
  <c r="D41" i="48"/>
  <c r="D43" i="48" s="1"/>
  <c r="D45" i="48" s="1"/>
  <c r="D46" i="48" s="1"/>
  <c r="D41" i="50"/>
  <c r="D43" i="50" s="1"/>
  <c r="D45" i="50" s="1"/>
  <c r="D46" i="50" s="1"/>
  <c r="D40" i="43"/>
  <c r="D42" i="43" s="1"/>
  <c r="D44" i="43" s="1"/>
  <c r="D45" i="43" s="1"/>
  <c r="D43" i="44"/>
  <c r="D45" i="44" s="1"/>
  <c r="D42" i="9"/>
  <c r="D44" i="9" s="1"/>
  <c r="D45" i="9" s="1"/>
  <c r="D41" i="16"/>
  <c r="D40" i="32"/>
  <c r="D42" i="32" s="1"/>
  <c r="D44" i="32" s="1"/>
  <c r="D45" i="32" s="1"/>
  <c r="D41" i="10"/>
  <c r="D43" i="10" s="1"/>
  <c r="D45" i="10" s="1"/>
  <c r="D46" i="10" s="1"/>
  <c r="D40" i="39"/>
  <c r="D42" i="39" s="1"/>
  <c r="D44" i="39" s="1"/>
  <c r="D45" i="39" s="1"/>
  <c r="D40" i="51"/>
  <c r="D42" i="51" s="1"/>
  <c r="D41" i="38"/>
  <c r="D43" i="38" s="1"/>
  <c r="D45" i="38" s="1"/>
  <c r="D46" i="38" s="1"/>
  <c r="D40" i="20"/>
  <c r="D42" i="20" s="1"/>
  <c r="D44" i="20" s="1"/>
  <c r="D45" i="20" s="1"/>
  <c r="D40" i="56"/>
  <c r="D42" i="11"/>
  <c r="D43" i="11" s="1"/>
  <c r="D44" i="11" s="1"/>
  <c r="D42" i="13"/>
  <c r="D40" i="53"/>
  <c r="D42" i="53" s="1"/>
  <c r="D44" i="53" s="1"/>
  <c r="D45" i="53" s="1"/>
  <c r="D43" i="41"/>
  <c r="D45" i="41" s="1"/>
  <c r="D46" i="41" s="1"/>
  <c r="D40" i="55"/>
  <c r="D42" i="55" s="1"/>
  <c r="D43" i="55" s="1"/>
  <c r="D40" i="63"/>
  <c r="D31" i="63"/>
  <c r="D30" i="63" s="1"/>
  <c r="D39" i="63" s="1"/>
  <c r="D40" i="5"/>
  <c r="D41" i="5"/>
  <c r="D49" i="2"/>
  <c r="D41" i="12"/>
  <c r="D43" i="12" s="1"/>
  <c r="D44" i="12" s="1"/>
  <c r="D45" i="12" s="1"/>
  <c r="D47" i="6"/>
  <c r="D49" i="6" s="1"/>
  <c r="D50" i="6" s="1"/>
  <c r="D26" i="61"/>
  <c r="D36" i="61" s="1"/>
  <c r="D37" i="61"/>
  <c r="D32" i="54"/>
  <c r="D40" i="54" s="1"/>
  <c r="D41" i="54"/>
  <c r="D29" i="37"/>
  <c r="D28" i="37" s="1"/>
  <c r="D40" i="37"/>
  <c r="D41" i="33"/>
  <c r="D30" i="33"/>
  <c r="D41" i="14"/>
  <c r="D42" i="14"/>
  <c r="D45" i="19"/>
  <c r="D35" i="19"/>
  <c r="D34" i="19" s="1"/>
  <c r="D43" i="46"/>
  <c r="D34" i="46"/>
  <c r="D33" i="46" s="1"/>
  <c r="D41" i="40"/>
  <c r="D32" i="40"/>
  <c r="D31" i="40" s="1"/>
  <c r="D40" i="40" s="1"/>
  <c r="D39" i="57" l="1"/>
  <c r="D41" i="57" s="1"/>
  <c r="D43" i="57" s="1"/>
  <c r="D44" i="57" s="1"/>
  <c r="D32" i="56"/>
  <c r="D39" i="56" s="1"/>
  <c r="D41" i="56" s="1"/>
  <c r="D34" i="23"/>
  <c r="D36" i="23" s="1"/>
  <c r="D38" i="23" s="1"/>
  <c r="D39" i="23" s="1"/>
  <c r="D38" i="25"/>
  <c r="D39" i="25" s="1"/>
  <c r="D42" i="25" s="1"/>
  <c r="D37" i="27"/>
  <c r="D39" i="27" s="1"/>
  <c r="D41" i="27" s="1"/>
  <c r="D42" i="27" s="1"/>
  <c r="D45" i="15"/>
  <c r="D46" i="15" s="1"/>
  <c r="D53" i="15" s="1"/>
  <c r="D44" i="17"/>
  <c r="D45" i="17" s="1"/>
  <c r="D44" i="51"/>
  <c r="D45" i="51" s="1"/>
  <c r="D43" i="52"/>
  <c r="D44" i="52" s="1"/>
  <c r="D47" i="44"/>
  <c r="D48" i="44" s="1"/>
  <c r="D51" i="2"/>
  <c r="D52" i="2" s="1"/>
  <c r="D61" i="2" s="1"/>
  <c r="D51" i="8"/>
  <c r="D52" i="8" s="1"/>
  <c r="D44" i="13"/>
  <c r="D45" i="13" s="1"/>
  <c r="D43" i="16"/>
  <c r="D44" i="16" s="1"/>
  <c r="D38" i="24"/>
  <c r="D40" i="24" s="1"/>
  <c r="D42" i="24" s="1"/>
  <c r="D43" i="24" s="1"/>
  <c r="D43" i="22"/>
  <c r="D44" i="22" s="1"/>
  <c r="D29" i="33"/>
  <c r="D40" i="33" s="1"/>
  <c r="D42" i="33" s="1"/>
  <c r="D44" i="33" s="1"/>
  <c r="D45" i="33" s="1"/>
  <c r="D44" i="19"/>
  <c r="D46" i="19" s="1"/>
  <c r="D42" i="46"/>
  <c r="D44" i="46" s="1"/>
  <c r="D39" i="37"/>
  <c r="D41" i="37" s="1"/>
  <c r="D43" i="37" s="1"/>
  <c r="D44" i="37" s="1"/>
  <c r="D41" i="63"/>
  <c r="D43" i="63" s="1"/>
  <c r="D44" i="63" s="1"/>
  <c r="D42" i="40"/>
  <c r="D44" i="40" s="1"/>
  <c r="D45" i="40" s="1"/>
  <c r="D43" i="14"/>
  <c r="D45" i="14" s="1"/>
  <c r="D46" i="14" s="1"/>
  <c r="D54" i="14" s="1"/>
  <c r="D42" i="5"/>
  <c r="D44" i="5" s="1"/>
  <c r="D45" i="5" s="1"/>
  <c r="D42" i="54"/>
  <c r="D38" i="61"/>
  <c r="D40" i="61" s="1"/>
  <c r="D41" i="61" s="1"/>
  <c r="D44" i="54" l="1"/>
  <c r="D45" i="54" s="1"/>
  <c r="D46" i="46"/>
  <c r="D47" i="46" s="1"/>
  <c r="D48" i="19"/>
  <c r="D49" i="19" s="1"/>
  <c r="D43" i="56"/>
  <c r="D44" i="56" s="1"/>
</calcChain>
</file>

<file path=xl/sharedStrings.xml><?xml version="1.0" encoding="utf-8"?>
<sst xmlns="http://schemas.openxmlformats.org/spreadsheetml/2006/main" count="3891" uniqueCount="244">
  <si>
    <t xml:space="preserve">                                                      АНАЛИЗ</t>
  </si>
  <si>
    <t xml:space="preserve">         расходов на содержание и обслуживание жилого фонда по ООО "ДУ-8"</t>
  </si>
  <si>
    <t xml:space="preserve">                                    </t>
  </si>
  <si>
    <t xml:space="preserve">Наименование </t>
  </si>
  <si>
    <t>Ед.</t>
  </si>
  <si>
    <t>Факт</t>
  </si>
  <si>
    <t>статей</t>
  </si>
  <si>
    <t>изм.</t>
  </si>
  <si>
    <t>Остаток средств</t>
  </si>
  <si>
    <t>Обслуживаемая площадь</t>
  </si>
  <si>
    <t>м2</t>
  </si>
  <si>
    <t>Оплачиваемая площадь</t>
  </si>
  <si>
    <t>Начислено квартплаты</t>
  </si>
  <si>
    <t>руб.</t>
  </si>
  <si>
    <t>Доходы</t>
  </si>
  <si>
    <t>Оплата за содержание</t>
  </si>
  <si>
    <t>Текущий ремонт</t>
  </si>
  <si>
    <t>Итого доходы:</t>
  </si>
  <si>
    <t>РАСХОДЫ:</t>
  </si>
  <si>
    <t>отчисл.</t>
  </si>
  <si>
    <t>I</t>
  </si>
  <si>
    <t>Обслуживающий персонал:</t>
  </si>
  <si>
    <t>Оплата труда :</t>
  </si>
  <si>
    <t>дворник</t>
  </si>
  <si>
    <t>уборщик лест.клеток</t>
  </si>
  <si>
    <t>уборщик мусоропров.</t>
  </si>
  <si>
    <t>Материалы</t>
  </si>
  <si>
    <t>II</t>
  </si>
  <si>
    <t>Служба эксплуатации</t>
  </si>
  <si>
    <t>III</t>
  </si>
  <si>
    <t>Расходы по договорам:</t>
  </si>
  <si>
    <t>оплата услуг (Банк,почта)</t>
  </si>
  <si>
    <t>дезинсекция</t>
  </si>
  <si>
    <t>аварийная служба</t>
  </si>
  <si>
    <t>ремонт оборудования</t>
  </si>
  <si>
    <t>покупка оборудования</t>
  </si>
  <si>
    <t>тех.обслуж.приборов</t>
  </si>
  <si>
    <t>транспортные расходы</t>
  </si>
  <si>
    <t>Общеэксплуатационные расходы</t>
  </si>
  <si>
    <t>зарплата АУП</t>
  </si>
  <si>
    <t>общехозяйственные расходы</t>
  </si>
  <si>
    <t>Всего расходов по эксплуатации</t>
  </si>
  <si>
    <t>Налог 6%</t>
  </si>
  <si>
    <t>Всего расходов по себестоимости</t>
  </si>
  <si>
    <t>Фин. результат с нарастающим итогом</t>
  </si>
  <si>
    <t>Директор ООО "ДУ-8"</t>
  </si>
  <si>
    <t>Галиулин Д.Г.</t>
  </si>
  <si>
    <t>Гл.бухгалтер</t>
  </si>
  <si>
    <t>Аганов В.М.</t>
  </si>
  <si>
    <t xml:space="preserve">                                           </t>
  </si>
  <si>
    <t>изм</t>
  </si>
  <si>
    <t>измер.</t>
  </si>
  <si>
    <t>метр2</t>
  </si>
  <si>
    <t>руб</t>
  </si>
  <si>
    <t xml:space="preserve"> расходов на содержание и обслуживание жилого фонда по ООО "ДУ-8"</t>
  </si>
  <si>
    <t xml:space="preserve">                                              </t>
  </si>
  <si>
    <t xml:space="preserve">Остаток средств </t>
  </si>
  <si>
    <t>дератизация</t>
  </si>
  <si>
    <t>отчис.</t>
  </si>
  <si>
    <t xml:space="preserve">                                        </t>
  </si>
  <si>
    <t>Подготовка к отопительному сезону</t>
  </si>
  <si>
    <t>подряд.работы (гермет. швов)</t>
  </si>
  <si>
    <t>Остаток сроедств</t>
  </si>
  <si>
    <t>ремонт подъездов</t>
  </si>
  <si>
    <t>Подготовка к отопит.сезону</t>
  </si>
  <si>
    <t xml:space="preserve">    расходов на содержание и обслуживание жилого фонда по ООО "ДУ-8"</t>
  </si>
  <si>
    <t xml:space="preserve">                                             </t>
  </si>
  <si>
    <t>подрядн.работы (герм.швов)</t>
  </si>
  <si>
    <t>Остаток  средств</t>
  </si>
  <si>
    <t>ООО "Скартел"</t>
  </si>
  <si>
    <t>подряд.раб.(герм.швов,кровля)</t>
  </si>
  <si>
    <t xml:space="preserve">                                                </t>
  </si>
  <si>
    <t xml:space="preserve">  расходов на содержание и обслуживание жилого фонда по ООО "ДУ-8"</t>
  </si>
  <si>
    <t xml:space="preserve">                                            </t>
  </si>
  <si>
    <t>Начисление квартплаты</t>
  </si>
  <si>
    <t>покос травы</t>
  </si>
  <si>
    <t>Фин.результат с нарастающим итогом</t>
  </si>
  <si>
    <t>Директор ООО"ДУ-8"</t>
  </si>
  <si>
    <t xml:space="preserve">                                     </t>
  </si>
  <si>
    <t>Устранение засоров</t>
  </si>
  <si>
    <t>Галиулин Д,Г,</t>
  </si>
  <si>
    <t xml:space="preserve">                                   </t>
  </si>
  <si>
    <t>IV</t>
  </si>
  <si>
    <t>V</t>
  </si>
  <si>
    <t>VI</t>
  </si>
  <si>
    <t>VII</t>
  </si>
  <si>
    <t>VIII</t>
  </si>
  <si>
    <t>IX</t>
  </si>
  <si>
    <t xml:space="preserve">                                      </t>
  </si>
  <si>
    <t xml:space="preserve">                                          </t>
  </si>
  <si>
    <t>Ед,</t>
  </si>
  <si>
    <t>горгаз</t>
  </si>
  <si>
    <t>Прочие доходы</t>
  </si>
  <si>
    <t xml:space="preserve">оплата труда </t>
  </si>
  <si>
    <t xml:space="preserve">   расходов на содержание и обслуживание жилого фонда по ООО "ДУ-8"</t>
  </si>
  <si>
    <t>2 полугодие 2011г.</t>
  </si>
  <si>
    <t>уборщик  мусоропровода</t>
  </si>
  <si>
    <t>покос тарвы</t>
  </si>
  <si>
    <t xml:space="preserve">       расходов на содержание и обслуживание жилого фонда по ООО "ДУ-8"</t>
  </si>
  <si>
    <t xml:space="preserve">      расходов на содержание и обслуживание жилого фонда по ООО "ДУ-8"</t>
  </si>
  <si>
    <t>Остаток средств на содерж.ж.фонда</t>
  </si>
  <si>
    <t>Остаток средств на текущий ремонт</t>
  </si>
  <si>
    <t>Текущий  ремонт ( оплата)</t>
  </si>
  <si>
    <t>Расход текущего ремонта</t>
  </si>
  <si>
    <t>Остаток средств на текущего ремонта</t>
  </si>
  <si>
    <t>Прочие доходы (аренда)</t>
  </si>
  <si>
    <t>подряд.работы (герм.швов,крыши)</t>
  </si>
  <si>
    <t>РАСХОДЫ</t>
  </si>
  <si>
    <t>Обслуживающий персонал</t>
  </si>
  <si>
    <t>Ген.директор                                                                       Галиулин Д.Г.</t>
  </si>
  <si>
    <t>Гл.бухгалтер                                                                        Аганов В.М.</t>
  </si>
  <si>
    <t>Остаток средств на содерж.жил.дома</t>
  </si>
  <si>
    <t>Остаток средств на тек.ремонт</t>
  </si>
  <si>
    <t>Остаток средств на содержание</t>
  </si>
  <si>
    <t>Остаток средств текущего ремонта</t>
  </si>
  <si>
    <t>Остаток текущего ремонта</t>
  </si>
  <si>
    <t>подряд.работы (герм.швов.крыши)</t>
  </si>
  <si>
    <t xml:space="preserve">Прочие доходы </t>
  </si>
  <si>
    <t>подрядные работы(двор.тер.)</t>
  </si>
  <si>
    <t xml:space="preserve"> Прочие доходы</t>
  </si>
  <si>
    <t>Остаток средств на текущий рем.</t>
  </si>
  <si>
    <t xml:space="preserve">                       за 2 полугодие 2011 г. жилого дома по ул. Пластунская , 183.</t>
  </si>
  <si>
    <t>Остаток средств на содерж.</t>
  </si>
  <si>
    <t>Остаток средств тек.рем.</t>
  </si>
  <si>
    <t>Текущий ремонт  (оплата)</t>
  </si>
  <si>
    <t xml:space="preserve">VII </t>
  </si>
  <si>
    <t>поверка средст измерения</t>
  </si>
  <si>
    <t xml:space="preserve">                       за  2013 г. жилого дома по ул.Абрикосовая, 18</t>
  </si>
  <si>
    <t>за  2013г.</t>
  </si>
  <si>
    <t>Текущий  ремонт</t>
  </si>
  <si>
    <t>подрядные работы</t>
  </si>
  <si>
    <t>поверка приборов учета</t>
  </si>
  <si>
    <t>изготовление договоров</t>
  </si>
  <si>
    <t xml:space="preserve">              за   2013 г. жилого дома по ул.Абрикосовая, 25</t>
  </si>
  <si>
    <t>Финансовый результат за 2013год</t>
  </si>
  <si>
    <t>Финансовый результат за 2013 год</t>
  </si>
  <si>
    <t xml:space="preserve">            за   2013 г. жилого дома по ул. Вишневая , 4.</t>
  </si>
  <si>
    <t xml:space="preserve">      за    2013 г. жилого дома по ул. Вишневая , 10.</t>
  </si>
  <si>
    <t xml:space="preserve"> за   2013г.</t>
  </si>
  <si>
    <t xml:space="preserve">           за   2013 г. жилого дома по ул. Вишневая ,12. </t>
  </si>
  <si>
    <t xml:space="preserve">  2013г.</t>
  </si>
  <si>
    <t xml:space="preserve"> 2013г.</t>
  </si>
  <si>
    <t xml:space="preserve">                       за   2013 г. жилого дома по ул. Вишневая ,13.</t>
  </si>
  <si>
    <t xml:space="preserve">                за   2013 г. жилого дома по ул. Вишневая , 16.</t>
  </si>
  <si>
    <t xml:space="preserve">   2013г.</t>
  </si>
  <si>
    <t>благоустройство территории</t>
  </si>
  <si>
    <t xml:space="preserve">                       за  2013 г. жилого дома по ул. Вишневая , 17.</t>
  </si>
  <si>
    <t xml:space="preserve">                       за   2013 г. жилого дома по ул. Вишневая , 18.</t>
  </si>
  <si>
    <t>поверка приборов</t>
  </si>
  <si>
    <t xml:space="preserve">                   за   2013 г. жилого дома по ул. Вишневая , 19.</t>
  </si>
  <si>
    <t xml:space="preserve">                  за   2013 г. жилого дома по ул. Вишневая , 20.</t>
  </si>
  <si>
    <t xml:space="preserve">                       за   2013 г. жилого дома по ул. Вишневая , 21.</t>
  </si>
  <si>
    <t xml:space="preserve"> 2013 г.</t>
  </si>
  <si>
    <t xml:space="preserve">подрядн.работы </t>
  </si>
  <si>
    <t xml:space="preserve">            за   2013 г. жилого дома по ул. Вишневая , 22.</t>
  </si>
  <si>
    <t xml:space="preserve">                       за  2013 г. жилого дома по ул. Вишневая , 23.</t>
  </si>
  <si>
    <t xml:space="preserve">                   за   2013 г. жилого дома по ул. Вишневая , 24.</t>
  </si>
  <si>
    <t xml:space="preserve">                 за  2013 г. жилого дома по ул.Вишневая , 25.</t>
  </si>
  <si>
    <t xml:space="preserve">                       за   2013 г. жилого дома по ул. Вишневая , 26.</t>
  </si>
  <si>
    <t xml:space="preserve">                       за  2013 г. жилого дома по ул. Вишневая , 27.</t>
  </si>
  <si>
    <t xml:space="preserve">                       за   2013 г. жилого дома по ул. Вишневая , 28.</t>
  </si>
  <si>
    <t xml:space="preserve">                       за   2013 г. жилого дома по ул. Вишневая , 30.</t>
  </si>
  <si>
    <t xml:space="preserve">                       за   2013 г. жилого дома по ул. Вишневая , 32.</t>
  </si>
  <si>
    <t xml:space="preserve">                       за  2013 г. жилого дома по ул. Вишневая , 34.</t>
  </si>
  <si>
    <t xml:space="preserve">                       за   2013 г. жилого дома по ул. Вишневая , 36.</t>
  </si>
  <si>
    <t xml:space="preserve">  2013 г.</t>
  </si>
  <si>
    <t xml:space="preserve">                за    2013 г. жилого дома по ул.Макаренко,1</t>
  </si>
  <si>
    <t xml:space="preserve">                       за  2013 г. жилого дома по ул.Макаренко,18</t>
  </si>
  <si>
    <t xml:space="preserve">подряд.работы </t>
  </si>
  <si>
    <t xml:space="preserve">                       за  2013 г. жилого дома по ул.Макаренко,19</t>
  </si>
  <si>
    <t>поверка приборов учетов</t>
  </si>
  <si>
    <t xml:space="preserve">                       за   2013 г. жилого дома по ул.Макаренко,28</t>
  </si>
  <si>
    <t xml:space="preserve">                       за   2013 г. жилого дома по ул.Макаренко,30</t>
  </si>
  <si>
    <t xml:space="preserve">                      за  2013 г. жилого дома по ул.Макаренко,39</t>
  </si>
  <si>
    <t xml:space="preserve">              за    2013 г. жилого дома по ул.Макаренко,41</t>
  </si>
  <si>
    <t>Финансовый результат за  2013 год</t>
  </si>
  <si>
    <t xml:space="preserve">               за   2013 г. жилого дома по ул.Макаренко,43</t>
  </si>
  <si>
    <t>Благоустройство территории</t>
  </si>
  <si>
    <t xml:space="preserve">                       за  2013 г. жилого дома по ул.Макаренко,45</t>
  </si>
  <si>
    <t xml:space="preserve">                       за   2013 г. жилого дома по ул.Макаренко,47</t>
  </si>
  <si>
    <t xml:space="preserve">                       за   2013 г. жилого дома по ул. Труда, 3</t>
  </si>
  <si>
    <t xml:space="preserve">                       за  2013 г. жилого дома по ул. Труда, 4</t>
  </si>
  <si>
    <t xml:space="preserve">                       за   2013 г. жилого дома по ул. Труда, 7</t>
  </si>
  <si>
    <t xml:space="preserve">                       за  2013 г. жилого дома по ул. Труда, 8</t>
  </si>
  <si>
    <t xml:space="preserve">                       за  2013 г. жилого дома по ул. Труда, 9</t>
  </si>
  <si>
    <t xml:space="preserve">                       за  2013 г. жилого дома по ул. Труда, 10</t>
  </si>
  <si>
    <t>подрядные работы(герм.швов,крыши)</t>
  </si>
  <si>
    <t xml:space="preserve">                       за  2013 г. жилого дома по ул. Труда, 12</t>
  </si>
  <si>
    <t xml:space="preserve">                       за   2013 г. жилого дома по ул. Труда, 13</t>
  </si>
  <si>
    <t xml:space="preserve">                       за   2013 г. жилого дома по ул. Труда, 14</t>
  </si>
  <si>
    <t xml:space="preserve">                       за   2013 г. жилого дома по ул. Труда, 15</t>
  </si>
  <si>
    <t xml:space="preserve">                       за  2013 г. жилого дома по ул. Труда, 16</t>
  </si>
  <si>
    <t>Прочие  доходы</t>
  </si>
  <si>
    <t xml:space="preserve">                       за  2013 г. жилого дома по ул. Труда, 17/1</t>
  </si>
  <si>
    <t xml:space="preserve">                       за   2013 г. жилого дома по ул. Труда, 17/2</t>
  </si>
  <si>
    <t xml:space="preserve">                       за  2013 г. жилого дома по ул. Труда, 18</t>
  </si>
  <si>
    <t>текущий ремонт</t>
  </si>
  <si>
    <t>Покос травы</t>
  </si>
  <si>
    <t xml:space="preserve">                       за   2013 г. жилого дома по ул. Труда, 21</t>
  </si>
  <si>
    <t xml:space="preserve">                       за   2013 г. жилого дома по ул. Труда, 23</t>
  </si>
  <si>
    <t xml:space="preserve">                       за  2013 г. жилого дома по ул. Пластунская , 100.</t>
  </si>
  <si>
    <t xml:space="preserve">                       за   2013 г. жилого дома по ул. Пластунская , 181.</t>
  </si>
  <si>
    <t xml:space="preserve">                       за  2013 г. жилого дома по ул. Пластунская ,181а.</t>
  </si>
  <si>
    <t xml:space="preserve">                       за   2013 г. жилого дома по ул. Пластунская , 185.</t>
  </si>
  <si>
    <t xml:space="preserve">                       за   2013 г. жилого дома по ул. Пластунская , 187.</t>
  </si>
  <si>
    <t xml:space="preserve">                       за  2013 г. жилого дома по ул. Пластунская , 191.</t>
  </si>
  <si>
    <t xml:space="preserve">                       за   2013 г. жилого дома по ул. Абрикосовая , 23а</t>
  </si>
  <si>
    <t xml:space="preserve">                       за   2013 г. жилого дома по ул. Вишневая ,31</t>
  </si>
  <si>
    <t>установка кобры</t>
  </si>
  <si>
    <t>подрядные работы (установка кобры)</t>
  </si>
  <si>
    <t>установка кобр</t>
  </si>
  <si>
    <t>Промывка системы отопления</t>
  </si>
  <si>
    <t>субботник</t>
  </si>
  <si>
    <t>Субботник</t>
  </si>
  <si>
    <t>благоустройство территории(субботн.)</t>
  </si>
  <si>
    <t>Благоустройство территории(субботн.)</t>
  </si>
  <si>
    <t>установка мус.карманов</t>
  </si>
  <si>
    <t>подряд.работы (установка кобр)</t>
  </si>
  <si>
    <t xml:space="preserve">                       за  2013 г. жилого дома по ул. Труда,27.</t>
  </si>
  <si>
    <t>подрядные работы(договора)</t>
  </si>
  <si>
    <t>Остаток средствпрочих доходов</t>
  </si>
  <si>
    <t>Услуги управления</t>
  </si>
  <si>
    <t>X</t>
  </si>
  <si>
    <t>Расход по тек.ремонту</t>
  </si>
  <si>
    <t>Остаток по текущему ремонту</t>
  </si>
  <si>
    <t>Общеэксплуатационные расходы (24%)</t>
  </si>
  <si>
    <t>Расход по текущему ремонту</t>
  </si>
  <si>
    <t>Общий остаток</t>
  </si>
  <si>
    <t>Общеэксплуатационные расходы(24%)</t>
  </si>
  <si>
    <t>оплата труда работников службы эксп.</t>
  </si>
  <si>
    <t xml:space="preserve">                       за  2013 г. жилого дома по ул. Пластунская , 179А</t>
  </si>
  <si>
    <t>2013 г.</t>
  </si>
  <si>
    <t>установка кармана мусоропровода</t>
  </si>
  <si>
    <t>Остаток прочих доходов</t>
  </si>
  <si>
    <t>Общий остаток по дому</t>
  </si>
  <si>
    <t>Расход прочих доходов</t>
  </si>
  <si>
    <t>подряд.работы(стр.работы)</t>
  </si>
  <si>
    <t>установка  карманов мусоропровода</t>
  </si>
  <si>
    <t>очистка стволов</t>
  </si>
  <si>
    <t>уборка стволов мус.</t>
  </si>
  <si>
    <t>тех.обслуживание приборов учета</t>
  </si>
  <si>
    <t>текущий ренмонт</t>
  </si>
  <si>
    <t xml:space="preserve"> Дополн.доход </t>
  </si>
  <si>
    <t>Всего 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</si>
</sst>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0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/>
    <xf numFmtId="2" fontId="3" fillId="0" borderId="10" xfId="0" applyNumberFormat="1" applyFont="1" applyBorder="1"/>
    <xf numFmtId="0" fontId="3" fillId="0" borderId="10" xfId="0" applyFont="1" applyBorder="1"/>
    <xf numFmtId="0" fontId="4" fillId="0" borderId="10" xfId="2" applyBorder="1"/>
    <xf numFmtId="0" fontId="2" fillId="0" borderId="10" xfId="2" applyFont="1" applyBorder="1" applyAlignment="1">
      <alignment horizontal="center"/>
    </xf>
    <xf numFmtId="0" fontId="3" fillId="0" borderId="10" xfId="2" applyFont="1" applyBorder="1"/>
    <xf numFmtId="0" fontId="4" fillId="0" borderId="10" xfId="3" applyBorder="1"/>
    <xf numFmtId="0" fontId="4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2" fontId="3" fillId="0" borderId="10" xfId="2" applyNumberFormat="1" applyFont="1" applyBorder="1"/>
    <xf numFmtId="0" fontId="4" fillId="0" borderId="10" xfId="2" applyFont="1" applyBorder="1"/>
    <xf numFmtId="2" fontId="4" fillId="0" borderId="10" xfId="2" applyNumberFormat="1" applyBorder="1"/>
    <xf numFmtId="2" fontId="4" fillId="0" borderId="10" xfId="1" applyNumberFormat="1" applyFont="1" applyBorder="1"/>
    <xf numFmtId="0" fontId="3" fillId="0" borderId="10" xfId="2" applyFont="1" applyBorder="1" applyAlignment="1">
      <alignment horizontal="left"/>
    </xf>
    <xf numFmtId="0" fontId="5" fillId="0" borderId="10" xfId="2" applyFont="1" applyBorder="1"/>
    <xf numFmtId="164" fontId="4" fillId="0" borderId="10" xfId="2" applyNumberFormat="1" applyBorder="1"/>
    <xf numFmtId="2" fontId="5" fillId="0" borderId="10" xfId="2" applyNumberFormat="1" applyFont="1" applyBorder="1"/>
    <xf numFmtId="0" fontId="4" fillId="0" borderId="0" xfId="2" applyBorder="1"/>
    <xf numFmtId="0" fontId="3" fillId="0" borderId="0" xfId="2" applyFont="1" applyBorder="1"/>
    <xf numFmtId="2" fontId="3" fillId="0" borderId="0" xfId="2" applyNumberFormat="1" applyFont="1" applyBorder="1"/>
    <xf numFmtId="0" fontId="4" fillId="0" borderId="0" xfId="2"/>
    <xf numFmtId="0" fontId="4" fillId="0" borderId="0" xfId="4"/>
    <xf numFmtId="0" fontId="2" fillId="0" borderId="0" xfId="4" applyFont="1"/>
    <xf numFmtId="0" fontId="4" fillId="0" borderId="0" xfId="4" applyFont="1"/>
    <xf numFmtId="0" fontId="4" fillId="0" borderId="11" xfId="4" applyBorder="1"/>
    <xf numFmtId="0" fontId="4" fillId="0" borderId="4" xfId="4" applyBorder="1"/>
    <xf numFmtId="0" fontId="4" fillId="0" borderId="2" xfId="4" applyBorder="1"/>
    <xf numFmtId="0" fontId="4" fillId="0" borderId="6" xfId="4" applyBorder="1"/>
    <xf numFmtId="0" fontId="2" fillId="0" borderId="4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4" fillId="0" borderId="4" xfId="4" applyFont="1" applyBorder="1"/>
    <xf numFmtId="0" fontId="4" fillId="0" borderId="7" xfId="4" applyBorder="1"/>
    <xf numFmtId="0" fontId="4" fillId="0" borderId="8" xfId="4" applyBorder="1"/>
    <xf numFmtId="0" fontId="4" fillId="0" borderId="9" xfId="4" applyBorder="1"/>
    <xf numFmtId="0" fontId="4" fillId="0" borderId="7" xfId="4" applyBorder="1" applyAlignment="1">
      <alignment horizontal="center"/>
    </xf>
    <xf numFmtId="0" fontId="4" fillId="0" borderId="10" xfId="4" applyBorder="1"/>
    <xf numFmtId="0" fontId="4" fillId="0" borderId="10" xfId="4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0" xfId="4" applyFont="1" applyBorder="1"/>
    <xf numFmtId="0" fontId="2" fillId="0" borderId="10" xfId="4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2" fillId="0" borderId="0" xfId="2" applyFont="1"/>
    <xf numFmtId="0" fontId="4" fillId="0" borderId="0" xfId="2" applyFont="1"/>
    <xf numFmtId="0" fontId="4" fillId="0" borderId="11" xfId="2" applyBorder="1"/>
    <xf numFmtId="0" fontId="4" fillId="0" borderId="1" xfId="2" applyBorder="1"/>
    <xf numFmtId="0" fontId="4" fillId="0" borderId="6" xfId="2" applyBorder="1"/>
    <xf numFmtId="0" fontId="4" fillId="0" borderId="4" xfId="2" applyBorder="1"/>
    <xf numFmtId="0" fontId="2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/>
    <xf numFmtId="0" fontId="4" fillId="0" borderId="7" xfId="2" applyBorder="1"/>
    <xf numFmtId="0" fontId="4" fillId="0" borderId="8" xfId="2" applyBorder="1"/>
    <xf numFmtId="0" fontId="4" fillId="0" borderId="9" xfId="2" applyBorder="1"/>
    <xf numFmtId="0" fontId="3" fillId="0" borderId="7" xfId="2" applyFont="1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0" xfId="5"/>
    <xf numFmtId="0" fontId="2" fillId="0" borderId="0" xfId="5" applyFont="1"/>
    <xf numFmtId="0" fontId="4" fillId="0" borderId="1" xfId="5" applyBorder="1"/>
    <xf numFmtId="0" fontId="4" fillId="0" borderId="2" xfId="5" applyBorder="1"/>
    <xf numFmtId="0" fontId="4" fillId="0" borderId="3" xfId="5" applyBorder="1"/>
    <xf numFmtId="0" fontId="4" fillId="0" borderId="4" xfId="5" applyBorder="1"/>
    <xf numFmtId="0" fontId="2" fillId="0" borderId="4" xfId="5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0" fontId="4" fillId="0" borderId="4" xfId="5" applyFont="1" applyBorder="1"/>
    <xf numFmtId="0" fontId="4" fillId="0" borderId="7" xfId="5" applyBorder="1"/>
    <xf numFmtId="0" fontId="4" fillId="0" borderId="8" xfId="5" applyBorder="1"/>
    <xf numFmtId="0" fontId="4" fillId="0" borderId="9" xfId="5" applyBorder="1"/>
    <xf numFmtId="0" fontId="4" fillId="0" borderId="7" xfId="5" applyBorder="1" applyAlignment="1">
      <alignment horizontal="center"/>
    </xf>
    <xf numFmtId="0" fontId="4" fillId="0" borderId="10" xfId="5" applyBorder="1"/>
    <xf numFmtId="0" fontId="4" fillId="0" borderId="10" xfId="5" applyBorder="1" applyAlignment="1">
      <alignment horizontal="center"/>
    </xf>
    <xf numFmtId="0" fontId="3" fillId="0" borderId="10" xfId="5" applyFont="1" applyBorder="1" applyAlignment="1">
      <alignment horizontal="center"/>
    </xf>
    <xf numFmtId="0" fontId="2" fillId="0" borderId="10" xfId="5" applyFont="1" applyBorder="1" applyAlignment="1">
      <alignment horizontal="center"/>
    </xf>
    <xf numFmtId="0" fontId="3" fillId="0" borderId="10" xfId="5" applyFont="1" applyBorder="1"/>
    <xf numFmtId="0" fontId="4" fillId="0" borderId="0" xfId="3"/>
    <xf numFmtId="0" fontId="2" fillId="0" borderId="0" xfId="3" applyFont="1"/>
    <xf numFmtId="0" fontId="5" fillId="0" borderId="0" xfId="3" applyFont="1"/>
    <xf numFmtId="0" fontId="4" fillId="0" borderId="1" xfId="3" applyBorder="1"/>
    <xf numFmtId="0" fontId="2" fillId="0" borderId="4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4" xfId="3" applyFont="1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7" xfId="3" applyBorder="1" applyAlignment="1">
      <alignment horizontal="center"/>
    </xf>
    <xf numFmtId="0" fontId="4" fillId="0" borderId="10" xfId="3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3" fillId="0" borderId="10" xfId="3" applyFont="1" applyBorder="1"/>
    <xf numFmtId="0" fontId="4" fillId="0" borderId="0" xfId="6"/>
    <xf numFmtId="0" fontId="2" fillId="0" borderId="0" xfId="6" applyFont="1"/>
    <xf numFmtId="0" fontId="4" fillId="0" borderId="0" xfId="6" applyFont="1"/>
    <xf numFmtId="0" fontId="4" fillId="0" borderId="11" xfId="6" applyBorder="1"/>
    <xf numFmtId="0" fontId="4" fillId="0" borderId="4" xfId="6" applyBorder="1"/>
    <xf numFmtId="0" fontId="2" fillId="0" borderId="4" xfId="6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0" fontId="4" fillId="0" borderId="4" xfId="6" applyFont="1" applyBorder="1"/>
    <xf numFmtId="0" fontId="4" fillId="0" borderId="7" xfId="6" applyBorder="1"/>
    <xf numFmtId="0" fontId="4" fillId="0" borderId="8" xfId="6" applyBorder="1"/>
    <xf numFmtId="0" fontId="4" fillId="0" borderId="9" xfId="6" applyBorder="1"/>
    <xf numFmtId="0" fontId="4" fillId="0" borderId="7" xfId="6" applyBorder="1" applyAlignment="1">
      <alignment horizontal="center"/>
    </xf>
    <xf numFmtId="0" fontId="4" fillId="0" borderId="10" xfId="6" applyBorder="1"/>
    <xf numFmtId="0" fontId="4" fillId="0" borderId="10" xfId="6" applyBorder="1" applyAlignment="1">
      <alignment horizontal="center"/>
    </xf>
    <xf numFmtId="0" fontId="3" fillId="0" borderId="10" xfId="6" applyFont="1" applyBorder="1" applyAlignment="1">
      <alignment horizontal="center"/>
    </xf>
    <xf numFmtId="0" fontId="2" fillId="0" borderId="10" xfId="6" applyFont="1" applyBorder="1" applyAlignment="1">
      <alignment horizontal="center"/>
    </xf>
    <xf numFmtId="0" fontId="3" fillId="0" borderId="10" xfId="6" applyFont="1" applyBorder="1"/>
    <xf numFmtId="0" fontId="4" fillId="0" borderId="0" xfId="7"/>
    <xf numFmtId="0" fontId="2" fillId="0" borderId="0" xfId="7" applyFont="1"/>
    <xf numFmtId="0" fontId="4" fillId="0" borderId="0" xfId="7" applyFont="1"/>
    <xf numFmtId="0" fontId="4" fillId="0" borderId="1" xfId="7" applyBorder="1"/>
    <xf numFmtId="0" fontId="2" fillId="0" borderId="4" xfId="7" applyFont="1" applyBorder="1" applyAlignment="1">
      <alignment horizontal="center"/>
    </xf>
    <xf numFmtId="0" fontId="3" fillId="0" borderId="4" xfId="7" applyFont="1" applyBorder="1" applyAlignment="1">
      <alignment horizontal="center"/>
    </xf>
    <xf numFmtId="0" fontId="4" fillId="0" borderId="4" xfId="7" applyFont="1" applyBorder="1"/>
    <xf numFmtId="0" fontId="4" fillId="0" borderId="7" xfId="7" applyBorder="1"/>
    <xf numFmtId="0" fontId="4" fillId="0" borderId="8" xfId="7" applyBorder="1"/>
    <xf numFmtId="0" fontId="4" fillId="0" borderId="9" xfId="7" applyBorder="1"/>
    <xf numFmtId="0" fontId="4" fillId="0" borderId="7" xfId="7" applyBorder="1" applyAlignment="1">
      <alignment horizontal="center"/>
    </xf>
    <xf numFmtId="0" fontId="4" fillId="0" borderId="10" xfId="7" applyBorder="1"/>
    <xf numFmtId="0" fontId="4" fillId="0" borderId="10" xfId="7" applyBorder="1" applyAlignment="1">
      <alignment horizontal="center"/>
    </xf>
    <xf numFmtId="0" fontId="3" fillId="0" borderId="10" xfId="7" applyFont="1" applyBorder="1" applyAlignment="1">
      <alignment horizontal="center"/>
    </xf>
    <xf numFmtId="0" fontId="2" fillId="0" borderId="10" xfId="7" applyFont="1" applyBorder="1" applyAlignment="1">
      <alignment horizontal="center"/>
    </xf>
    <xf numFmtId="0" fontId="3" fillId="0" borderId="10" xfId="7" applyFont="1" applyBorder="1"/>
    <xf numFmtId="0" fontId="4" fillId="0" borderId="0" xfId="8"/>
    <xf numFmtId="0" fontId="2" fillId="0" borderId="0" xfId="8" applyFont="1"/>
    <xf numFmtId="0" fontId="4" fillId="0" borderId="0" xfId="8" applyFont="1"/>
    <xf numFmtId="0" fontId="4" fillId="0" borderId="11" xfId="8" applyBorder="1"/>
    <xf numFmtId="0" fontId="2" fillId="0" borderId="4" xfId="8" applyFont="1" applyBorder="1" applyAlignment="1">
      <alignment horizontal="center"/>
    </xf>
    <xf numFmtId="0" fontId="3" fillId="0" borderId="4" xfId="8" applyFont="1" applyBorder="1" applyAlignment="1">
      <alignment horizontal="center"/>
    </xf>
    <xf numFmtId="0" fontId="4" fillId="0" borderId="4" xfId="8" applyFont="1" applyBorder="1"/>
    <xf numFmtId="0" fontId="4" fillId="0" borderId="10" xfId="8" applyBorder="1"/>
    <xf numFmtId="0" fontId="4" fillId="0" borderId="10" xfId="8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2" fillId="0" borderId="10" xfId="8" applyFont="1" applyBorder="1" applyAlignment="1">
      <alignment horizontal="center"/>
    </xf>
    <xf numFmtId="0" fontId="3" fillId="0" borderId="10" xfId="8" applyFont="1" applyBorder="1"/>
    <xf numFmtId="0" fontId="4" fillId="0" borderId="0" xfId="9"/>
    <xf numFmtId="0" fontId="2" fillId="0" borderId="0" xfId="9" applyFont="1"/>
    <xf numFmtId="0" fontId="4" fillId="0" borderId="0" xfId="9" applyFont="1"/>
    <xf numFmtId="0" fontId="4" fillId="0" borderId="11" xfId="9" applyBorder="1"/>
    <xf numFmtId="0" fontId="4" fillId="0" borderId="4" xfId="9" applyBorder="1"/>
    <xf numFmtId="0" fontId="2" fillId="0" borderId="4" xfId="9" applyFont="1" applyBorder="1" applyAlignment="1">
      <alignment horizontal="center"/>
    </xf>
    <xf numFmtId="0" fontId="3" fillId="0" borderId="4" xfId="9" applyFont="1" applyBorder="1" applyAlignment="1">
      <alignment horizontal="center"/>
    </xf>
    <xf numFmtId="0" fontId="4" fillId="0" borderId="4" xfId="9" applyFont="1" applyBorder="1"/>
    <xf numFmtId="0" fontId="4" fillId="0" borderId="7" xfId="9" applyBorder="1"/>
    <xf numFmtId="0" fontId="4" fillId="0" borderId="8" xfId="9" applyBorder="1"/>
    <xf numFmtId="0" fontId="4" fillId="0" borderId="9" xfId="9" applyBorder="1"/>
    <xf numFmtId="0" fontId="4" fillId="0" borderId="7" xfId="9" applyBorder="1" applyAlignment="1">
      <alignment horizontal="center"/>
    </xf>
    <xf numFmtId="0" fontId="4" fillId="0" borderId="10" xfId="9" applyBorder="1"/>
    <xf numFmtId="0" fontId="4" fillId="0" borderId="10" xfId="9" applyBorder="1" applyAlignment="1">
      <alignment horizontal="center"/>
    </xf>
    <xf numFmtId="0" fontId="3" fillId="0" borderId="10" xfId="9" applyFont="1" applyBorder="1" applyAlignment="1">
      <alignment horizontal="center"/>
    </xf>
    <xf numFmtId="0" fontId="2" fillId="0" borderId="10" xfId="9" applyFont="1" applyBorder="1" applyAlignment="1">
      <alignment horizontal="center"/>
    </xf>
    <xf numFmtId="2" fontId="3" fillId="0" borderId="10" xfId="9" applyNumberFormat="1" applyFont="1" applyBorder="1"/>
    <xf numFmtId="0" fontId="3" fillId="0" borderId="10" xfId="9" applyFont="1" applyBorder="1"/>
    <xf numFmtId="0" fontId="4" fillId="0" borderId="0" xfId="10"/>
    <xf numFmtId="0" fontId="2" fillId="0" borderId="0" xfId="10" applyFont="1"/>
    <xf numFmtId="0" fontId="4" fillId="0" borderId="0" xfId="10" applyFont="1"/>
    <xf numFmtId="0" fontId="4" fillId="0" borderId="11" xfId="10" applyBorder="1"/>
    <xf numFmtId="0" fontId="4" fillId="0" borderId="4" xfId="10" applyBorder="1"/>
    <xf numFmtId="0" fontId="4" fillId="0" borderId="2" xfId="10" applyBorder="1"/>
    <xf numFmtId="0" fontId="4" fillId="0" borderId="6" xfId="10" applyBorder="1"/>
    <xf numFmtId="0" fontId="2" fillId="0" borderId="4" xfId="10" applyFont="1" applyBorder="1" applyAlignment="1">
      <alignment horizontal="center"/>
    </xf>
    <xf numFmtId="0" fontId="3" fillId="0" borderId="4" xfId="10" applyFont="1" applyBorder="1" applyAlignment="1">
      <alignment horizontal="center"/>
    </xf>
    <xf numFmtId="0" fontId="4" fillId="0" borderId="4" xfId="10" applyFont="1" applyBorder="1"/>
    <xf numFmtId="0" fontId="4" fillId="0" borderId="7" xfId="10" applyBorder="1"/>
    <xf numFmtId="0" fontId="4" fillId="0" borderId="8" xfId="10" applyBorder="1"/>
    <xf numFmtId="0" fontId="4" fillId="0" borderId="9" xfId="10" applyBorder="1"/>
    <xf numFmtId="0" fontId="4" fillId="0" borderId="7" xfId="10" applyBorder="1" applyAlignment="1">
      <alignment horizontal="center"/>
    </xf>
    <xf numFmtId="0" fontId="4" fillId="0" borderId="10" xfId="10" applyBorder="1"/>
    <xf numFmtId="0" fontId="4" fillId="0" borderId="10" xfId="10" applyBorder="1" applyAlignment="1">
      <alignment horizontal="center"/>
    </xf>
    <xf numFmtId="0" fontId="3" fillId="0" borderId="10" xfId="10" applyFont="1" applyBorder="1" applyAlignment="1">
      <alignment horizontal="center"/>
    </xf>
    <xf numFmtId="0" fontId="2" fillId="0" borderId="10" xfId="10" applyFont="1" applyBorder="1" applyAlignment="1">
      <alignment horizontal="center"/>
    </xf>
    <xf numFmtId="0" fontId="3" fillId="0" borderId="10" xfId="10" applyFont="1" applyBorder="1"/>
    <xf numFmtId="0" fontId="4" fillId="0" borderId="0" xfId="11"/>
    <xf numFmtId="0" fontId="2" fillId="0" borderId="0" xfId="11" applyFont="1"/>
    <xf numFmtId="0" fontId="4" fillId="0" borderId="0" xfId="11" applyBorder="1"/>
    <xf numFmtId="0" fontId="4" fillId="0" borderId="1" xfId="11" applyBorder="1"/>
    <xf numFmtId="0" fontId="2" fillId="0" borderId="4" xfId="11" applyFont="1" applyBorder="1" applyAlignment="1">
      <alignment horizontal="center"/>
    </xf>
    <xf numFmtId="0" fontId="3" fillId="0" borderId="4" xfId="11" applyFont="1" applyBorder="1" applyAlignment="1">
      <alignment horizontal="center"/>
    </xf>
    <xf numFmtId="0" fontId="4" fillId="0" borderId="4" xfId="11" applyFont="1" applyBorder="1"/>
    <xf numFmtId="0" fontId="4" fillId="0" borderId="7" xfId="11" applyBorder="1"/>
    <xf numFmtId="0" fontId="4" fillId="0" borderId="8" xfId="11" applyBorder="1"/>
    <xf numFmtId="0" fontId="4" fillId="0" borderId="9" xfId="11" applyBorder="1"/>
    <xf numFmtId="0" fontId="4" fillId="0" borderId="10" xfId="11" applyBorder="1"/>
    <xf numFmtId="0" fontId="4" fillId="0" borderId="10" xfId="11" applyBorder="1" applyAlignment="1">
      <alignment horizontal="center"/>
    </xf>
    <xf numFmtId="2" fontId="4" fillId="0" borderId="10" xfId="11" applyNumberFormat="1" applyBorder="1"/>
    <xf numFmtId="0" fontId="3" fillId="0" borderId="10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2" fontId="3" fillId="0" borderId="10" xfId="11" applyNumberFormat="1" applyFont="1" applyBorder="1"/>
    <xf numFmtId="0" fontId="3" fillId="0" borderId="10" xfId="11" applyFont="1" applyBorder="1"/>
    <xf numFmtId="0" fontId="4" fillId="0" borderId="0" xfId="12"/>
    <xf numFmtId="0" fontId="2" fillId="0" borderId="0" xfId="12" applyFont="1"/>
    <xf numFmtId="0" fontId="4" fillId="0" borderId="0" xfId="12" applyFont="1"/>
    <xf numFmtId="0" fontId="4" fillId="0" borderId="1" xfId="12" applyBorder="1"/>
    <xf numFmtId="0" fontId="4" fillId="0" borderId="2" xfId="12" applyBorder="1"/>
    <xf numFmtId="0" fontId="4" fillId="0" borderId="3" xfId="12" applyBorder="1"/>
    <xf numFmtId="0" fontId="4" fillId="0" borderId="4" xfId="12" applyBorder="1"/>
    <xf numFmtId="0" fontId="2" fillId="0" borderId="4" xfId="12" applyFont="1" applyBorder="1" applyAlignment="1">
      <alignment horizontal="center"/>
    </xf>
    <xf numFmtId="0" fontId="3" fillId="0" borderId="4" xfId="12" applyFont="1" applyBorder="1" applyAlignment="1">
      <alignment horizontal="center"/>
    </xf>
    <xf numFmtId="0" fontId="4" fillId="0" borderId="4" xfId="12" applyFont="1" applyBorder="1"/>
    <xf numFmtId="0" fontId="4" fillId="0" borderId="7" xfId="12" applyBorder="1"/>
    <xf numFmtId="0" fontId="4" fillId="0" borderId="8" xfId="12" applyBorder="1"/>
    <xf numFmtId="0" fontId="4" fillId="0" borderId="9" xfId="12" applyBorder="1"/>
    <xf numFmtId="0" fontId="4" fillId="0" borderId="7" xfId="12" applyBorder="1" applyAlignment="1">
      <alignment horizontal="center"/>
    </xf>
    <xf numFmtId="0" fontId="4" fillId="0" borderId="10" xfId="12" applyBorder="1"/>
    <xf numFmtId="0" fontId="4" fillId="0" borderId="10" xfId="12" applyBorder="1" applyAlignment="1">
      <alignment horizontal="center"/>
    </xf>
    <xf numFmtId="0" fontId="3" fillId="0" borderId="10" xfId="12" applyFont="1" applyBorder="1" applyAlignment="1">
      <alignment horizontal="center"/>
    </xf>
    <xf numFmtId="0" fontId="2" fillId="0" borderId="10" xfId="12" applyFont="1" applyBorder="1" applyAlignment="1">
      <alignment horizontal="center"/>
    </xf>
    <xf numFmtId="0" fontId="3" fillId="0" borderId="10" xfId="12" applyFont="1" applyBorder="1"/>
    <xf numFmtId="0" fontId="4" fillId="0" borderId="0" xfId="13"/>
    <xf numFmtId="0" fontId="2" fillId="0" borderId="0" xfId="13" applyFont="1"/>
    <xf numFmtId="0" fontId="4" fillId="0" borderId="1" xfId="13" applyBorder="1"/>
    <xf numFmtId="0" fontId="4" fillId="0" borderId="2" xfId="13" applyBorder="1"/>
    <xf numFmtId="0" fontId="4" fillId="0" borderId="3" xfId="13" applyBorder="1"/>
    <xf numFmtId="0" fontId="4" fillId="0" borderId="4" xfId="13" applyBorder="1"/>
    <xf numFmtId="0" fontId="2" fillId="0" borderId="4" xfId="13" applyFont="1" applyBorder="1" applyAlignment="1">
      <alignment horizontal="center"/>
    </xf>
    <xf numFmtId="0" fontId="3" fillId="0" borderId="4" xfId="13" applyFont="1" applyBorder="1" applyAlignment="1">
      <alignment horizontal="center"/>
    </xf>
    <xf numFmtId="0" fontId="4" fillId="0" borderId="4" xfId="13" applyFont="1" applyBorder="1"/>
    <xf numFmtId="0" fontId="4" fillId="0" borderId="7" xfId="13" applyBorder="1"/>
    <xf numFmtId="0" fontId="4" fillId="0" borderId="8" xfId="13" applyBorder="1"/>
    <xf numFmtId="0" fontId="4" fillId="0" borderId="9" xfId="13" applyBorder="1"/>
    <xf numFmtId="0" fontId="4" fillId="0" borderId="7" xfId="13" applyBorder="1" applyAlignment="1">
      <alignment horizontal="center"/>
    </xf>
    <xf numFmtId="0" fontId="4" fillId="0" borderId="10" xfId="13" applyBorder="1"/>
    <xf numFmtId="0" fontId="4" fillId="0" borderId="10" xfId="13" applyBorder="1" applyAlignment="1">
      <alignment horizontal="center"/>
    </xf>
    <xf numFmtId="0" fontId="3" fillId="0" borderId="10" xfId="13" applyFont="1" applyBorder="1" applyAlignment="1">
      <alignment horizontal="center"/>
    </xf>
    <xf numFmtId="0" fontId="2" fillId="0" borderId="10" xfId="13" applyFont="1" applyBorder="1" applyAlignment="1">
      <alignment horizontal="center"/>
    </xf>
    <xf numFmtId="0" fontId="3" fillId="0" borderId="10" xfId="13" applyFont="1" applyBorder="1"/>
    <xf numFmtId="0" fontId="5" fillId="0" borderId="0" xfId="2" applyFont="1"/>
    <xf numFmtId="0" fontId="4" fillId="0" borderId="0" xfId="14"/>
    <xf numFmtId="0" fontId="2" fillId="0" borderId="0" xfId="14" applyFont="1"/>
    <xf numFmtId="0" fontId="4" fillId="0" borderId="1" xfId="14" applyBorder="1"/>
    <xf numFmtId="0" fontId="2" fillId="0" borderId="4" xfId="14" applyFont="1" applyBorder="1" applyAlignment="1">
      <alignment horizontal="center"/>
    </xf>
    <xf numFmtId="0" fontId="3" fillId="0" borderId="4" xfId="14" applyFont="1" applyBorder="1" applyAlignment="1">
      <alignment horizontal="center"/>
    </xf>
    <xf numFmtId="0" fontId="4" fillId="0" borderId="4" xfId="14" applyFont="1" applyBorder="1"/>
    <xf numFmtId="0" fontId="4" fillId="0" borderId="7" xfId="14" applyBorder="1"/>
    <xf numFmtId="0" fontId="4" fillId="0" borderId="8" xfId="14" applyBorder="1"/>
    <xf numFmtId="0" fontId="4" fillId="0" borderId="9" xfId="14" applyBorder="1"/>
    <xf numFmtId="0" fontId="4" fillId="0" borderId="7" xfId="14" applyBorder="1" applyAlignment="1">
      <alignment horizontal="center"/>
    </xf>
    <xf numFmtId="0" fontId="4" fillId="0" borderId="10" xfId="14" applyBorder="1"/>
    <xf numFmtId="0" fontId="4" fillId="0" borderId="10" xfId="14" applyBorder="1" applyAlignment="1">
      <alignment horizontal="center"/>
    </xf>
    <xf numFmtId="0" fontId="3" fillId="0" borderId="10" xfId="14" applyFont="1" applyBorder="1" applyAlignment="1">
      <alignment horizontal="center"/>
    </xf>
    <xf numFmtId="0" fontId="2" fillId="0" borderId="10" xfId="14" applyFont="1" applyBorder="1" applyAlignment="1">
      <alignment horizontal="center"/>
    </xf>
    <xf numFmtId="0" fontId="3" fillId="0" borderId="10" xfId="14" applyFont="1" applyBorder="1"/>
    <xf numFmtId="0" fontId="4" fillId="0" borderId="0" xfId="15"/>
    <xf numFmtId="0" fontId="2" fillId="0" borderId="0" xfId="15" applyFont="1"/>
    <xf numFmtId="0" fontId="4" fillId="0" borderId="0" xfId="15" applyFont="1"/>
    <xf numFmtId="0" fontId="4" fillId="0" borderId="11" xfId="15" applyBorder="1"/>
    <xf numFmtId="0" fontId="2" fillId="0" borderId="4" xfId="15" applyFont="1" applyBorder="1" applyAlignment="1">
      <alignment horizontal="center"/>
    </xf>
    <xf numFmtId="0" fontId="3" fillId="0" borderId="4" xfId="15" applyFont="1" applyBorder="1" applyAlignment="1">
      <alignment horizontal="center"/>
    </xf>
    <xf numFmtId="0" fontId="4" fillId="0" borderId="4" xfId="15" applyFont="1" applyBorder="1"/>
    <xf numFmtId="0" fontId="4" fillId="0" borderId="10" xfId="15" applyBorder="1"/>
    <xf numFmtId="0" fontId="4" fillId="0" borderId="10" xfId="15" applyBorder="1" applyAlignment="1">
      <alignment horizontal="center"/>
    </xf>
    <xf numFmtId="2" fontId="4" fillId="0" borderId="10" xfId="15" applyNumberFormat="1" applyBorder="1"/>
    <xf numFmtId="0" fontId="3" fillId="0" borderId="10" xfId="15" applyFont="1" applyBorder="1" applyAlignment="1">
      <alignment horizontal="center"/>
    </xf>
    <xf numFmtId="0" fontId="3" fillId="0" borderId="10" xfId="15" applyFont="1" applyBorder="1"/>
    <xf numFmtId="0" fontId="2" fillId="0" borderId="10" xfId="15" applyFont="1" applyBorder="1" applyAlignment="1">
      <alignment horizontal="center"/>
    </xf>
    <xf numFmtId="2" fontId="3" fillId="0" borderId="10" xfId="15" applyNumberFormat="1" applyFont="1" applyBorder="1"/>
    <xf numFmtId="0" fontId="4" fillId="0" borderId="0" xfId="16"/>
    <xf numFmtId="0" fontId="2" fillId="0" borderId="0" xfId="16" applyFont="1"/>
    <xf numFmtId="0" fontId="4" fillId="0" borderId="1" xfId="16" applyBorder="1"/>
    <xf numFmtId="0" fontId="2" fillId="0" borderId="4" xfId="16" applyFont="1" applyBorder="1" applyAlignment="1">
      <alignment horizontal="center"/>
    </xf>
    <xf numFmtId="0" fontId="3" fillId="0" borderId="4" xfId="16" applyFont="1" applyBorder="1" applyAlignment="1">
      <alignment horizontal="center"/>
    </xf>
    <xf numFmtId="0" fontId="4" fillId="0" borderId="4" xfId="16" applyFont="1" applyBorder="1"/>
    <xf numFmtId="0" fontId="4" fillId="0" borderId="10" xfId="16" applyBorder="1"/>
    <xf numFmtId="0" fontId="4" fillId="0" borderId="10" xfId="16" applyBorder="1" applyAlignment="1">
      <alignment horizontal="center"/>
    </xf>
    <xf numFmtId="0" fontId="3" fillId="0" borderId="10" xfId="16" applyFont="1" applyBorder="1" applyAlignment="1">
      <alignment horizontal="center"/>
    </xf>
    <xf numFmtId="0" fontId="3" fillId="0" borderId="10" xfId="16" applyFont="1" applyBorder="1"/>
    <xf numFmtId="0" fontId="2" fillId="0" borderId="10" xfId="16" applyFont="1" applyBorder="1" applyAlignment="1">
      <alignment horizontal="center"/>
    </xf>
    <xf numFmtId="0" fontId="4" fillId="0" borderId="0" xfId="17"/>
    <xf numFmtId="0" fontId="2" fillId="0" borderId="0" xfId="17" applyFont="1"/>
    <xf numFmtId="0" fontId="4" fillId="0" borderId="1" xfId="17" applyBorder="1"/>
    <xf numFmtId="0" fontId="4" fillId="0" borderId="2" xfId="17" applyBorder="1"/>
    <xf numFmtId="0" fontId="4" fillId="0" borderId="3" xfId="17" applyBorder="1"/>
    <xf numFmtId="0" fontId="4" fillId="0" borderId="4" xfId="17" applyBorder="1"/>
    <xf numFmtId="0" fontId="2" fillId="0" borderId="4" xfId="17" applyFont="1" applyBorder="1" applyAlignment="1">
      <alignment horizontal="center"/>
    </xf>
    <xf numFmtId="0" fontId="3" fillId="0" borderId="4" xfId="17" applyFont="1" applyBorder="1" applyAlignment="1">
      <alignment horizontal="center"/>
    </xf>
    <xf numFmtId="0" fontId="4" fillId="0" borderId="4" xfId="17" applyFont="1" applyBorder="1"/>
    <xf numFmtId="0" fontId="4" fillId="0" borderId="7" xfId="17" applyBorder="1"/>
    <xf numFmtId="0" fontId="4" fillId="0" borderId="8" xfId="17" applyBorder="1"/>
    <xf numFmtId="0" fontId="4" fillId="0" borderId="9" xfId="17" applyBorder="1"/>
    <xf numFmtId="0" fontId="4" fillId="0" borderId="7" xfId="17" applyBorder="1" applyAlignment="1">
      <alignment horizontal="center"/>
    </xf>
    <xf numFmtId="0" fontId="4" fillId="0" borderId="10" xfId="17" applyBorder="1"/>
    <xf numFmtId="0" fontId="4" fillId="0" borderId="10" xfId="17" applyBorder="1" applyAlignment="1">
      <alignment horizontal="center"/>
    </xf>
    <xf numFmtId="0" fontId="3" fillId="0" borderId="10" xfId="17" applyFont="1" applyBorder="1" applyAlignment="1">
      <alignment horizontal="center"/>
    </xf>
    <xf numFmtId="0" fontId="3" fillId="0" borderId="10" xfId="17" applyFont="1" applyBorder="1"/>
    <xf numFmtId="0" fontId="2" fillId="0" borderId="10" xfId="17" applyFont="1" applyBorder="1" applyAlignment="1">
      <alignment horizontal="center"/>
    </xf>
    <xf numFmtId="0" fontId="4" fillId="0" borderId="0" xfId="18"/>
    <xf numFmtId="0" fontId="2" fillId="0" borderId="0" xfId="18" applyFont="1"/>
    <xf numFmtId="0" fontId="4" fillId="0" borderId="1" xfId="18" applyBorder="1"/>
    <xf numFmtId="0" fontId="4" fillId="0" borderId="2" xfId="18" applyBorder="1"/>
    <xf numFmtId="0" fontId="4" fillId="0" borderId="3" xfId="18" applyBorder="1"/>
    <xf numFmtId="0" fontId="4" fillId="0" borderId="4" xfId="18" applyBorder="1"/>
    <xf numFmtId="0" fontId="2" fillId="0" borderId="4" xfId="18" applyFont="1" applyBorder="1" applyAlignment="1">
      <alignment horizontal="center"/>
    </xf>
    <xf numFmtId="0" fontId="3" fillId="0" borderId="4" xfId="18" applyFont="1" applyBorder="1" applyAlignment="1">
      <alignment horizontal="center"/>
    </xf>
    <xf numFmtId="0" fontId="4" fillId="0" borderId="4" xfId="18" applyFont="1" applyBorder="1"/>
    <xf numFmtId="0" fontId="4" fillId="0" borderId="7" xfId="18" applyBorder="1"/>
    <xf numFmtId="0" fontId="4" fillId="0" borderId="8" xfId="18" applyBorder="1"/>
    <xf numFmtId="0" fontId="4" fillId="0" borderId="9" xfId="18" applyBorder="1"/>
    <xf numFmtId="0" fontId="4" fillId="0" borderId="7" xfId="18" applyBorder="1" applyAlignment="1">
      <alignment horizontal="center"/>
    </xf>
    <xf numFmtId="0" fontId="4" fillId="0" borderId="10" xfId="18" applyBorder="1"/>
    <xf numFmtId="0" fontId="4" fillId="0" borderId="10" xfId="18" applyBorder="1" applyAlignment="1">
      <alignment horizontal="center"/>
    </xf>
    <xf numFmtId="0" fontId="3" fillId="0" borderId="10" xfId="18" applyFont="1" applyBorder="1" applyAlignment="1">
      <alignment horizontal="center"/>
    </xf>
    <xf numFmtId="0" fontId="3" fillId="0" borderId="10" xfId="18" applyFont="1" applyBorder="1"/>
    <xf numFmtId="0" fontId="2" fillId="0" borderId="10" xfId="18" applyFont="1" applyBorder="1" applyAlignment="1">
      <alignment horizontal="center"/>
    </xf>
    <xf numFmtId="0" fontId="4" fillId="0" borderId="0" xfId="19"/>
    <xf numFmtId="0" fontId="2" fillId="0" borderId="0" xfId="19" applyFont="1"/>
    <xf numFmtId="0" fontId="4" fillId="0" borderId="1" xfId="19" applyBorder="1"/>
    <xf numFmtId="0" fontId="4" fillId="0" borderId="2" xfId="19" applyBorder="1"/>
    <xf numFmtId="0" fontId="4" fillId="0" borderId="3" xfId="19" applyBorder="1"/>
    <xf numFmtId="0" fontId="4" fillId="0" borderId="4" xfId="19" applyBorder="1"/>
    <xf numFmtId="0" fontId="2" fillId="0" borderId="4" xfId="19" applyFont="1" applyBorder="1" applyAlignment="1">
      <alignment horizontal="center"/>
    </xf>
    <xf numFmtId="0" fontId="3" fillId="0" borderId="4" xfId="19" applyFont="1" applyBorder="1" applyAlignment="1">
      <alignment horizontal="center"/>
    </xf>
    <xf numFmtId="0" fontId="4" fillId="0" borderId="4" xfId="19" applyFont="1" applyBorder="1"/>
    <xf numFmtId="0" fontId="4" fillId="0" borderId="7" xfId="19" applyBorder="1"/>
    <xf numFmtId="0" fontId="4" fillId="0" borderId="8" xfId="19" applyBorder="1"/>
    <xf numFmtId="0" fontId="4" fillId="0" borderId="9" xfId="19" applyBorder="1"/>
    <xf numFmtId="0" fontId="4" fillId="0" borderId="7" xfId="19" applyBorder="1" applyAlignment="1">
      <alignment horizontal="center"/>
    </xf>
    <xf numFmtId="0" fontId="4" fillId="0" borderId="10" xfId="19" applyBorder="1"/>
    <xf numFmtId="0" fontId="4" fillId="0" borderId="10" xfId="19" applyBorder="1" applyAlignment="1">
      <alignment horizontal="center"/>
    </xf>
    <xf numFmtId="0" fontId="3" fillId="0" borderId="10" xfId="19" applyFont="1" applyBorder="1" applyAlignment="1">
      <alignment horizontal="center"/>
    </xf>
    <xf numFmtId="0" fontId="3" fillId="0" borderId="10" xfId="19" applyFont="1" applyBorder="1"/>
    <xf numFmtId="0" fontId="2" fillId="0" borderId="10" xfId="19" applyFont="1" applyBorder="1" applyAlignment="1">
      <alignment horizontal="center"/>
    </xf>
    <xf numFmtId="0" fontId="4" fillId="0" borderId="0" xfId="20"/>
    <xf numFmtId="0" fontId="2" fillId="0" borderId="0" xfId="20" applyFont="1"/>
    <xf numFmtId="0" fontId="4" fillId="0" borderId="11" xfId="20" applyBorder="1"/>
    <xf numFmtId="0" fontId="2" fillId="0" borderId="4" xfId="20" applyFont="1" applyBorder="1" applyAlignment="1">
      <alignment horizontal="center"/>
    </xf>
    <xf numFmtId="0" fontId="3" fillId="0" borderId="4" xfId="20" applyFont="1" applyBorder="1" applyAlignment="1">
      <alignment horizontal="center"/>
    </xf>
    <xf numFmtId="0" fontId="4" fillId="0" borderId="4" xfId="20" applyFont="1" applyBorder="1"/>
    <xf numFmtId="0" fontId="4" fillId="0" borderId="10" xfId="20" applyBorder="1"/>
    <xf numFmtId="0" fontId="4" fillId="0" borderId="10" xfId="20" applyBorder="1" applyAlignment="1">
      <alignment horizontal="center"/>
    </xf>
    <xf numFmtId="0" fontId="3" fillId="0" borderId="10" xfId="20" applyFont="1" applyBorder="1" applyAlignment="1">
      <alignment horizontal="center"/>
    </xf>
    <xf numFmtId="0" fontId="3" fillId="0" borderId="10" xfId="20" applyFont="1" applyBorder="1"/>
    <xf numFmtId="0" fontId="2" fillId="0" borderId="10" xfId="20" applyFont="1" applyBorder="1" applyAlignment="1">
      <alignment horizontal="center"/>
    </xf>
    <xf numFmtId="0" fontId="4" fillId="0" borderId="0" xfId="21"/>
    <xf numFmtId="0" fontId="2" fillId="0" borderId="0" xfId="21" applyFont="1"/>
    <xf numFmtId="0" fontId="4" fillId="0" borderId="11" xfId="21" applyBorder="1"/>
    <xf numFmtId="0" fontId="4" fillId="0" borderId="4" xfId="21" applyBorder="1"/>
    <xf numFmtId="0" fontId="2" fillId="0" borderId="4" xfId="21" applyFont="1" applyBorder="1" applyAlignment="1">
      <alignment horizontal="center"/>
    </xf>
    <xf numFmtId="0" fontId="3" fillId="0" borderId="4" xfId="21" applyFont="1" applyBorder="1" applyAlignment="1">
      <alignment horizontal="center"/>
    </xf>
    <xf numFmtId="0" fontId="4" fillId="0" borderId="4" xfId="21" applyFont="1" applyBorder="1"/>
    <xf numFmtId="0" fontId="4" fillId="0" borderId="7" xfId="21" applyBorder="1"/>
    <xf numFmtId="0" fontId="4" fillId="0" borderId="8" xfId="21" applyBorder="1"/>
    <xf numFmtId="0" fontId="4" fillId="0" borderId="9" xfId="21" applyBorder="1"/>
    <xf numFmtId="0" fontId="4" fillId="0" borderId="10" xfId="21" applyBorder="1"/>
    <xf numFmtId="0" fontId="4" fillId="0" borderId="10" xfId="21" applyBorder="1" applyAlignment="1">
      <alignment horizontal="center"/>
    </xf>
    <xf numFmtId="0" fontId="3" fillId="0" borderId="10" xfId="21" applyFont="1" applyBorder="1" applyAlignment="1">
      <alignment horizontal="center"/>
    </xf>
    <xf numFmtId="0" fontId="3" fillId="0" borderId="10" xfId="21" applyFont="1" applyBorder="1"/>
    <xf numFmtId="0" fontId="2" fillId="0" borderId="10" xfId="21" applyFont="1" applyBorder="1" applyAlignment="1">
      <alignment horizontal="center"/>
    </xf>
    <xf numFmtId="0" fontId="4" fillId="0" borderId="0" xfId="22"/>
    <xf numFmtId="0" fontId="2" fillId="0" borderId="0" xfId="22" applyFont="1"/>
    <xf numFmtId="0" fontId="4" fillId="0" borderId="11" xfId="22" applyBorder="1"/>
    <xf numFmtId="0" fontId="4" fillId="0" borderId="4" xfId="22" applyBorder="1"/>
    <xf numFmtId="0" fontId="2" fillId="0" borderId="4" xfId="22" applyFont="1" applyBorder="1" applyAlignment="1">
      <alignment horizontal="center"/>
    </xf>
    <xf numFmtId="0" fontId="3" fillId="0" borderId="4" xfId="22" applyFont="1" applyBorder="1" applyAlignment="1">
      <alignment horizontal="center"/>
    </xf>
    <xf numFmtId="0" fontId="4" fillId="0" borderId="7" xfId="22" applyBorder="1"/>
    <xf numFmtId="0" fontId="4" fillId="0" borderId="8" xfId="22" applyBorder="1"/>
    <xf numFmtId="0" fontId="4" fillId="0" borderId="9" xfId="22" applyBorder="1"/>
    <xf numFmtId="0" fontId="4" fillId="0" borderId="10" xfId="22" applyBorder="1"/>
    <xf numFmtId="0" fontId="4" fillId="0" borderId="10" xfId="22" applyBorder="1" applyAlignment="1">
      <alignment horizontal="center"/>
    </xf>
    <xf numFmtId="0" fontId="3" fillId="0" borderId="10" xfId="22" applyFont="1" applyBorder="1" applyAlignment="1">
      <alignment horizontal="center"/>
    </xf>
    <xf numFmtId="0" fontId="3" fillId="0" borderId="10" xfId="22" applyFont="1" applyBorder="1"/>
    <xf numFmtId="0" fontId="2" fillId="0" borderId="10" xfId="22" applyFont="1" applyBorder="1" applyAlignment="1">
      <alignment horizontal="center"/>
    </xf>
    <xf numFmtId="2" fontId="0" fillId="0" borderId="8" xfId="0" applyNumberFormat="1" applyBorder="1"/>
    <xf numFmtId="2" fontId="6" fillId="0" borderId="10" xfId="0" applyNumberFormat="1" applyFont="1" applyBorder="1"/>
    <xf numFmtId="0" fontId="3" fillId="0" borderId="12" xfId="0" applyFont="1" applyBorder="1"/>
    <xf numFmtId="0" fontId="0" fillId="0" borderId="13" xfId="0" applyBorder="1"/>
    <xf numFmtId="0" fontId="0" fillId="0" borderId="0" xfId="0" applyFill="1" applyBorder="1"/>
    <xf numFmtId="2" fontId="3" fillId="0" borderId="0" xfId="0" applyNumberFormat="1" applyFont="1" applyBorder="1"/>
    <xf numFmtId="0" fontId="5" fillId="0" borderId="0" xfId="2" applyFont="1" applyBorder="1"/>
    <xf numFmtId="0" fontId="0" fillId="0" borderId="5" xfId="0" applyBorder="1"/>
    <xf numFmtId="2" fontId="5" fillId="0" borderId="0" xfId="2" applyNumberFormat="1" applyFont="1" applyBorder="1"/>
    <xf numFmtId="0" fontId="4" fillId="0" borderId="11" xfId="2" applyBorder="1" applyAlignment="1">
      <alignment horizontal="center"/>
    </xf>
    <xf numFmtId="0" fontId="4" fillId="0" borderId="0" xfId="3" applyBorder="1" applyAlignment="1">
      <alignment horizontal="center"/>
    </xf>
    <xf numFmtId="0" fontId="4" fillId="0" borderId="11" xfId="6" applyBorder="1" applyAlignment="1">
      <alignment horizontal="center"/>
    </xf>
    <xf numFmtId="0" fontId="4" fillId="0" borderId="0" xfId="7" applyBorder="1" applyAlignment="1">
      <alignment horizontal="center"/>
    </xf>
    <xf numFmtId="0" fontId="4" fillId="0" borderId="11" xfId="8" applyBorder="1" applyAlignment="1">
      <alignment horizontal="center"/>
    </xf>
    <xf numFmtId="0" fontId="4" fillId="0" borderId="11" xfId="9" applyBorder="1" applyAlignment="1">
      <alignment horizontal="center"/>
    </xf>
    <xf numFmtId="0" fontId="4" fillId="0" borderId="11" xfId="10" applyBorder="1" applyAlignment="1">
      <alignment horizontal="center"/>
    </xf>
    <xf numFmtId="0" fontId="4" fillId="0" borderId="11" xfId="15" applyBorder="1" applyAlignment="1">
      <alignment horizontal="center"/>
    </xf>
    <xf numFmtId="0" fontId="4" fillId="0" borderId="11" xfId="20" applyBorder="1" applyAlignment="1">
      <alignment horizontal="center"/>
    </xf>
    <xf numFmtId="0" fontId="4" fillId="0" borderId="11" xfId="2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23" applyBorder="1"/>
    <xf numFmtId="2" fontId="5" fillId="0" borderId="10" xfId="23" applyNumberFormat="1" applyFont="1" applyBorder="1"/>
    <xf numFmtId="0" fontId="4" fillId="0" borderId="0" xfId="5" applyFont="1"/>
    <xf numFmtId="2" fontId="4" fillId="0" borderId="10" xfId="7" applyNumberFormat="1" applyBorder="1"/>
    <xf numFmtId="0" fontId="5" fillId="0" borderId="10" xfId="7" applyFont="1" applyBorder="1"/>
    <xf numFmtId="0" fontId="5" fillId="0" borderId="10" xfId="8" applyFont="1" applyBorder="1"/>
    <xf numFmtId="0" fontId="5" fillId="0" borderId="10" xfId="9" applyFont="1" applyBorder="1"/>
    <xf numFmtId="2" fontId="5" fillId="0" borderId="10" xfId="10" applyNumberFormat="1" applyFont="1" applyBorder="1"/>
    <xf numFmtId="2" fontId="4" fillId="0" borderId="10" xfId="10" applyNumberFormat="1" applyBorder="1"/>
    <xf numFmtId="0" fontId="4" fillId="0" borderId="0" xfId="11" applyFont="1"/>
    <xf numFmtId="0" fontId="5" fillId="0" borderId="10" xfId="11" applyFont="1" applyBorder="1"/>
    <xf numFmtId="0" fontId="4" fillId="0" borderId="10" xfId="11" applyFont="1" applyBorder="1"/>
    <xf numFmtId="2" fontId="4" fillId="0" borderId="10" xfId="12" applyNumberFormat="1" applyBorder="1"/>
    <xf numFmtId="0" fontId="5" fillId="0" borderId="10" xfId="12" applyFont="1" applyBorder="1"/>
    <xf numFmtId="0" fontId="4" fillId="0" borderId="0" xfId="13" applyFont="1"/>
    <xf numFmtId="0" fontId="5" fillId="0" borderId="10" xfId="13" applyFont="1" applyBorder="1"/>
    <xf numFmtId="2" fontId="4" fillId="0" borderId="10" xfId="13" applyNumberFormat="1" applyBorder="1"/>
    <xf numFmtId="0" fontId="4" fillId="0" borderId="10" xfId="13" applyFont="1" applyBorder="1"/>
    <xf numFmtId="0" fontId="4" fillId="0" borderId="0" xfId="14" applyFont="1"/>
    <xf numFmtId="2" fontId="4" fillId="0" borderId="10" xfId="14" applyNumberFormat="1" applyBorder="1"/>
    <xf numFmtId="0" fontId="5" fillId="0" borderId="10" xfId="14" applyFont="1" applyBorder="1"/>
    <xf numFmtId="0" fontId="4" fillId="0" borderId="10" xfId="14" applyFont="1" applyBorder="1"/>
    <xf numFmtId="0" fontId="4" fillId="0" borderId="10" xfId="2" applyFont="1" applyBorder="1" applyAlignment="1">
      <alignment horizontal="right"/>
    </xf>
    <xf numFmtId="0" fontId="4" fillId="0" borderId="11" xfId="4" applyBorder="1" applyAlignment="1">
      <alignment horizontal="center"/>
    </xf>
    <xf numFmtId="0" fontId="5" fillId="0" borderId="10" xfId="21" applyFont="1" applyBorder="1"/>
    <xf numFmtId="0" fontId="3" fillId="0" borderId="4" xfId="14" applyFont="1" applyFill="1" applyBorder="1"/>
    <xf numFmtId="0" fontId="6" fillId="0" borderId="10" xfId="0" applyFont="1" applyBorder="1"/>
    <xf numFmtId="0" fontId="5" fillId="0" borderId="10" xfId="0" applyFont="1" applyBorder="1"/>
    <xf numFmtId="0" fontId="0" fillId="0" borderId="7" xfId="0" applyFont="1" applyBorder="1"/>
    <xf numFmtId="0" fontId="0" fillId="0" borderId="14" xfId="0" applyBorder="1"/>
    <xf numFmtId="0" fontId="3" fillId="0" borderId="4" xfId="0" applyFont="1" applyFill="1" applyBorder="1"/>
    <xf numFmtId="0" fontId="3" fillId="0" borderId="0" xfId="0" applyFont="1" applyFill="1" applyBorder="1"/>
    <xf numFmtId="0" fontId="2" fillId="0" borderId="7" xfId="0" applyFont="1" applyBorder="1" applyAlignment="1">
      <alignment horizontal="center"/>
    </xf>
    <xf numFmtId="0" fontId="3" fillId="0" borderId="0" xfId="0" applyFont="1" applyBorder="1"/>
    <xf numFmtId="0" fontId="6" fillId="0" borderId="8" xfId="0" applyFont="1" applyBorder="1"/>
    <xf numFmtId="0" fontId="4" fillId="0" borderId="0" xfId="3" applyBorder="1"/>
    <xf numFmtId="0" fontId="2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4" fillId="0" borderId="0" xfId="7" applyBorder="1"/>
    <xf numFmtId="0" fontId="2" fillId="0" borderId="1" xfId="7" applyFont="1" applyBorder="1" applyAlignment="1">
      <alignment horizontal="center"/>
    </xf>
    <xf numFmtId="0" fontId="3" fillId="0" borderId="1" xfId="7" applyFont="1" applyBorder="1" applyAlignment="1">
      <alignment horizontal="center"/>
    </xf>
    <xf numFmtId="0" fontId="2" fillId="0" borderId="1" xfId="11" applyFont="1" applyBorder="1" applyAlignment="1">
      <alignment horizontal="center"/>
    </xf>
    <xf numFmtId="0" fontId="3" fillId="0" borderId="1" xfId="11" applyFont="1" applyBorder="1" applyAlignment="1">
      <alignment horizontal="center"/>
    </xf>
    <xf numFmtId="0" fontId="2" fillId="0" borderId="1" xfId="14" applyFont="1" applyBorder="1" applyAlignment="1">
      <alignment horizontal="center"/>
    </xf>
    <xf numFmtId="0" fontId="3" fillId="0" borderId="1" xfId="14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2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4" xfId="0" applyFont="1" applyBorder="1"/>
    <xf numFmtId="0" fontId="5" fillId="0" borderId="10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16" applyFont="1" applyBorder="1"/>
    <xf numFmtId="0" fontId="5" fillId="0" borderId="0" xfId="16" applyFont="1"/>
    <xf numFmtId="0" fontId="5" fillId="0" borderId="10" xfId="17" applyFont="1" applyBorder="1"/>
    <xf numFmtId="0" fontId="5" fillId="0" borderId="0" xfId="17" applyFont="1"/>
    <xf numFmtId="0" fontId="5" fillId="0" borderId="0" xfId="18" applyFont="1"/>
    <xf numFmtId="0" fontId="5" fillId="0" borderId="0" xfId="19" applyFont="1"/>
    <xf numFmtId="0" fontId="5" fillId="0" borderId="0" xfId="20" applyFont="1"/>
    <xf numFmtId="0" fontId="5" fillId="0" borderId="10" xfId="20" applyFont="1" applyBorder="1"/>
    <xf numFmtId="0" fontId="5" fillId="0" borderId="0" xfId="21" applyFont="1"/>
    <xf numFmtId="0" fontId="5" fillId="0" borderId="0" xfId="22" applyFont="1"/>
    <xf numFmtId="0" fontId="8" fillId="0" borderId="10" xfId="0" applyFont="1" applyBorder="1"/>
    <xf numFmtId="2" fontId="8" fillId="0" borderId="10" xfId="0" applyNumberFormat="1" applyFont="1" applyBorder="1"/>
    <xf numFmtId="10" fontId="0" fillId="0" borderId="0" xfId="0" applyNumberFormat="1"/>
    <xf numFmtId="9" fontId="0" fillId="0" borderId="0" xfId="0" applyNumberFormat="1"/>
    <xf numFmtId="0" fontId="4" fillId="0" borderId="11" xfId="22" applyBorder="1" applyAlignment="1">
      <alignment horizontal="center"/>
    </xf>
    <xf numFmtId="10" fontId="4" fillId="0" borderId="0" xfId="2" applyNumberFormat="1" applyBorder="1"/>
    <xf numFmtId="0" fontId="4" fillId="0" borderId="7" xfId="22" applyFont="1" applyBorder="1"/>
    <xf numFmtId="0" fontId="2" fillId="0" borderId="7" xfId="22" applyFont="1" applyBorder="1" applyAlignment="1">
      <alignment horizontal="center"/>
    </xf>
    <xf numFmtId="0" fontId="3" fillId="0" borderId="7" xfId="22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/>
    <xf numFmtId="0" fontId="4" fillId="0" borderId="1" xfId="8" applyBorder="1"/>
    <xf numFmtId="0" fontId="2" fillId="0" borderId="1" xfId="8" applyFont="1" applyBorder="1" applyAlignment="1">
      <alignment horizontal="center"/>
    </xf>
    <xf numFmtId="0" fontId="3" fillId="0" borderId="1" xfId="8" applyFont="1" applyBorder="1" applyAlignment="1">
      <alignment horizontal="center"/>
    </xf>
    <xf numFmtId="0" fontId="4" fillId="0" borderId="14" xfId="8" applyBorder="1"/>
    <xf numFmtId="0" fontId="4" fillId="0" borderId="13" xfId="8" applyBorder="1"/>
    <xf numFmtId="0" fontId="4" fillId="0" borderId="14" xfId="11" applyBorder="1"/>
    <xf numFmtId="0" fontId="4" fillId="0" borderId="13" xfId="11" applyBorder="1"/>
    <xf numFmtId="0" fontId="4" fillId="0" borderId="1" xfId="15" applyBorder="1"/>
    <xf numFmtId="0" fontId="2" fillId="0" borderId="1" xfId="15" applyFont="1" applyBorder="1" applyAlignment="1">
      <alignment horizontal="center"/>
    </xf>
    <xf numFmtId="0" fontId="3" fillId="0" borderId="1" xfId="15" applyFont="1" applyBorder="1" applyAlignment="1">
      <alignment horizontal="center"/>
    </xf>
    <xf numFmtId="2" fontId="4" fillId="0" borderId="14" xfId="15" applyNumberFormat="1" applyBorder="1"/>
    <xf numFmtId="0" fontId="4" fillId="0" borderId="13" xfId="15" applyBorder="1"/>
    <xf numFmtId="0" fontId="2" fillId="0" borderId="1" xfId="16" applyFont="1" applyBorder="1" applyAlignment="1">
      <alignment horizontal="center"/>
    </xf>
    <xf numFmtId="0" fontId="3" fillId="0" borderId="1" xfId="16" applyFont="1" applyBorder="1" applyAlignment="1">
      <alignment horizontal="center"/>
    </xf>
    <xf numFmtId="0" fontId="4" fillId="0" borderId="14" xfId="16" applyBorder="1"/>
    <xf numFmtId="0" fontId="4" fillId="0" borderId="13" xfId="16" applyBorder="1"/>
    <xf numFmtId="0" fontId="4" fillId="0" borderId="1" xfId="20" applyBorder="1"/>
    <xf numFmtId="0" fontId="2" fillId="0" borderId="1" xfId="20" applyFont="1" applyBorder="1" applyAlignment="1">
      <alignment horizontal="center"/>
    </xf>
    <xf numFmtId="0" fontId="3" fillId="0" borderId="1" xfId="20" applyFont="1" applyBorder="1" applyAlignment="1">
      <alignment horizontal="center"/>
    </xf>
    <xf numFmtId="0" fontId="4" fillId="0" borderId="14" xfId="20" applyBorder="1"/>
    <xf numFmtId="0" fontId="4" fillId="0" borderId="13" xfId="20" applyBorder="1"/>
    <xf numFmtId="0" fontId="3" fillId="0" borderId="4" xfId="2" applyFont="1" applyBorder="1"/>
    <xf numFmtId="0" fontId="3" fillId="0" borderId="0" xfId="14" applyFont="1" applyFill="1" applyBorder="1"/>
    <xf numFmtId="0" fontId="4" fillId="0" borderId="11" xfId="2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6" xfId="5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4" fillId="0" borderId="0" xfId="3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0" fontId="4" fillId="0" borderId="11" xfId="6" applyBorder="1" applyAlignment="1">
      <alignment horizontal="center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4" fillId="0" borderId="11" xfId="4" applyBorder="1" applyAlignment="1">
      <alignment horizontal="center"/>
    </xf>
    <xf numFmtId="0" fontId="2" fillId="0" borderId="5" xfId="4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4" fillId="0" borderId="0" xfId="7" applyBorder="1" applyAlignment="1">
      <alignment horizontal="center"/>
    </xf>
    <xf numFmtId="0" fontId="2" fillId="0" borderId="2" xfId="7" applyFont="1" applyBorder="1" applyAlignment="1">
      <alignment horizontal="center"/>
    </xf>
    <xf numFmtId="0" fontId="2" fillId="0" borderId="3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6" xfId="7" applyFont="1" applyBorder="1" applyAlignment="1">
      <alignment horizontal="center"/>
    </xf>
    <xf numFmtId="0" fontId="4" fillId="0" borderId="11" xfId="8" applyBorder="1" applyAlignment="1">
      <alignment horizontal="center"/>
    </xf>
    <xf numFmtId="0" fontId="2" fillId="0" borderId="2" xfId="8" applyFont="1" applyBorder="1" applyAlignment="1">
      <alignment horizontal="center"/>
    </xf>
    <xf numFmtId="0" fontId="2" fillId="0" borderId="3" xfId="8" applyFont="1" applyBorder="1" applyAlignment="1">
      <alignment horizontal="center"/>
    </xf>
    <xf numFmtId="0" fontId="3" fillId="0" borderId="5" xfId="8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2" fillId="0" borderId="5" xfId="9" applyFont="1" applyBorder="1" applyAlignment="1">
      <alignment horizontal="center"/>
    </xf>
    <xf numFmtId="0" fontId="2" fillId="0" borderId="6" xfId="9" applyFont="1" applyBorder="1" applyAlignment="1">
      <alignment horizontal="center"/>
    </xf>
    <xf numFmtId="0" fontId="4" fillId="0" borderId="11" xfId="9" applyBorder="1" applyAlignment="1">
      <alignment horizontal="center"/>
    </xf>
    <xf numFmtId="0" fontId="3" fillId="0" borderId="5" xfId="9" applyFont="1" applyBorder="1" applyAlignment="1">
      <alignment horizontal="center"/>
    </xf>
    <xf numFmtId="0" fontId="3" fillId="0" borderId="6" xfId="9" applyFont="1" applyBorder="1" applyAlignment="1">
      <alignment horizontal="center"/>
    </xf>
    <xf numFmtId="0" fontId="4" fillId="0" borderId="11" xfId="10" applyBorder="1" applyAlignment="1">
      <alignment horizontal="center"/>
    </xf>
    <xf numFmtId="0" fontId="2" fillId="0" borderId="5" xfId="10" applyFont="1" applyBorder="1" applyAlignment="1">
      <alignment horizontal="center"/>
    </xf>
    <xf numFmtId="0" fontId="2" fillId="0" borderId="6" xfId="10" applyFont="1" applyBorder="1" applyAlignment="1">
      <alignment horizontal="center"/>
    </xf>
    <xf numFmtId="0" fontId="3" fillId="0" borderId="5" xfId="10" applyFont="1" applyBorder="1" applyAlignment="1">
      <alignment horizontal="center"/>
    </xf>
    <xf numFmtId="0" fontId="3" fillId="0" borderId="6" xfId="10" applyFont="1" applyBorder="1" applyAlignment="1">
      <alignment horizontal="center"/>
    </xf>
    <xf numFmtId="0" fontId="2" fillId="0" borderId="2" xfId="11" applyFont="1" applyBorder="1" applyAlignment="1">
      <alignment horizontal="center"/>
    </xf>
    <xf numFmtId="0" fontId="2" fillId="0" borderId="3" xfId="11" applyFont="1" applyBorder="1" applyAlignment="1">
      <alignment horizontal="center"/>
    </xf>
    <xf numFmtId="0" fontId="3" fillId="0" borderId="5" xfId="11" applyFont="1" applyBorder="1" applyAlignment="1">
      <alignment horizontal="center"/>
    </xf>
    <xf numFmtId="0" fontId="3" fillId="0" borderId="6" xfId="11" applyFont="1" applyBorder="1" applyAlignment="1">
      <alignment horizontal="center"/>
    </xf>
    <xf numFmtId="0" fontId="2" fillId="0" borderId="5" xfId="12" applyFont="1" applyBorder="1" applyAlignment="1">
      <alignment horizontal="center"/>
    </xf>
    <xf numFmtId="0" fontId="2" fillId="0" borderId="6" xfId="12" applyFont="1" applyBorder="1" applyAlignment="1">
      <alignment horizontal="center"/>
    </xf>
    <xf numFmtId="0" fontId="3" fillId="0" borderId="5" xfId="12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2" fillId="0" borderId="5" xfId="13" applyFont="1" applyBorder="1" applyAlignment="1">
      <alignment horizontal="center"/>
    </xf>
    <xf numFmtId="0" fontId="2" fillId="0" borderId="6" xfId="13" applyFont="1" applyBorder="1" applyAlignment="1">
      <alignment horizontal="center"/>
    </xf>
    <xf numFmtId="0" fontId="3" fillId="0" borderId="5" xfId="13" applyFont="1" applyBorder="1" applyAlignment="1">
      <alignment horizontal="center"/>
    </xf>
    <xf numFmtId="0" fontId="3" fillId="0" borderId="6" xfId="13" applyFont="1" applyBorder="1" applyAlignment="1">
      <alignment horizontal="center"/>
    </xf>
    <xf numFmtId="0" fontId="2" fillId="0" borderId="2" xfId="14" applyFont="1" applyBorder="1" applyAlignment="1">
      <alignment horizontal="center"/>
    </xf>
    <xf numFmtId="0" fontId="2" fillId="0" borderId="3" xfId="14" applyFont="1" applyBorder="1" applyAlignment="1">
      <alignment horizontal="center"/>
    </xf>
    <xf numFmtId="0" fontId="3" fillId="0" borderId="5" xfId="14" applyFont="1" applyBorder="1" applyAlignment="1">
      <alignment horizontal="center"/>
    </xf>
    <xf numFmtId="0" fontId="3" fillId="0" borderId="6" xfId="14" applyFont="1" applyBorder="1" applyAlignment="1">
      <alignment horizontal="center"/>
    </xf>
    <xf numFmtId="0" fontId="4" fillId="0" borderId="11" xfId="15" applyBorder="1" applyAlignment="1">
      <alignment horizontal="center"/>
    </xf>
    <xf numFmtId="0" fontId="2" fillId="0" borderId="2" xfId="15" applyFont="1" applyBorder="1" applyAlignment="1">
      <alignment horizontal="center"/>
    </xf>
    <xf numFmtId="0" fontId="2" fillId="0" borderId="3" xfId="15" applyFont="1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2" fillId="0" borderId="2" xfId="16" applyFont="1" applyBorder="1" applyAlignment="1">
      <alignment horizontal="center"/>
    </xf>
    <xf numFmtId="0" fontId="2" fillId="0" borderId="3" xfId="16" applyFont="1" applyBorder="1" applyAlignment="1">
      <alignment horizontal="center"/>
    </xf>
    <xf numFmtId="0" fontId="3" fillId="0" borderId="5" xfId="16" applyFont="1" applyBorder="1" applyAlignment="1">
      <alignment horizontal="center"/>
    </xf>
    <xf numFmtId="0" fontId="3" fillId="0" borderId="6" xfId="16" applyFont="1" applyBorder="1" applyAlignment="1">
      <alignment horizontal="center"/>
    </xf>
    <xf numFmtId="0" fontId="2" fillId="0" borderId="5" xfId="17" applyFont="1" applyBorder="1" applyAlignment="1">
      <alignment horizontal="center"/>
    </xf>
    <xf numFmtId="0" fontId="2" fillId="0" borderId="6" xfId="17" applyFont="1" applyBorder="1" applyAlignment="1">
      <alignment horizontal="center"/>
    </xf>
    <xf numFmtId="0" fontId="3" fillId="0" borderId="5" xfId="17" applyFont="1" applyBorder="1" applyAlignment="1">
      <alignment horizontal="center"/>
    </xf>
    <xf numFmtId="0" fontId="3" fillId="0" borderId="6" xfId="17" applyFont="1" applyBorder="1" applyAlignment="1">
      <alignment horizontal="center"/>
    </xf>
    <xf numFmtId="0" fontId="2" fillId="0" borderId="5" xfId="18" applyFont="1" applyBorder="1" applyAlignment="1">
      <alignment horizontal="center"/>
    </xf>
    <xf numFmtId="0" fontId="2" fillId="0" borderId="6" xfId="18" applyFont="1" applyBorder="1" applyAlignment="1">
      <alignment horizontal="center"/>
    </xf>
    <xf numFmtId="0" fontId="3" fillId="0" borderId="5" xfId="18" applyFont="1" applyBorder="1" applyAlignment="1">
      <alignment horizontal="center"/>
    </xf>
    <xf numFmtId="0" fontId="3" fillId="0" borderId="6" xfId="18" applyFont="1" applyBorder="1" applyAlignment="1">
      <alignment horizontal="center"/>
    </xf>
    <xf numFmtId="0" fontId="2" fillId="0" borderId="5" xfId="19" applyFont="1" applyBorder="1" applyAlignment="1">
      <alignment horizontal="center"/>
    </xf>
    <xf numFmtId="0" fontId="2" fillId="0" borderId="6" xfId="19" applyFont="1" applyBorder="1" applyAlignment="1">
      <alignment horizontal="center"/>
    </xf>
    <xf numFmtId="0" fontId="3" fillId="0" borderId="5" xfId="19" applyFont="1" applyBorder="1" applyAlignment="1">
      <alignment horizontal="center"/>
    </xf>
    <xf numFmtId="0" fontId="3" fillId="0" borderId="6" xfId="19" applyFont="1" applyBorder="1" applyAlignment="1">
      <alignment horizontal="center"/>
    </xf>
    <xf numFmtId="0" fontId="4" fillId="0" borderId="11" xfId="20" applyBorder="1" applyAlignment="1">
      <alignment horizontal="center"/>
    </xf>
    <xf numFmtId="0" fontId="2" fillId="0" borderId="2" xfId="20" applyFont="1" applyBorder="1" applyAlignment="1">
      <alignment horizontal="center"/>
    </xf>
    <xf numFmtId="0" fontId="2" fillId="0" borderId="3" xfId="20" applyFont="1" applyBorder="1" applyAlignment="1">
      <alignment horizont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 applyAlignment="1">
      <alignment horizontal="center"/>
    </xf>
    <xf numFmtId="0" fontId="4" fillId="0" borderId="11" xfId="21" applyBorder="1" applyAlignment="1">
      <alignment horizontal="center"/>
    </xf>
    <xf numFmtId="0" fontId="2" fillId="0" borderId="5" xfId="21" applyFont="1" applyBorder="1" applyAlignment="1">
      <alignment horizontal="center"/>
    </xf>
    <xf numFmtId="0" fontId="2" fillId="0" borderId="6" xfId="21" applyFont="1" applyBorder="1" applyAlignment="1">
      <alignment horizontal="center"/>
    </xf>
    <xf numFmtId="0" fontId="3" fillId="0" borderId="5" xfId="21" applyFont="1" applyBorder="1" applyAlignment="1">
      <alignment horizontal="center"/>
    </xf>
    <xf numFmtId="0" fontId="3" fillId="0" borderId="6" xfId="21" applyFont="1" applyBorder="1" applyAlignment="1">
      <alignment horizontal="center"/>
    </xf>
    <xf numFmtId="0" fontId="3" fillId="0" borderId="8" xfId="22" applyFont="1" applyBorder="1" applyAlignment="1">
      <alignment horizontal="center"/>
    </xf>
    <xf numFmtId="0" fontId="3" fillId="0" borderId="9" xfId="22" applyFont="1" applyBorder="1" applyAlignment="1">
      <alignment horizontal="center"/>
    </xf>
    <xf numFmtId="0" fontId="4" fillId="0" borderId="11" xfId="22" applyBorder="1" applyAlignment="1">
      <alignment horizontal="center"/>
    </xf>
    <xf numFmtId="0" fontId="2" fillId="0" borderId="5" xfId="22" applyFont="1" applyBorder="1" applyAlignment="1">
      <alignment horizontal="center"/>
    </xf>
    <xf numFmtId="0" fontId="2" fillId="0" borderId="6" xfId="2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</cellXfs>
  <cellStyles count="24">
    <cellStyle name="Денежный" xfId="1" builtinId="4"/>
    <cellStyle name="Обычный" xfId="0" builtinId="0"/>
    <cellStyle name="Обычный_В15" xfId="4"/>
    <cellStyle name="Обычный_В17" xfId="7"/>
    <cellStyle name="Обычный_В18" xfId="8"/>
    <cellStyle name="Обычный_В19" xfId="9"/>
    <cellStyle name="Обычный_В20" xfId="10"/>
    <cellStyle name="Обычный_В21" xfId="11"/>
    <cellStyle name="Обычный_В22" xfId="12"/>
    <cellStyle name="Обычный_В23" xfId="13"/>
    <cellStyle name="Обычный_В24" xfId="14"/>
    <cellStyle name="Обычный_В25" xfId="15"/>
    <cellStyle name="Обычный_В26" xfId="16"/>
    <cellStyle name="Обычный_В27" xfId="17"/>
    <cellStyle name="Обычный_В28" xfId="18"/>
    <cellStyle name="Обычный_В30" xfId="19"/>
    <cellStyle name="Обычный_В32" xfId="20"/>
    <cellStyle name="Обычный_В34" xfId="21"/>
    <cellStyle name="Обычный_В36" xfId="22"/>
    <cellStyle name="Обычный_Лист1" xfId="2"/>
    <cellStyle name="Обычный_Лист12" xfId="6"/>
    <cellStyle name="Обычный_Лист2" xfId="23"/>
    <cellStyle name="Обычный_Лист3" xfId="5"/>
    <cellStyle name="Обычный_Лист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33" workbookViewId="0">
      <selection activeCell="G33" sqref="G33:I51"/>
    </sheetView>
  </sheetViews>
  <sheetFormatPr defaultRowHeight="15" x14ac:dyDescent="0.25"/>
  <cols>
    <col min="2" max="2" width="38.140625" customWidth="1"/>
    <col min="4" max="4" width="13.28515625" customWidth="1"/>
    <col min="5" max="5" width="11.5703125" customWidth="1"/>
  </cols>
  <sheetData>
    <row r="1" spans="1:5" ht="15.75" x14ac:dyDescent="0.25">
      <c r="A1" s="37"/>
      <c r="B1" s="60" t="s">
        <v>0</v>
      </c>
      <c r="C1" s="37"/>
      <c r="D1" s="37"/>
      <c r="E1" s="37"/>
    </row>
    <row r="2" spans="1:5" x14ac:dyDescent="0.25">
      <c r="A2" s="37"/>
      <c r="B2" s="37"/>
      <c r="C2" s="37"/>
      <c r="D2" s="37"/>
      <c r="E2" s="37"/>
    </row>
    <row r="3" spans="1:5" x14ac:dyDescent="0.25">
      <c r="A3" s="37"/>
      <c r="B3" s="37" t="s">
        <v>1</v>
      </c>
      <c r="C3" s="37"/>
      <c r="D3" s="37"/>
      <c r="E3" s="37"/>
    </row>
    <row r="4" spans="1:5" x14ac:dyDescent="0.25">
      <c r="A4" s="37"/>
      <c r="B4" s="61" t="s">
        <v>127</v>
      </c>
      <c r="C4" s="37"/>
      <c r="D4" s="37"/>
      <c r="E4" s="37"/>
    </row>
    <row r="5" spans="1:5" x14ac:dyDescent="0.25">
      <c r="A5" s="496"/>
      <c r="B5" s="496"/>
      <c r="C5" s="496"/>
      <c r="D5" s="387"/>
      <c r="E5" s="62"/>
    </row>
    <row r="6" spans="1:5" x14ac:dyDescent="0.25">
      <c r="A6" s="63"/>
      <c r="B6" s="63"/>
      <c r="C6" s="63"/>
      <c r="D6" s="34"/>
      <c r="E6" s="64"/>
    </row>
    <row r="7" spans="1:5" ht="15.75" x14ac:dyDescent="0.25">
      <c r="A7" s="65"/>
      <c r="B7" s="66" t="s">
        <v>3</v>
      </c>
      <c r="C7" s="67" t="s">
        <v>4</v>
      </c>
      <c r="D7" s="497" t="s">
        <v>5</v>
      </c>
      <c r="E7" s="498"/>
    </row>
    <row r="8" spans="1:5" ht="15.75" x14ac:dyDescent="0.25">
      <c r="A8" s="68"/>
      <c r="B8" s="66" t="s">
        <v>6</v>
      </c>
      <c r="C8" s="67" t="s">
        <v>7</v>
      </c>
      <c r="D8" s="499" t="s">
        <v>128</v>
      </c>
      <c r="E8" s="500"/>
    </row>
    <row r="9" spans="1:5" x14ac:dyDescent="0.25">
      <c r="A9" s="69"/>
      <c r="B9" s="69"/>
      <c r="C9" s="69"/>
      <c r="D9" s="70"/>
      <c r="E9" s="71"/>
    </row>
    <row r="10" spans="1:5" x14ac:dyDescent="0.25">
      <c r="A10" s="69"/>
      <c r="B10" s="72" t="s">
        <v>56</v>
      </c>
      <c r="C10" s="69"/>
      <c r="D10" s="20">
        <v>-477149.23</v>
      </c>
      <c r="E10" s="71"/>
    </row>
    <row r="11" spans="1:5" x14ac:dyDescent="0.25">
      <c r="A11" s="20"/>
      <c r="B11" s="73" t="s">
        <v>9</v>
      </c>
      <c r="C11" s="20" t="s">
        <v>10</v>
      </c>
      <c r="D11" s="20">
        <v>8134.1</v>
      </c>
      <c r="E11" s="20"/>
    </row>
    <row r="12" spans="1:5" x14ac:dyDescent="0.25">
      <c r="A12" s="20"/>
      <c r="B12" s="73" t="s">
        <v>11</v>
      </c>
      <c r="C12" s="20" t="s">
        <v>10</v>
      </c>
      <c r="D12" s="20">
        <v>6467.2</v>
      </c>
      <c r="E12" s="20"/>
    </row>
    <row r="13" spans="1:5" x14ac:dyDescent="0.25">
      <c r="A13" s="20"/>
      <c r="B13" s="25" t="s">
        <v>12</v>
      </c>
      <c r="C13" s="20" t="s">
        <v>13</v>
      </c>
      <c r="D13" s="22">
        <v>790519.06</v>
      </c>
      <c r="E13" s="20"/>
    </row>
    <row r="14" spans="1:5" x14ac:dyDescent="0.25">
      <c r="A14" s="20"/>
      <c r="B14" s="20"/>
      <c r="C14" s="20"/>
      <c r="D14" s="20"/>
      <c r="E14" s="20"/>
    </row>
    <row r="15" spans="1:5" ht="15.75" x14ac:dyDescent="0.25">
      <c r="A15" s="20"/>
      <c r="B15" s="21" t="s">
        <v>14</v>
      </c>
      <c r="C15" s="20"/>
      <c r="D15" s="20"/>
      <c r="E15" s="20"/>
    </row>
    <row r="16" spans="1:5" x14ac:dyDescent="0.25">
      <c r="A16" s="20">
        <v>1</v>
      </c>
      <c r="B16" s="20" t="s">
        <v>15</v>
      </c>
      <c r="C16" s="20" t="s">
        <v>13</v>
      </c>
      <c r="D16" s="22">
        <v>442448.38</v>
      </c>
      <c r="E16" s="20"/>
    </row>
    <row r="17" spans="1:5" x14ac:dyDescent="0.25">
      <c r="A17" s="20">
        <v>2</v>
      </c>
      <c r="B17" s="20" t="s">
        <v>129</v>
      </c>
      <c r="C17" s="20"/>
      <c r="D17" s="22">
        <v>103372.14</v>
      </c>
      <c r="E17" s="20"/>
    </row>
    <row r="18" spans="1:5" x14ac:dyDescent="0.25">
      <c r="A18" s="20">
        <v>2</v>
      </c>
      <c r="B18" s="20" t="s">
        <v>92</v>
      </c>
      <c r="C18" s="20"/>
      <c r="D18" s="22">
        <f>6000+6000</f>
        <v>12000</v>
      </c>
      <c r="E18" s="20"/>
    </row>
    <row r="19" spans="1:5" ht="15.75" x14ac:dyDescent="0.25">
      <c r="A19" s="20"/>
      <c r="B19" s="21" t="s">
        <v>17</v>
      </c>
      <c r="C19" s="20"/>
      <c r="D19" s="26">
        <f>D16+D18+D17</f>
        <v>557820.52</v>
      </c>
      <c r="E19" s="20"/>
    </row>
    <row r="20" spans="1:5" ht="15.75" x14ac:dyDescent="0.25">
      <c r="A20" s="20"/>
      <c r="B20" s="21"/>
      <c r="C20" s="20"/>
      <c r="D20" s="26"/>
      <c r="E20" s="20"/>
    </row>
    <row r="21" spans="1:5" ht="15.75" x14ac:dyDescent="0.25">
      <c r="A21" s="20"/>
      <c r="B21" s="21" t="s">
        <v>18</v>
      </c>
      <c r="C21" s="20"/>
      <c r="D21" s="22"/>
      <c r="E21" s="33" t="s">
        <v>19</v>
      </c>
    </row>
    <row r="22" spans="1:5" x14ac:dyDescent="0.25">
      <c r="A22" s="24" t="s">
        <v>20</v>
      </c>
      <c r="B22" s="25" t="s">
        <v>21</v>
      </c>
      <c r="C22" s="20"/>
      <c r="D22" s="26">
        <f>D23+D30+D28+D27</f>
        <v>247604.99</v>
      </c>
      <c r="E22" s="26">
        <f>E23</f>
        <v>46661.084939999993</v>
      </c>
    </row>
    <row r="23" spans="1:5" x14ac:dyDescent="0.25">
      <c r="A23" s="20">
        <v>1</v>
      </c>
      <c r="B23" s="22" t="s">
        <v>22</v>
      </c>
      <c r="C23" s="27" t="s">
        <v>13</v>
      </c>
      <c r="D23" s="26">
        <f>D24+D25+D26</f>
        <v>230995.46999999997</v>
      </c>
      <c r="E23" s="26">
        <f>E24+E25+E26+E27</f>
        <v>46661.084939999993</v>
      </c>
    </row>
    <row r="24" spans="1:5" x14ac:dyDescent="0.25">
      <c r="A24" s="20"/>
      <c r="B24" s="20" t="s">
        <v>23</v>
      </c>
      <c r="C24" s="20"/>
      <c r="D24" s="20">
        <v>57807.9</v>
      </c>
      <c r="E24" s="28">
        <f>D24*20.2%</f>
        <v>11677.1958</v>
      </c>
    </row>
    <row r="25" spans="1:5" x14ac:dyDescent="0.25">
      <c r="A25" s="20"/>
      <c r="B25" s="20" t="s">
        <v>24</v>
      </c>
      <c r="C25" s="20"/>
      <c r="D25" s="29">
        <v>96579.62</v>
      </c>
      <c r="E25" s="28">
        <f t="shared" ref="E25:E26" si="0">D25*20.2%</f>
        <v>19509.083239999996</v>
      </c>
    </row>
    <row r="26" spans="1:5" x14ac:dyDescent="0.25">
      <c r="A26" s="20"/>
      <c r="B26" s="20" t="s">
        <v>25</v>
      </c>
      <c r="C26" s="20"/>
      <c r="D26" s="20">
        <v>76607.95</v>
      </c>
      <c r="E26" s="28">
        <f t="shared" si="0"/>
        <v>15474.805899999998</v>
      </c>
    </row>
    <row r="27" spans="1:5" x14ac:dyDescent="0.25">
      <c r="A27" s="20">
        <v>2</v>
      </c>
      <c r="B27" s="31" t="s">
        <v>75</v>
      </c>
      <c r="C27" s="20"/>
      <c r="D27" s="20">
        <v>1150</v>
      </c>
      <c r="E27" s="28"/>
    </row>
    <row r="28" spans="1:5" x14ac:dyDescent="0.25">
      <c r="A28" s="20">
        <v>3</v>
      </c>
      <c r="B28" s="31" t="s">
        <v>212</v>
      </c>
      <c r="C28" s="20"/>
      <c r="D28" s="20">
        <v>1943.57</v>
      </c>
      <c r="E28" s="28"/>
    </row>
    <row r="29" spans="1:5" x14ac:dyDescent="0.25">
      <c r="A29" s="20">
        <v>4</v>
      </c>
      <c r="B29" s="31" t="s">
        <v>145</v>
      </c>
      <c r="C29" s="20"/>
      <c r="D29" s="20">
        <v>1150</v>
      </c>
      <c r="E29" s="28"/>
    </row>
    <row r="30" spans="1:5" x14ac:dyDescent="0.25">
      <c r="A30" s="20">
        <v>5</v>
      </c>
      <c r="B30" s="27" t="s">
        <v>26</v>
      </c>
      <c r="C30" s="20"/>
      <c r="D30" s="20">
        <f>106.83+13409.12</f>
        <v>13515.95</v>
      </c>
      <c r="E30" s="28"/>
    </row>
    <row r="31" spans="1:5" x14ac:dyDescent="0.25">
      <c r="A31" s="24" t="s">
        <v>27</v>
      </c>
      <c r="B31" s="30" t="s">
        <v>28</v>
      </c>
      <c r="C31" s="20"/>
      <c r="D31" s="22">
        <f>D32+D33+D34</f>
        <v>141327.82</v>
      </c>
      <c r="E31" s="26">
        <f>E32</f>
        <v>23223.016859999996</v>
      </c>
    </row>
    <row r="32" spans="1:5" x14ac:dyDescent="0.25">
      <c r="A32" s="20">
        <v>1</v>
      </c>
      <c r="B32" s="31" t="s">
        <v>229</v>
      </c>
      <c r="C32" s="20"/>
      <c r="D32" s="31">
        <v>114965.43</v>
      </c>
      <c r="E32" s="28">
        <f>D32*20.2%</f>
        <v>23223.016859999996</v>
      </c>
    </row>
    <row r="33" spans="1:5" x14ac:dyDescent="0.25">
      <c r="A33" s="20">
        <v>2</v>
      </c>
      <c r="B33" s="31" t="s">
        <v>26</v>
      </c>
      <c r="C33" s="20"/>
      <c r="D33" s="31">
        <v>14936.39</v>
      </c>
      <c r="E33" s="20"/>
    </row>
    <row r="34" spans="1:5" x14ac:dyDescent="0.25">
      <c r="A34" s="20">
        <v>3</v>
      </c>
      <c r="B34" s="31" t="s">
        <v>211</v>
      </c>
      <c r="C34" s="20"/>
      <c r="D34" s="31">
        <v>11426</v>
      </c>
      <c r="E34" s="20"/>
    </row>
    <row r="35" spans="1:5" x14ac:dyDescent="0.25">
      <c r="A35" s="24" t="s">
        <v>29</v>
      </c>
      <c r="B35" s="22" t="s">
        <v>30</v>
      </c>
      <c r="C35" s="20"/>
      <c r="D35" s="26">
        <f>D36+D37+D38+D39+D40+D41+D42+D43</f>
        <v>81620.144440000004</v>
      </c>
      <c r="E35" s="20"/>
    </row>
    <row r="36" spans="1:5" x14ac:dyDescent="0.25">
      <c r="A36" s="20"/>
      <c r="B36" s="20" t="s">
        <v>31</v>
      </c>
      <c r="C36" s="20"/>
      <c r="D36" s="28">
        <f>D19*4.7%</f>
        <v>26217.564440000002</v>
      </c>
      <c r="E36" s="20"/>
    </row>
    <row r="37" spans="1:5" x14ac:dyDescent="0.25">
      <c r="A37" s="20"/>
      <c r="B37" s="20" t="s">
        <v>57</v>
      </c>
      <c r="C37" s="20"/>
      <c r="D37" s="20">
        <v>2853.56</v>
      </c>
      <c r="E37" s="20"/>
    </row>
    <row r="38" spans="1:5" x14ac:dyDescent="0.25">
      <c r="A38" s="20"/>
      <c r="B38" s="27" t="s">
        <v>32</v>
      </c>
      <c r="C38" s="20"/>
      <c r="D38" s="20">
        <v>12572</v>
      </c>
      <c r="E38" s="20"/>
    </row>
    <row r="39" spans="1:5" x14ac:dyDescent="0.25">
      <c r="A39" s="20"/>
      <c r="B39" s="20" t="s">
        <v>33</v>
      </c>
      <c r="C39" s="20"/>
      <c r="D39" s="28">
        <v>16804.82</v>
      </c>
      <c r="E39" s="20"/>
    </row>
    <row r="40" spans="1:5" x14ac:dyDescent="0.25">
      <c r="A40" s="20"/>
      <c r="B40" s="27" t="s">
        <v>131</v>
      </c>
      <c r="C40" s="20"/>
      <c r="D40" s="20">
        <v>172</v>
      </c>
      <c r="E40" s="20"/>
    </row>
    <row r="41" spans="1:5" x14ac:dyDescent="0.25">
      <c r="A41" s="20"/>
      <c r="B41" s="27" t="s">
        <v>132</v>
      </c>
      <c r="C41" s="20"/>
      <c r="D41" s="20">
        <v>4522.74</v>
      </c>
      <c r="E41" s="20"/>
    </row>
    <row r="42" spans="1:5" x14ac:dyDescent="0.25">
      <c r="A42" s="20"/>
      <c r="B42" s="27" t="s">
        <v>35</v>
      </c>
      <c r="C42" s="20"/>
      <c r="D42" s="20">
        <v>10589.08</v>
      </c>
      <c r="E42" s="20"/>
    </row>
    <row r="43" spans="1:5" x14ac:dyDescent="0.25">
      <c r="A43" s="20"/>
      <c r="B43" s="20" t="s">
        <v>37</v>
      </c>
      <c r="C43" s="20"/>
      <c r="D43" s="20">
        <v>7888.38</v>
      </c>
      <c r="E43" s="20"/>
    </row>
    <row r="44" spans="1:5" x14ac:dyDescent="0.25">
      <c r="A44" s="73" t="s">
        <v>82</v>
      </c>
      <c r="B44" s="22" t="s">
        <v>38</v>
      </c>
      <c r="C44" s="20"/>
      <c r="D44" s="26">
        <v>108426.6</v>
      </c>
      <c r="E44" s="26"/>
    </row>
    <row r="45" spans="1:5" x14ac:dyDescent="0.25">
      <c r="A45" s="73" t="s">
        <v>83</v>
      </c>
      <c r="B45" s="22" t="s">
        <v>41</v>
      </c>
      <c r="C45" s="20"/>
      <c r="D45" s="26">
        <f>D22+E22+D31+E31+D35+D44</f>
        <v>648863.65623999992</v>
      </c>
      <c r="E45" s="20"/>
    </row>
    <row r="46" spans="1:5" x14ac:dyDescent="0.25">
      <c r="A46" s="73" t="s">
        <v>84</v>
      </c>
      <c r="B46" s="20" t="s">
        <v>42</v>
      </c>
      <c r="C46" s="20"/>
      <c r="D46" s="26">
        <f>D19*6%</f>
        <v>33469.231200000002</v>
      </c>
      <c r="E46" s="20"/>
    </row>
    <row r="47" spans="1:5" x14ac:dyDescent="0.25">
      <c r="A47" s="73" t="s">
        <v>85</v>
      </c>
      <c r="B47" s="22" t="s">
        <v>43</v>
      </c>
      <c r="C47" s="20"/>
      <c r="D47" s="26">
        <f>D45+D46</f>
        <v>682332.88743999996</v>
      </c>
      <c r="E47" s="20"/>
    </row>
    <row r="48" spans="1:5" x14ac:dyDescent="0.25">
      <c r="A48" s="73"/>
      <c r="B48" s="20"/>
      <c r="C48" s="20"/>
      <c r="D48" s="20"/>
      <c r="E48" s="20"/>
    </row>
    <row r="49" spans="1:5" x14ac:dyDescent="0.25">
      <c r="A49" s="73" t="s">
        <v>86</v>
      </c>
      <c r="B49" s="22" t="s">
        <v>134</v>
      </c>
      <c r="C49" s="20"/>
      <c r="D49" s="26">
        <f>D16+D18-D47+10750.7</f>
        <v>-217133.80743999995</v>
      </c>
      <c r="E49" s="20"/>
    </row>
    <row r="50" spans="1:5" x14ac:dyDescent="0.25">
      <c r="A50" s="73" t="s">
        <v>87</v>
      </c>
      <c r="B50" s="22" t="s">
        <v>44</v>
      </c>
      <c r="C50" s="20"/>
      <c r="D50" s="26">
        <f>D10+D49</f>
        <v>-694283.03743999987</v>
      </c>
      <c r="E50" s="20"/>
    </row>
    <row r="51" spans="1:5" x14ac:dyDescent="0.25">
      <c r="A51" s="447"/>
      <c r="B51" s="35"/>
      <c r="C51" s="34"/>
      <c r="D51" s="36"/>
      <c r="E51" s="34"/>
    </row>
    <row r="52" spans="1:5" x14ac:dyDescent="0.25">
      <c r="A52" s="447"/>
      <c r="B52" s="35" t="s">
        <v>16</v>
      </c>
      <c r="C52" s="34"/>
      <c r="D52" s="36">
        <f>D17</f>
        <v>103372.14</v>
      </c>
      <c r="E52" s="34"/>
    </row>
    <row r="53" spans="1:5" x14ac:dyDescent="0.25">
      <c r="A53" s="447"/>
      <c r="B53" s="35" t="s">
        <v>226</v>
      </c>
      <c r="C53" s="34"/>
      <c r="D53" s="36">
        <f>D52*10.4%+37751.29</f>
        <v>48501.992559999999</v>
      </c>
      <c r="E53" s="34"/>
    </row>
    <row r="54" spans="1:5" x14ac:dyDescent="0.25">
      <c r="A54" s="34"/>
      <c r="B54" s="35" t="s">
        <v>115</v>
      </c>
      <c r="C54" s="34"/>
      <c r="D54" s="36">
        <f>D52-D53</f>
        <v>54870.147440000001</v>
      </c>
      <c r="E54" s="34"/>
    </row>
    <row r="55" spans="1:5" x14ac:dyDescent="0.25">
      <c r="A55" s="34"/>
      <c r="B55" s="35"/>
      <c r="C55" s="34"/>
      <c r="D55" s="36"/>
      <c r="E55" s="34"/>
    </row>
    <row r="56" spans="1:5" x14ac:dyDescent="0.25">
      <c r="A56" s="34"/>
      <c r="B56" s="35"/>
      <c r="C56" s="34"/>
      <c r="D56" s="36"/>
      <c r="E56" s="34"/>
    </row>
    <row r="57" spans="1:5" x14ac:dyDescent="0.25">
      <c r="A57" s="37"/>
      <c r="B57" s="37" t="s">
        <v>45</v>
      </c>
      <c r="C57" s="37"/>
      <c r="D57" s="37" t="s">
        <v>46</v>
      </c>
      <c r="E57" s="37"/>
    </row>
    <row r="58" spans="1:5" x14ac:dyDescent="0.25">
      <c r="A58" s="37"/>
      <c r="B58" s="37" t="s">
        <v>47</v>
      </c>
      <c r="C58" s="37"/>
      <c r="D58" s="37" t="s">
        <v>48</v>
      </c>
      <c r="E58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1" workbookViewId="0">
      <selection activeCell="H29" sqref="H29:I41"/>
    </sheetView>
  </sheetViews>
  <sheetFormatPr defaultRowHeight="15" x14ac:dyDescent="0.25"/>
  <cols>
    <col min="1" max="1" width="6.85546875" customWidth="1"/>
    <col min="2" max="2" width="43.5703125" customWidth="1"/>
    <col min="4" max="5" width="10.85546875" customWidth="1"/>
  </cols>
  <sheetData>
    <row r="1" spans="1:5" ht="15.75" x14ac:dyDescent="0.25">
      <c r="A1" s="140"/>
      <c r="B1" s="141" t="s">
        <v>0</v>
      </c>
      <c r="C1" s="140"/>
      <c r="D1" s="140"/>
      <c r="E1" s="140"/>
    </row>
    <row r="2" spans="1:5" x14ac:dyDescent="0.25">
      <c r="A2" s="140"/>
      <c r="B2" s="140"/>
      <c r="C2" s="140"/>
      <c r="D2" s="140"/>
      <c r="E2" s="140"/>
    </row>
    <row r="3" spans="1:5" x14ac:dyDescent="0.25">
      <c r="A3" s="140"/>
      <c r="B3" s="140" t="s">
        <v>1</v>
      </c>
      <c r="C3" s="140"/>
      <c r="D3" s="140"/>
      <c r="E3" s="140"/>
    </row>
    <row r="4" spans="1:5" x14ac:dyDescent="0.25">
      <c r="A4" s="140"/>
      <c r="B4" s="142" t="s">
        <v>147</v>
      </c>
      <c r="C4" s="140"/>
      <c r="D4" s="140"/>
      <c r="E4" s="140"/>
    </row>
    <row r="5" spans="1:5" x14ac:dyDescent="0.25">
      <c r="A5" s="530"/>
      <c r="B5" s="530"/>
      <c r="C5" s="530"/>
      <c r="D5" s="391"/>
      <c r="E5" s="143"/>
    </row>
    <row r="6" spans="1:5" ht="15.75" x14ac:dyDescent="0.25">
      <c r="A6" s="473"/>
      <c r="B6" s="474" t="s">
        <v>3</v>
      </c>
      <c r="C6" s="475" t="s">
        <v>4</v>
      </c>
      <c r="D6" s="531" t="s">
        <v>5</v>
      </c>
      <c r="E6" s="532"/>
    </row>
    <row r="7" spans="1:5" ht="15.75" x14ac:dyDescent="0.25">
      <c r="A7" s="146"/>
      <c r="B7" s="144" t="s">
        <v>6</v>
      </c>
      <c r="C7" s="145" t="s">
        <v>7</v>
      </c>
      <c r="D7" s="533" t="s">
        <v>141</v>
      </c>
      <c r="E7" s="534"/>
    </row>
    <row r="8" spans="1:5" x14ac:dyDescent="0.25">
      <c r="A8" s="147"/>
      <c r="B8" s="148" t="s">
        <v>8</v>
      </c>
      <c r="C8" s="147"/>
      <c r="D8" s="476">
        <v>-193342.27</v>
      </c>
      <c r="E8" s="477"/>
    </row>
    <row r="9" spans="1:5" x14ac:dyDescent="0.25">
      <c r="A9" s="147"/>
      <c r="B9" s="148" t="s">
        <v>9</v>
      </c>
      <c r="C9" s="147" t="s">
        <v>10</v>
      </c>
      <c r="D9" s="147">
        <v>7865.6</v>
      </c>
      <c r="E9" s="147"/>
    </row>
    <row r="10" spans="1:5" x14ac:dyDescent="0.25">
      <c r="A10" s="147"/>
      <c r="B10" s="148" t="s">
        <v>11</v>
      </c>
      <c r="C10" s="147" t="s">
        <v>10</v>
      </c>
      <c r="D10" s="147">
        <v>5669.08</v>
      </c>
      <c r="E10" s="147"/>
    </row>
    <row r="11" spans="1:5" x14ac:dyDescent="0.25">
      <c r="A11" s="147"/>
      <c r="B11" s="149" t="s">
        <v>12</v>
      </c>
      <c r="C11" s="147" t="s">
        <v>53</v>
      </c>
      <c r="D11" s="147">
        <v>544970.64</v>
      </c>
      <c r="E11" s="147"/>
    </row>
    <row r="12" spans="1:5" x14ac:dyDescent="0.25">
      <c r="A12" s="147"/>
      <c r="B12" s="147"/>
      <c r="C12" s="147"/>
      <c r="D12" s="147"/>
      <c r="E12" s="147"/>
    </row>
    <row r="13" spans="1:5" ht="15.75" x14ac:dyDescent="0.25">
      <c r="A13" s="147"/>
      <c r="B13" s="150" t="s">
        <v>14</v>
      </c>
      <c r="C13" s="147"/>
      <c r="D13" s="147"/>
      <c r="E13" s="147"/>
    </row>
    <row r="14" spans="1:5" x14ac:dyDescent="0.25">
      <c r="A14" s="147">
        <v>1</v>
      </c>
      <c r="B14" s="147" t="s">
        <v>15</v>
      </c>
      <c r="C14" s="147" t="s">
        <v>13</v>
      </c>
      <c r="D14" s="147">
        <v>785025.88</v>
      </c>
      <c r="E14" s="147"/>
    </row>
    <row r="15" spans="1:5" x14ac:dyDescent="0.25">
      <c r="A15" s="147">
        <v>2</v>
      </c>
      <c r="B15" s="147" t="s">
        <v>92</v>
      </c>
      <c r="C15" s="147"/>
      <c r="D15" s="147">
        <v>3600</v>
      </c>
      <c r="E15" s="147"/>
    </row>
    <row r="16" spans="1:5" ht="15.75" x14ac:dyDescent="0.25">
      <c r="A16" s="147"/>
      <c r="B16" s="150" t="s">
        <v>17</v>
      </c>
      <c r="C16" s="147"/>
      <c r="D16" s="151">
        <f>D14+D15</f>
        <v>788625.88</v>
      </c>
      <c r="E16" s="147"/>
    </row>
    <row r="17" spans="1:5" ht="15.75" x14ac:dyDescent="0.25">
      <c r="A17" s="147"/>
      <c r="B17" s="150"/>
      <c r="C17" s="147"/>
      <c r="D17" s="151"/>
      <c r="E17" s="147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D20+D25+D26+D24</f>
        <v>133560</v>
      </c>
      <c r="E19" s="26">
        <f>E20</f>
        <v>25509.022579999997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126282.29000000001</v>
      </c>
      <c r="E20" s="26">
        <f>E21+E22+E23</f>
        <v>25509.022579999997</v>
      </c>
    </row>
    <row r="21" spans="1:5" x14ac:dyDescent="0.25">
      <c r="A21" s="20"/>
      <c r="B21" s="20" t="s">
        <v>23</v>
      </c>
      <c r="C21" s="20"/>
      <c r="D21" s="147">
        <v>24482.57</v>
      </c>
      <c r="E21" s="28">
        <f>D21*20.2%</f>
        <v>4945.4791399999995</v>
      </c>
    </row>
    <row r="22" spans="1:5" x14ac:dyDescent="0.25">
      <c r="A22" s="20"/>
      <c r="B22" s="20" t="s">
        <v>24</v>
      </c>
      <c r="C22" s="20"/>
      <c r="D22" s="147">
        <v>62601.93</v>
      </c>
      <c r="E22" s="28">
        <f t="shared" ref="E22:E23" si="0">D22*20.2%</f>
        <v>12645.589859999998</v>
      </c>
    </row>
    <row r="23" spans="1:5" x14ac:dyDescent="0.25">
      <c r="A23" s="20"/>
      <c r="B23" s="20" t="s">
        <v>25</v>
      </c>
      <c r="C23" s="20"/>
      <c r="D23" s="147">
        <v>39197.79</v>
      </c>
      <c r="E23" s="28">
        <f t="shared" si="0"/>
        <v>7917.9535799999994</v>
      </c>
    </row>
    <row r="24" spans="1:5" x14ac:dyDescent="0.25">
      <c r="A24" s="20"/>
      <c r="B24" s="20" t="s">
        <v>75</v>
      </c>
      <c r="C24" s="20"/>
      <c r="D24" s="147">
        <v>1563.33</v>
      </c>
      <c r="E24" s="28"/>
    </row>
    <row r="25" spans="1:5" x14ac:dyDescent="0.25">
      <c r="A25" s="20">
        <v>2</v>
      </c>
      <c r="B25" s="27" t="s">
        <v>26</v>
      </c>
      <c r="C25" s="20"/>
      <c r="D25" s="147">
        <f>93.64+3516.72</f>
        <v>3610.3599999999997</v>
      </c>
      <c r="E25" s="28"/>
    </row>
    <row r="26" spans="1:5" x14ac:dyDescent="0.25">
      <c r="A26" s="20">
        <v>3</v>
      </c>
      <c r="B26" s="27" t="s">
        <v>213</v>
      </c>
      <c r="C26" s="20"/>
      <c r="D26" s="147">
        <v>2104.02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123433.20000000001</v>
      </c>
      <c r="E27" s="26">
        <f>E28</f>
        <v>20101.92698</v>
      </c>
    </row>
    <row r="28" spans="1:5" x14ac:dyDescent="0.25">
      <c r="A28" s="20">
        <v>1</v>
      </c>
      <c r="B28" s="31" t="s">
        <v>229</v>
      </c>
      <c r="C28" s="20"/>
      <c r="D28" s="147">
        <v>99514.49</v>
      </c>
      <c r="E28" s="33">
        <f>D28*20.2%</f>
        <v>20101.92698</v>
      </c>
    </row>
    <row r="29" spans="1:5" x14ac:dyDescent="0.25">
      <c r="A29" s="20">
        <v>2</v>
      </c>
      <c r="B29" s="31" t="s">
        <v>26</v>
      </c>
      <c r="C29" s="20"/>
      <c r="D29" s="405">
        <v>13058.71</v>
      </c>
      <c r="E29" s="20"/>
    </row>
    <row r="30" spans="1:5" x14ac:dyDescent="0.25">
      <c r="A30" s="20">
        <v>3</v>
      </c>
      <c r="B30" s="31" t="s">
        <v>64</v>
      </c>
      <c r="C30" s="20"/>
      <c r="D30" s="405">
        <v>10860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</f>
        <v>109337.99400000001</v>
      </c>
      <c r="E31" s="20"/>
    </row>
    <row r="32" spans="1:5" x14ac:dyDescent="0.25">
      <c r="A32" s="20"/>
      <c r="B32" s="20" t="s">
        <v>31</v>
      </c>
      <c r="C32" s="20"/>
      <c r="D32" s="28">
        <f>D16*5%</f>
        <v>39431.294000000002</v>
      </c>
      <c r="E32" s="20"/>
    </row>
    <row r="33" spans="1:5" x14ac:dyDescent="0.25">
      <c r="A33" s="20"/>
      <c r="B33" s="20" t="s">
        <v>57</v>
      </c>
      <c r="C33" s="20"/>
      <c r="D33" s="20">
        <v>992.9</v>
      </c>
      <c r="E33" s="20"/>
    </row>
    <row r="34" spans="1:5" x14ac:dyDescent="0.25">
      <c r="A34" s="20"/>
      <c r="B34" s="20" t="s">
        <v>33</v>
      </c>
      <c r="C34" s="20"/>
      <c r="D34" s="28">
        <v>14730.93</v>
      </c>
      <c r="E34" s="20"/>
    </row>
    <row r="35" spans="1:5" x14ac:dyDescent="0.25">
      <c r="A35" s="20"/>
      <c r="B35" s="20" t="s">
        <v>148</v>
      </c>
      <c r="C35" s="20"/>
      <c r="D35" s="28">
        <v>172</v>
      </c>
      <c r="E35" s="20"/>
    </row>
    <row r="36" spans="1:5" x14ac:dyDescent="0.25">
      <c r="A36" s="20"/>
      <c r="B36" s="147" t="s">
        <v>67</v>
      </c>
      <c r="C36" s="147"/>
      <c r="D36" s="147">
        <v>37813.730000000003</v>
      </c>
      <c r="E36" s="20"/>
    </row>
    <row r="37" spans="1:5" x14ac:dyDescent="0.25">
      <c r="A37" s="20"/>
      <c r="B37" s="27" t="s">
        <v>35</v>
      </c>
      <c r="C37" s="20"/>
      <c r="D37" s="20">
        <v>9282.27</v>
      </c>
      <c r="E37" s="20"/>
    </row>
    <row r="38" spans="1:5" x14ac:dyDescent="0.25">
      <c r="A38" s="20"/>
      <c r="B38" s="20" t="s">
        <v>37</v>
      </c>
      <c r="C38" s="20"/>
      <c r="D38" s="20">
        <v>6914.87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97861.09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D19+E19+D27+E27+D31+D39+E39</f>
        <v>509803.23355999996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D16*6%</f>
        <v>47317.552799999998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557120.78635999991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D16-D42</f>
        <v>231505.09364000009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D8+D44</f>
        <v>38162.823640000104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45</v>
      </c>
      <c r="C48" s="37"/>
      <c r="D48" s="37" t="s">
        <v>46</v>
      </c>
      <c r="E48" s="37"/>
    </row>
    <row r="49" spans="1:5" x14ac:dyDescent="0.25">
      <c r="A49" s="37"/>
      <c r="B49" s="37" t="s">
        <v>47</v>
      </c>
      <c r="C49" s="37"/>
      <c r="D49" s="37" t="s">
        <v>48</v>
      </c>
      <c r="E49" s="37"/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3" workbookViewId="0">
      <selection activeCell="H31" sqref="H31:I44"/>
    </sheetView>
  </sheetViews>
  <sheetFormatPr defaultRowHeight="15" x14ac:dyDescent="0.25"/>
  <cols>
    <col min="2" max="2" width="38.5703125" customWidth="1"/>
    <col min="4" max="4" width="10.7109375" customWidth="1"/>
    <col min="5" max="5" width="10.42578125" customWidth="1"/>
  </cols>
  <sheetData>
    <row r="1" spans="1:5" ht="15.75" x14ac:dyDescent="0.25">
      <c r="A1" s="152"/>
      <c r="B1" s="153" t="s">
        <v>0</v>
      </c>
      <c r="C1" s="152"/>
      <c r="D1" s="152"/>
      <c r="E1" s="152"/>
    </row>
    <row r="2" spans="1:5" x14ac:dyDescent="0.25">
      <c r="A2" s="152"/>
      <c r="B2" s="152"/>
      <c r="C2" s="152"/>
      <c r="D2" s="152"/>
      <c r="E2" s="152"/>
    </row>
    <row r="3" spans="1:5" x14ac:dyDescent="0.25">
      <c r="A3" s="152"/>
      <c r="B3" s="152" t="s">
        <v>98</v>
      </c>
      <c r="C3" s="152"/>
      <c r="D3" s="152"/>
      <c r="E3" s="152"/>
    </row>
    <row r="4" spans="1:5" x14ac:dyDescent="0.25">
      <c r="A4" s="152"/>
      <c r="B4" s="154" t="s">
        <v>149</v>
      </c>
      <c r="C4" s="152"/>
      <c r="D4" s="152"/>
      <c r="E4" s="152"/>
    </row>
    <row r="5" spans="1:5" x14ac:dyDescent="0.25">
      <c r="A5" s="537"/>
      <c r="B5" s="537"/>
      <c r="C5" s="537"/>
      <c r="D5" s="392"/>
      <c r="E5" s="155"/>
    </row>
    <row r="6" spans="1:5" ht="15.75" x14ac:dyDescent="0.25">
      <c r="A6" s="156"/>
      <c r="B6" s="157" t="s">
        <v>3</v>
      </c>
      <c r="C6" s="158" t="s">
        <v>4</v>
      </c>
      <c r="D6" s="535" t="s">
        <v>5</v>
      </c>
      <c r="E6" s="536"/>
    </row>
    <row r="7" spans="1:5" ht="15.75" x14ac:dyDescent="0.25">
      <c r="A7" s="159"/>
      <c r="B7" s="157" t="s">
        <v>6</v>
      </c>
      <c r="C7" s="158" t="s">
        <v>7</v>
      </c>
      <c r="D7" s="538" t="s">
        <v>141</v>
      </c>
      <c r="E7" s="539"/>
    </row>
    <row r="8" spans="1:5" x14ac:dyDescent="0.25">
      <c r="A8" s="160"/>
      <c r="B8" s="160"/>
      <c r="C8" s="160"/>
      <c r="D8" s="161"/>
      <c r="E8" s="162"/>
    </row>
    <row r="9" spans="1:5" x14ac:dyDescent="0.25">
      <c r="A9" s="160"/>
      <c r="B9" s="163" t="s">
        <v>68</v>
      </c>
      <c r="C9" s="160"/>
      <c r="D9" s="161">
        <v>212648.87</v>
      </c>
      <c r="E9" s="162"/>
    </row>
    <row r="10" spans="1:5" x14ac:dyDescent="0.25">
      <c r="A10" s="164"/>
      <c r="B10" s="165" t="s">
        <v>9</v>
      </c>
      <c r="C10" s="164" t="s">
        <v>10</v>
      </c>
      <c r="D10" s="164">
        <v>4036</v>
      </c>
      <c r="E10" s="164"/>
    </row>
    <row r="11" spans="1:5" x14ac:dyDescent="0.25">
      <c r="A11" s="164"/>
      <c r="B11" s="165" t="s">
        <v>11</v>
      </c>
      <c r="C11" s="164" t="s">
        <v>10</v>
      </c>
      <c r="D11" s="164">
        <v>2430.8000000000002</v>
      </c>
      <c r="E11" s="164"/>
    </row>
    <row r="12" spans="1:5" x14ac:dyDescent="0.25">
      <c r="A12" s="164"/>
      <c r="B12" s="166" t="s">
        <v>12</v>
      </c>
      <c r="C12" s="164" t="s">
        <v>13</v>
      </c>
      <c r="D12" s="164">
        <v>185796.84</v>
      </c>
      <c r="E12" s="164"/>
    </row>
    <row r="13" spans="1:5" x14ac:dyDescent="0.25">
      <c r="A13" s="164"/>
      <c r="B13" s="164"/>
      <c r="C13" s="164"/>
      <c r="D13" s="164"/>
      <c r="E13" s="164"/>
    </row>
    <row r="14" spans="1:5" ht="15.75" x14ac:dyDescent="0.25">
      <c r="A14" s="164"/>
      <c r="B14" s="167" t="s">
        <v>14</v>
      </c>
      <c r="C14" s="164"/>
      <c r="D14" s="164"/>
      <c r="E14" s="164"/>
    </row>
    <row r="15" spans="1:5" x14ac:dyDescent="0.25">
      <c r="A15" s="164">
        <v>1</v>
      </c>
      <c r="B15" s="164" t="s">
        <v>15</v>
      </c>
      <c r="C15" s="164" t="s">
        <v>13</v>
      </c>
      <c r="D15" s="164">
        <v>174626.4</v>
      </c>
      <c r="E15" s="164"/>
    </row>
    <row r="16" spans="1:5" x14ac:dyDescent="0.25">
      <c r="A16" s="164">
        <v>2</v>
      </c>
      <c r="B16" s="13" t="s">
        <v>92</v>
      </c>
      <c r="C16" s="164"/>
      <c r="D16" s="164">
        <v>293200</v>
      </c>
      <c r="E16" s="164"/>
    </row>
    <row r="17" spans="1:5" ht="15.75" x14ac:dyDescent="0.25">
      <c r="A17" s="164"/>
      <c r="B17" s="167" t="s">
        <v>17</v>
      </c>
      <c r="C17" s="164"/>
      <c r="D17" s="168">
        <f>D15+D16</f>
        <v>467826.4</v>
      </c>
      <c r="E17" s="164"/>
    </row>
    <row r="18" spans="1:5" ht="15.75" x14ac:dyDescent="0.25">
      <c r="A18" s="164"/>
      <c r="B18" s="167"/>
      <c r="C18" s="164"/>
      <c r="D18" s="169"/>
      <c r="E18" s="164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D21+D25+D26</f>
        <v>19799.41</v>
      </c>
      <c r="E20" s="26">
        <f>E21</f>
        <v>3446.4856199999999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D22+D23+D24</f>
        <v>17061.810000000001</v>
      </c>
      <c r="E21" s="26">
        <f>E22+E23+E24</f>
        <v>3446.4856199999999</v>
      </c>
    </row>
    <row r="22" spans="1:5" x14ac:dyDescent="0.25">
      <c r="A22" s="20"/>
      <c r="B22" s="20" t="s">
        <v>23</v>
      </c>
      <c r="C22" s="20"/>
      <c r="D22" s="164">
        <v>16148.65</v>
      </c>
      <c r="E22" s="28">
        <f>D22*20.2%</f>
        <v>3262.0272999999997</v>
      </c>
    </row>
    <row r="23" spans="1:5" x14ac:dyDescent="0.25">
      <c r="A23" s="20"/>
      <c r="B23" s="20" t="s">
        <v>24</v>
      </c>
      <c r="C23" s="20"/>
      <c r="D23" s="164">
        <v>0</v>
      </c>
      <c r="E23" s="28">
        <f t="shared" ref="E23:E24" si="0">D23*20.2%</f>
        <v>0</v>
      </c>
    </row>
    <row r="24" spans="1:5" x14ac:dyDescent="0.25">
      <c r="A24" s="20"/>
      <c r="B24" s="20" t="s">
        <v>75</v>
      </c>
      <c r="C24" s="20"/>
      <c r="D24" s="164">
        <v>913.16</v>
      </c>
      <c r="E24" s="28">
        <f t="shared" si="0"/>
        <v>184.45831999999999</v>
      </c>
    </row>
    <row r="25" spans="1:5" x14ac:dyDescent="0.25">
      <c r="A25" s="20">
        <v>2</v>
      </c>
      <c r="B25" s="27" t="s">
        <v>26</v>
      </c>
      <c r="C25" s="20"/>
      <c r="D25" s="164">
        <f>40.15+1384.1</f>
        <v>1424.25</v>
      </c>
      <c r="E25" s="28"/>
    </row>
    <row r="26" spans="1:5" x14ac:dyDescent="0.25">
      <c r="A26" s="20">
        <v>3</v>
      </c>
      <c r="B26" s="27" t="s">
        <v>213</v>
      </c>
      <c r="C26" s="20"/>
      <c r="D26" s="164">
        <v>1313.35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55653.16</v>
      </c>
      <c r="E27" s="26">
        <f>E28</f>
        <v>8728.7391599999992</v>
      </c>
    </row>
    <row r="28" spans="1:5" x14ac:dyDescent="0.25">
      <c r="A28" s="20">
        <v>1</v>
      </c>
      <c r="B28" s="31" t="s">
        <v>229</v>
      </c>
      <c r="C28" s="20"/>
      <c r="D28" s="164">
        <v>43211.58</v>
      </c>
      <c r="E28" s="28">
        <f>D28*20.2%</f>
        <v>8728.7391599999992</v>
      </c>
    </row>
    <row r="29" spans="1:5" x14ac:dyDescent="0.25">
      <c r="A29" s="20">
        <v>2</v>
      </c>
      <c r="B29" s="31" t="s">
        <v>26</v>
      </c>
      <c r="C29" s="20"/>
      <c r="D29" s="406">
        <f>6173.98+1684.6</f>
        <v>7858.58</v>
      </c>
      <c r="E29" s="20"/>
    </row>
    <row r="30" spans="1:5" x14ac:dyDescent="0.25">
      <c r="A30" s="20">
        <v>3</v>
      </c>
      <c r="B30" s="31" t="s">
        <v>64</v>
      </c>
      <c r="C30" s="20"/>
      <c r="D30" s="31">
        <v>4583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D32+D33+D34+D36+D37+D38+D35</f>
        <v>38140.910000000011</v>
      </c>
      <c r="E31" s="20"/>
    </row>
    <row r="32" spans="1:5" x14ac:dyDescent="0.25">
      <c r="A32" s="20"/>
      <c r="B32" s="20" t="s">
        <v>31</v>
      </c>
      <c r="C32" s="20"/>
      <c r="D32" s="28">
        <f>D17*5%</f>
        <v>23391.320000000003</v>
      </c>
      <c r="E32" s="20"/>
    </row>
    <row r="33" spans="1:5" x14ac:dyDescent="0.25">
      <c r="A33" s="20"/>
      <c r="B33" s="20" t="s">
        <v>57</v>
      </c>
      <c r="C33" s="20"/>
      <c r="D33" s="20">
        <v>1024.24</v>
      </c>
      <c r="E33" s="20"/>
    </row>
    <row r="34" spans="1:5" x14ac:dyDescent="0.25">
      <c r="A34" s="20"/>
      <c r="B34" s="20" t="s">
        <v>33</v>
      </c>
      <c r="C34" s="20"/>
      <c r="D34" s="28">
        <v>6316.36</v>
      </c>
      <c r="E34" s="20"/>
    </row>
    <row r="35" spans="1:5" x14ac:dyDescent="0.25">
      <c r="A35" s="20"/>
      <c r="B35" s="164" t="s">
        <v>131</v>
      </c>
      <c r="C35" s="20"/>
      <c r="D35" s="28">
        <v>172</v>
      </c>
      <c r="E35" s="20"/>
    </row>
    <row r="36" spans="1:5" x14ac:dyDescent="0.25">
      <c r="A36" s="20"/>
      <c r="B36" s="27" t="s">
        <v>34</v>
      </c>
      <c r="C36" s="20"/>
      <c r="D36" s="20">
        <v>291.95</v>
      </c>
      <c r="E36" s="20"/>
    </row>
    <row r="37" spans="1:5" x14ac:dyDescent="0.25">
      <c r="A37" s="20"/>
      <c r="B37" s="27" t="s">
        <v>35</v>
      </c>
      <c r="C37" s="20"/>
      <c r="D37" s="20">
        <v>3980.07</v>
      </c>
      <c r="E37" s="20"/>
    </row>
    <row r="38" spans="1:5" x14ac:dyDescent="0.25">
      <c r="A38" s="20"/>
      <c r="B38" s="20" t="s">
        <v>37</v>
      </c>
      <c r="C38" s="20"/>
      <c r="D38" s="20">
        <v>2964.97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45441.91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D20+E20+D27+E27+D31+D39+E39</f>
        <v>171210.61478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D17*6%</f>
        <v>28069.583999999999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199280.19878000001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D17-D42</f>
        <v>268546.20122000005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D9+D44</f>
        <v>481195.07122000004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7"/>
      <c r="B47" s="37" t="s">
        <v>45</v>
      </c>
      <c r="C47" s="37"/>
      <c r="D47" s="37" t="s">
        <v>46</v>
      </c>
      <c r="E47" s="37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3">
    <mergeCell ref="D6:E6"/>
    <mergeCell ref="A5:C5"/>
    <mergeCell ref="D7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H32" sqref="H32:I46"/>
    </sheetView>
  </sheetViews>
  <sheetFormatPr defaultRowHeight="15" x14ac:dyDescent="0.25"/>
  <cols>
    <col min="2" max="2" width="39" customWidth="1"/>
    <col min="4" max="4" width="11.7109375" customWidth="1"/>
    <col min="5" max="5" width="9.7109375" customWidth="1"/>
  </cols>
  <sheetData>
    <row r="1" spans="1:5" ht="15.75" x14ac:dyDescent="0.25">
      <c r="A1" s="170"/>
      <c r="B1" s="171" t="s">
        <v>0</v>
      </c>
      <c r="C1" s="170"/>
      <c r="D1" s="170"/>
      <c r="E1" s="170"/>
    </row>
    <row r="2" spans="1:5" x14ac:dyDescent="0.25">
      <c r="A2" s="170"/>
      <c r="B2" s="170"/>
      <c r="C2" s="170"/>
      <c r="D2" s="170"/>
      <c r="E2" s="170"/>
    </row>
    <row r="3" spans="1:5" x14ac:dyDescent="0.25">
      <c r="A3" s="170"/>
      <c r="B3" s="170" t="s">
        <v>99</v>
      </c>
      <c r="C3" s="170"/>
      <c r="D3" s="170"/>
      <c r="E3" s="170"/>
    </row>
    <row r="4" spans="1:5" x14ac:dyDescent="0.25">
      <c r="A4" s="170"/>
      <c r="B4" s="172" t="s">
        <v>150</v>
      </c>
      <c r="C4" s="170"/>
      <c r="D4" s="170"/>
      <c r="E4" s="170"/>
    </row>
    <row r="5" spans="1:5" x14ac:dyDescent="0.25">
      <c r="A5" s="170"/>
      <c r="B5" s="170" t="s">
        <v>71</v>
      </c>
      <c r="C5" s="170"/>
      <c r="D5" s="170"/>
      <c r="E5" s="170"/>
    </row>
    <row r="6" spans="1:5" x14ac:dyDescent="0.25">
      <c r="A6" s="540"/>
      <c r="B6" s="540"/>
      <c r="C6" s="540"/>
      <c r="D6" s="393"/>
      <c r="E6" s="173"/>
    </row>
    <row r="7" spans="1:5" x14ac:dyDescent="0.25">
      <c r="A7" s="174"/>
      <c r="B7" s="174"/>
      <c r="C7" s="174"/>
      <c r="D7" s="175"/>
      <c r="E7" s="176"/>
    </row>
    <row r="8" spans="1:5" ht="15.75" x14ac:dyDescent="0.25">
      <c r="A8" s="174"/>
      <c r="B8" s="177" t="s">
        <v>3</v>
      </c>
      <c r="C8" s="178" t="s">
        <v>4</v>
      </c>
      <c r="D8" s="541" t="s">
        <v>5</v>
      </c>
      <c r="E8" s="542"/>
    </row>
    <row r="9" spans="1:5" ht="15.75" x14ac:dyDescent="0.25">
      <c r="A9" s="179"/>
      <c r="B9" s="177" t="s">
        <v>6</v>
      </c>
      <c r="C9" s="178" t="s">
        <v>7</v>
      </c>
      <c r="D9" s="543" t="s">
        <v>141</v>
      </c>
      <c r="E9" s="544"/>
    </row>
    <row r="10" spans="1:5" x14ac:dyDescent="0.25">
      <c r="A10" s="180"/>
      <c r="B10" s="180"/>
      <c r="C10" s="180"/>
      <c r="D10" s="181"/>
      <c r="E10" s="182"/>
    </row>
    <row r="11" spans="1:5" x14ac:dyDescent="0.25">
      <c r="A11" s="180"/>
      <c r="B11" s="183" t="s">
        <v>8</v>
      </c>
      <c r="C11" s="180"/>
      <c r="D11" s="181">
        <v>-123140.57</v>
      </c>
      <c r="E11" s="182"/>
    </row>
    <row r="12" spans="1:5" x14ac:dyDescent="0.25">
      <c r="A12" s="184"/>
      <c r="B12" s="185" t="s">
        <v>9</v>
      </c>
      <c r="C12" s="184" t="s">
        <v>10</v>
      </c>
      <c r="D12" s="184">
        <v>8085.8</v>
      </c>
      <c r="E12" s="184"/>
    </row>
    <row r="13" spans="1:5" x14ac:dyDescent="0.25">
      <c r="A13" s="184"/>
      <c r="B13" s="185" t="s">
        <v>11</v>
      </c>
      <c r="C13" s="184" t="s">
        <v>10</v>
      </c>
      <c r="D13" s="184">
        <v>6343.7</v>
      </c>
      <c r="E13" s="184"/>
    </row>
    <row r="14" spans="1:5" x14ac:dyDescent="0.25">
      <c r="A14" s="184"/>
      <c r="B14" s="186" t="s">
        <v>12</v>
      </c>
      <c r="C14" s="184" t="s">
        <v>13</v>
      </c>
      <c r="D14" s="184">
        <v>259754.11</v>
      </c>
      <c r="E14" s="184"/>
    </row>
    <row r="15" spans="1:5" x14ac:dyDescent="0.25">
      <c r="A15" s="184"/>
      <c r="B15" s="184"/>
      <c r="C15" s="184"/>
      <c r="D15" s="184"/>
      <c r="E15" s="184"/>
    </row>
    <row r="16" spans="1:5" ht="15.75" x14ac:dyDescent="0.25">
      <c r="A16" s="184"/>
      <c r="B16" s="187" t="s">
        <v>14</v>
      </c>
      <c r="C16" s="184"/>
      <c r="D16" s="184"/>
      <c r="E16" s="184"/>
    </row>
    <row r="17" spans="1:5" x14ac:dyDescent="0.25">
      <c r="A17" s="184">
        <v>1</v>
      </c>
      <c r="B17" s="184" t="s">
        <v>15</v>
      </c>
      <c r="C17" s="184" t="s">
        <v>13</v>
      </c>
      <c r="D17" s="184">
        <v>281627.59999999998</v>
      </c>
      <c r="E17" s="184"/>
    </row>
    <row r="18" spans="1:5" x14ac:dyDescent="0.25">
      <c r="A18" s="184">
        <v>2</v>
      </c>
      <c r="B18" s="184" t="s">
        <v>92</v>
      </c>
      <c r="C18" s="184"/>
      <c r="D18" s="184">
        <v>3600</v>
      </c>
      <c r="E18" s="184"/>
    </row>
    <row r="19" spans="1:5" ht="15.75" x14ac:dyDescent="0.25">
      <c r="A19" s="184"/>
      <c r="B19" s="187" t="s">
        <v>17</v>
      </c>
      <c r="C19" s="184"/>
      <c r="D19" s="188">
        <f>D17+D18</f>
        <v>285227.59999999998</v>
      </c>
      <c r="E19" s="184"/>
    </row>
    <row r="20" spans="1:5" ht="15.75" x14ac:dyDescent="0.25">
      <c r="A20" s="184"/>
      <c r="B20" s="187"/>
      <c r="C20" s="184"/>
      <c r="D20" s="188"/>
      <c r="E20" s="184"/>
    </row>
    <row r="21" spans="1:5" ht="15.75" x14ac:dyDescent="0.25">
      <c r="A21" s="20"/>
      <c r="B21" s="21" t="s">
        <v>18</v>
      </c>
      <c r="C21" s="20"/>
      <c r="D21" s="22"/>
      <c r="E21" s="23" t="s">
        <v>19</v>
      </c>
    </row>
    <row r="22" spans="1:5" x14ac:dyDescent="0.25">
      <c r="A22" s="24" t="s">
        <v>20</v>
      </c>
      <c r="B22" s="25" t="s">
        <v>21</v>
      </c>
      <c r="C22" s="20"/>
      <c r="D22" s="26">
        <f>D23+D27</f>
        <v>69520.600000000006</v>
      </c>
      <c r="E22" s="26">
        <f>E23</f>
        <v>13800.587479999998</v>
      </c>
    </row>
    <row r="23" spans="1:5" x14ac:dyDescent="0.25">
      <c r="A23" s="20">
        <v>1</v>
      </c>
      <c r="B23" s="22" t="s">
        <v>22</v>
      </c>
      <c r="C23" s="27" t="s">
        <v>13</v>
      </c>
      <c r="D23" s="26">
        <f>D24+D25+D26</f>
        <v>68319.740000000005</v>
      </c>
      <c r="E23" s="26">
        <f>E24+E25+E26</f>
        <v>13800.587479999998</v>
      </c>
    </row>
    <row r="24" spans="1:5" x14ac:dyDescent="0.25">
      <c r="A24" s="20"/>
      <c r="B24" s="20" t="s">
        <v>23</v>
      </c>
      <c r="C24" s="20"/>
      <c r="D24" s="184">
        <v>17226.07</v>
      </c>
      <c r="E24" s="28">
        <f>D24*20.2%</f>
        <v>3479.6661399999998</v>
      </c>
    </row>
    <row r="25" spans="1:5" x14ac:dyDescent="0.25">
      <c r="A25" s="20"/>
      <c r="B25" s="20" t="s">
        <v>24</v>
      </c>
      <c r="C25" s="20"/>
      <c r="D25" s="184">
        <v>25758.400000000001</v>
      </c>
      <c r="E25" s="28">
        <f t="shared" ref="E25:E26" si="0">D25*20.2%</f>
        <v>5203.1967999999997</v>
      </c>
    </row>
    <row r="26" spans="1:5" x14ac:dyDescent="0.25">
      <c r="A26" s="20"/>
      <c r="B26" s="20" t="s">
        <v>25</v>
      </c>
      <c r="C26" s="20"/>
      <c r="D26" s="184">
        <v>25335.27</v>
      </c>
      <c r="E26" s="28">
        <f t="shared" si="0"/>
        <v>5117.7245400000002</v>
      </c>
    </row>
    <row r="27" spans="1:5" x14ac:dyDescent="0.25">
      <c r="A27" s="20">
        <v>2</v>
      </c>
      <c r="B27" s="27" t="s">
        <v>26</v>
      </c>
      <c r="C27" s="20"/>
      <c r="D27" s="184">
        <f>1200.86</f>
        <v>1200.8599999999999</v>
      </c>
      <c r="E27" s="28"/>
    </row>
    <row r="28" spans="1:5" x14ac:dyDescent="0.25">
      <c r="A28" s="24" t="s">
        <v>27</v>
      </c>
      <c r="B28" s="30" t="s">
        <v>28</v>
      </c>
      <c r="C28" s="20"/>
      <c r="D28" s="26">
        <f>D29+D30+D31</f>
        <v>65139.14</v>
      </c>
      <c r="E28" s="26">
        <f>E29</f>
        <v>11037.203239999999</v>
      </c>
    </row>
    <row r="29" spans="1:5" x14ac:dyDescent="0.25">
      <c r="A29" s="20">
        <v>1</v>
      </c>
      <c r="B29" s="31" t="s">
        <v>229</v>
      </c>
      <c r="C29" s="20"/>
      <c r="D29" s="184">
        <v>54639.62</v>
      </c>
      <c r="E29" s="28">
        <f>D29*20.2%</f>
        <v>11037.203239999999</v>
      </c>
    </row>
    <row r="30" spans="1:5" x14ac:dyDescent="0.25">
      <c r="A30" s="20">
        <v>2</v>
      </c>
      <c r="B30" s="31" t="s">
        <v>26</v>
      </c>
      <c r="C30" s="20"/>
      <c r="D30" s="407">
        <v>1336.52</v>
      </c>
      <c r="E30" s="20"/>
    </row>
    <row r="31" spans="1:5" x14ac:dyDescent="0.25">
      <c r="A31" s="20">
        <v>3</v>
      </c>
      <c r="B31" s="31" t="s">
        <v>64</v>
      </c>
      <c r="C31" s="20"/>
      <c r="D31" s="407">
        <v>9163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D33+D34+D35+D36+D37+D38+D39</f>
        <v>51574.677199999998</v>
      </c>
      <c r="E32" s="20"/>
    </row>
    <row r="33" spans="1:5" x14ac:dyDescent="0.25">
      <c r="A33" s="20"/>
      <c r="B33" s="20" t="s">
        <v>31</v>
      </c>
      <c r="C33" s="20"/>
      <c r="D33" s="28">
        <f>D19*4.7%</f>
        <v>13405.697199999999</v>
      </c>
      <c r="E33" s="20"/>
    </row>
    <row r="34" spans="1:5" x14ac:dyDescent="0.25">
      <c r="A34" s="20"/>
      <c r="B34" s="20" t="s">
        <v>57</v>
      </c>
      <c r="C34" s="184"/>
      <c r="D34" s="408">
        <v>759.6</v>
      </c>
      <c r="E34" s="20"/>
    </row>
    <row r="35" spans="1:5" x14ac:dyDescent="0.25">
      <c r="A35" s="20"/>
      <c r="B35" s="184" t="s">
        <v>33</v>
      </c>
      <c r="C35" s="184"/>
      <c r="D35" s="408">
        <v>8229.67</v>
      </c>
      <c r="E35" s="20"/>
    </row>
    <row r="36" spans="1:5" x14ac:dyDescent="0.25">
      <c r="A36" s="20"/>
      <c r="B36" s="164" t="s">
        <v>70</v>
      </c>
      <c r="C36" s="184"/>
      <c r="D36" s="408">
        <v>16316.2</v>
      </c>
      <c r="E36" s="20"/>
    </row>
    <row r="37" spans="1:5" x14ac:dyDescent="0.25">
      <c r="A37" s="20"/>
      <c r="B37" s="27" t="s">
        <v>35</v>
      </c>
      <c r="C37" s="184"/>
      <c r="D37" s="184">
        <v>8332.0400000000009</v>
      </c>
      <c r="E37" s="20"/>
    </row>
    <row r="38" spans="1:5" x14ac:dyDescent="0.25">
      <c r="A38" s="20"/>
      <c r="B38" s="27" t="s">
        <v>131</v>
      </c>
      <c r="C38" s="184"/>
      <c r="D38" s="184">
        <v>172</v>
      </c>
      <c r="E38" s="20"/>
    </row>
    <row r="39" spans="1:5" x14ac:dyDescent="0.25">
      <c r="A39" s="20"/>
      <c r="B39" s="184" t="s">
        <v>37</v>
      </c>
      <c r="C39" s="184"/>
      <c r="D39" s="184">
        <v>4359.47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50233.25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D22+E22+D28+E28+D32+D40</f>
        <v>261305.45792000002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D19*6%</f>
        <v>17113.655999999999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278419.11392000003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135</v>
      </c>
      <c r="C45" s="20"/>
      <c r="D45" s="26">
        <f>D19-D43</f>
        <v>6808.4860799999442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D11+D45</f>
        <v>-116332.08392000006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45</v>
      </c>
      <c r="C48" s="37"/>
      <c r="D48" s="37" t="s">
        <v>46</v>
      </c>
      <c r="E48" s="37"/>
    </row>
    <row r="49" spans="1:5" x14ac:dyDescent="0.25">
      <c r="A49" s="37"/>
      <c r="B49" s="37" t="s">
        <v>47</v>
      </c>
      <c r="C49" s="37"/>
      <c r="D49" s="37" t="s">
        <v>48</v>
      </c>
      <c r="E49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B17" workbookViewId="0">
      <selection activeCell="G33" sqref="G33:J49"/>
    </sheetView>
  </sheetViews>
  <sheetFormatPr defaultRowHeight="15" x14ac:dyDescent="0.25"/>
  <cols>
    <col min="2" max="2" width="41.140625" customWidth="1"/>
    <col min="4" max="4" width="10.5703125" customWidth="1"/>
    <col min="5" max="5" width="10.28515625" customWidth="1"/>
  </cols>
  <sheetData>
    <row r="1" spans="1:5" ht="15.75" x14ac:dyDescent="0.25">
      <c r="A1" s="189"/>
      <c r="B1" s="190" t="s">
        <v>0</v>
      </c>
      <c r="C1" s="189"/>
      <c r="D1" s="189"/>
      <c r="E1" s="189"/>
    </row>
    <row r="2" spans="1:5" x14ac:dyDescent="0.25">
      <c r="A2" s="189"/>
      <c r="B2" s="189" t="s">
        <v>1</v>
      </c>
      <c r="C2" s="189"/>
      <c r="D2" s="189"/>
      <c r="E2" s="189"/>
    </row>
    <row r="3" spans="1:5" x14ac:dyDescent="0.25">
      <c r="A3" s="189"/>
      <c r="B3" s="409" t="s">
        <v>151</v>
      </c>
      <c r="C3" s="189"/>
      <c r="D3" s="189"/>
      <c r="E3" s="189"/>
    </row>
    <row r="4" spans="1:5" x14ac:dyDescent="0.25">
      <c r="A4" s="191"/>
      <c r="B4" s="189" t="s">
        <v>49</v>
      </c>
      <c r="C4" s="189"/>
      <c r="D4" s="189"/>
      <c r="E4" s="189"/>
    </row>
    <row r="5" spans="1:5" ht="15.75" x14ac:dyDescent="0.25">
      <c r="A5" s="192"/>
      <c r="B5" s="441" t="s">
        <v>3</v>
      </c>
      <c r="C5" s="442" t="s">
        <v>4</v>
      </c>
      <c r="D5" s="545" t="s">
        <v>5</v>
      </c>
      <c r="E5" s="546"/>
    </row>
    <row r="6" spans="1:5" ht="15.75" x14ac:dyDescent="0.25">
      <c r="A6" s="195"/>
      <c r="B6" s="193" t="s">
        <v>6</v>
      </c>
      <c r="C6" s="194" t="s">
        <v>7</v>
      </c>
      <c r="D6" s="547" t="s">
        <v>152</v>
      </c>
      <c r="E6" s="548"/>
    </row>
    <row r="7" spans="1:5" x14ac:dyDescent="0.25">
      <c r="A7" s="196"/>
      <c r="B7" s="14" t="s">
        <v>100</v>
      </c>
      <c r="C7" s="199"/>
      <c r="D7" s="478">
        <v>-224526.19</v>
      </c>
      <c r="E7" s="479"/>
    </row>
    <row r="8" spans="1:5" x14ac:dyDescent="0.25">
      <c r="A8" s="196"/>
      <c r="B8" s="12" t="s">
        <v>101</v>
      </c>
      <c r="C8" s="196"/>
      <c r="D8" s="197">
        <v>35681.53</v>
      </c>
      <c r="E8" s="198"/>
    </row>
    <row r="9" spans="1:5" x14ac:dyDescent="0.25">
      <c r="A9" s="196"/>
      <c r="B9" s="200" t="s">
        <v>9</v>
      </c>
      <c r="C9" s="199" t="s">
        <v>10</v>
      </c>
      <c r="D9" s="199">
        <v>3011.34</v>
      </c>
      <c r="E9" s="199"/>
    </row>
    <row r="10" spans="1:5" x14ac:dyDescent="0.25">
      <c r="A10" s="199"/>
      <c r="B10" s="200" t="s">
        <v>11</v>
      </c>
      <c r="C10" s="199" t="s">
        <v>10</v>
      </c>
      <c r="D10" s="201">
        <v>2135</v>
      </c>
      <c r="E10" s="199"/>
    </row>
    <row r="11" spans="1:5" x14ac:dyDescent="0.25">
      <c r="A11" s="199"/>
      <c r="B11" s="202" t="s">
        <v>12</v>
      </c>
      <c r="C11" s="199" t="s">
        <v>53</v>
      </c>
      <c r="D11" s="199">
        <v>254081.56</v>
      </c>
      <c r="E11" s="199"/>
    </row>
    <row r="12" spans="1:5" ht="15.75" x14ac:dyDescent="0.25">
      <c r="A12" s="199"/>
      <c r="B12" s="203" t="s">
        <v>14</v>
      </c>
      <c r="C12" s="199"/>
      <c r="D12" s="199"/>
      <c r="E12" s="199"/>
    </row>
    <row r="13" spans="1:5" x14ac:dyDescent="0.25">
      <c r="A13" s="199"/>
      <c r="B13" s="199" t="s">
        <v>15</v>
      </c>
      <c r="C13" s="199" t="s">
        <v>13</v>
      </c>
      <c r="D13" s="201">
        <v>168690.6</v>
      </c>
      <c r="E13" s="199"/>
    </row>
    <row r="14" spans="1:5" x14ac:dyDescent="0.25">
      <c r="A14" s="199">
        <v>1</v>
      </c>
      <c r="B14" s="410" t="s">
        <v>16</v>
      </c>
      <c r="C14" s="199"/>
      <c r="D14" s="199">
        <v>69426.899999999994</v>
      </c>
      <c r="E14" s="199"/>
    </row>
    <row r="15" spans="1:5" x14ac:dyDescent="0.25">
      <c r="A15" s="199">
        <v>2</v>
      </c>
      <c r="B15" s="410" t="s">
        <v>92</v>
      </c>
      <c r="C15" s="199"/>
      <c r="D15" s="199">
        <v>7200</v>
      </c>
      <c r="E15" s="199"/>
    </row>
    <row r="16" spans="1:5" ht="15.75" x14ac:dyDescent="0.25">
      <c r="A16" s="199">
        <v>3</v>
      </c>
      <c r="B16" s="203" t="s">
        <v>17</v>
      </c>
      <c r="C16" s="199"/>
      <c r="D16" s="204">
        <f>D13+D14+D15</f>
        <v>245317.5</v>
      </c>
      <c r="E16" s="199"/>
    </row>
    <row r="17" spans="1:5" ht="15.75" x14ac:dyDescent="0.25">
      <c r="A17" s="199"/>
      <c r="B17" s="203"/>
      <c r="C17" s="199"/>
      <c r="D17" s="205"/>
      <c r="E17" s="199"/>
    </row>
    <row r="18" spans="1:5" ht="15.75" x14ac:dyDescent="0.25">
      <c r="A18" s="199"/>
      <c r="B18" s="21" t="s">
        <v>18</v>
      </c>
      <c r="C18" s="20"/>
      <c r="D18" s="22"/>
      <c r="E18" s="23" t="s">
        <v>19</v>
      </c>
    </row>
    <row r="19" spans="1:5" x14ac:dyDescent="0.25">
      <c r="A19" s="20"/>
      <c r="B19" s="25" t="s">
        <v>21</v>
      </c>
      <c r="C19" s="20"/>
      <c r="D19" s="26">
        <f>D20+D26+D24+D25</f>
        <v>69003.34</v>
      </c>
      <c r="E19" s="26">
        <f>E20</f>
        <v>12629.141</v>
      </c>
    </row>
    <row r="20" spans="1:5" x14ac:dyDescent="0.25">
      <c r="A20" s="24" t="s">
        <v>20</v>
      </c>
      <c r="B20" s="22" t="s">
        <v>22</v>
      </c>
      <c r="C20" s="27" t="s">
        <v>13</v>
      </c>
      <c r="D20" s="26">
        <f>D21+D22+D23</f>
        <v>62520.5</v>
      </c>
      <c r="E20" s="26">
        <f>E21+E22+E23</f>
        <v>12629.141</v>
      </c>
    </row>
    <row r="21" spans="1:5" x14ac:dyDescent="0.25">
      <c r="A21" s="20">
        <v>1</v>
      </c>
      <c r="B21" s="20" t="s">
        <v>23</v>
      </c>
      <c r="C21" s="20"/>
      <c r="D21" s="199">
        <v>27240.65</v>
      </c>
      <c r="E21" s="28">
        <f>D21*20.2%</f>
        <v>5502.6112999999996</v>
      </c>
    </row>
    <row r="22" spans="1:5" x14ac:dyDescent="0.25">
      <c r="A22" s="20"/>
      <c r="B22" s="20" t="s">
        <v>24</v>
      </c>
      <c r="C22" s="20"/>
      <c r="D22" s="199">
        <v>19789.04</v>
      </c>
      <c r="E22" s="28">
        <f t="shared" ref="E22:E23" si="0">D22*20.2%</f>
        <v>3997.3860799999998</v>
      </c>
    </row>
    <row r="23" spans="1:5" x14ac:dyDescent="0.25">
      <c r="A23" s="20"/>
      <c r="B23" s="20" t="s">
        <v>25</v>
      </c>
      <c r="C23" s="20"/>
      <c r="D23" s="199">
        <v>15490.81</v>
      </c>
      <c r="E23" s="28">
        <f t="shared" si="0"/>
        <v>3129.1436199999998</v>
      </c>
    </row>
    <row r="24" spans="1:5" x14ac:dyDescent="0.25">
      <c r="A24" s="20"/>
      <c r="B24" s="20" t="s">
        <v>239</v>
      </c>
      <c r="C24" s="20"/>
      <c r="D24" s="199">
        <v>574.79999999999995</v>
      </c>
      <c r="E24" s="28"/>
    </row>
    <row r="25" spans="1:5" x14ac:dyDescent="0.25">
      <c r="A25" s="20"/>
      <c r="B25" s="20" t="s">
        <v>145</v>
      </c>
      <c r="C25" s="20"/>
      <c r="D25" s="199">
        <v>2409</v>
      </c>
      <c r="E25" s="28"/>
    </row>
    <row r="26" spans="1:5" x14ac:dyDescent="0.25">
      <c r="A26" s="20">
        <v>2</v>
      </c>
      <c r="B26" s="27" t="s">
        <v>26</v>
      </c>
      <c r="C26" s="20"/>
      <c r="D26" s="199">
        <f>35.27+3463.77</f>
        <v>3499.04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44567.83</v>
      </c>
      <c r="E27" s="26">
        <f>E28</f>
        <v>7666.5544799999989</v>
      </c>
    </row>
    <row r="28" spans="1:5" x14ac:dyDescent="0.25">
      <c r="A28" s="20">
        <v>1</v>
      </c>
      <c r="B28" s="31" t="s">
        <v>229</v>
      </c>
      <c r="C28" s="20"/>
      <c r="D28" s="199">
        <v>37953.24</v>
      </c>
      <c r="E28" s="28">
        <f>D28*20.2%</f>
        <v>7666.5544799999989</v>
      </c>
    </row>
    <row r="29" spans="1:5" x14ac:dyDescent="0.25">
      <c r="A29" s="20">
        <v>2</v>
      </c>
      <c r="B29" s="31" t="s">
        <v>26</v>
      </c>
      <c r="C29" s="20"/>
      <c r="D29" s="410">
        <v>3314.59</v>
      </c>
      <c r="E29" s="20"/>
    </row>
    <row r="30" spans="1:5" x14ac:dyDescent="0.25">
      <c r="A30" s="20">
        <v>3</v>
      </c>
      <c r="B30" s="31" t="s">
        <v>64</v>
      </c>
      <c r="C30" s="20"/>
      <c r="D30" s="410">
        <v>3300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D32+D35+D36+D37+D38+D34+D33</f>
        <v>26287.782499999998</v>
      </c>
      <c r="E31" s="20"/>
    </row>
    <row r="32" spans="1:5" x14ac:dyDescent="0.25">
      <c r="A32" s="20"/>
      <c r="B32" s="20" t="s">
        <v>31</v>
      </c>
      <c r="C32" s="20"/>
      <c r="D32" s="28">
        <f>D16*4.7%</f>
        <v>11529.922500000001</v>
      </c>
      <c r="E32" s="20"/>
    </row>
    <row r="33" spans="1:5" x14ac:dyDescent="0.25">
      <c r="A33" s="20"/>
      <c r="B33" s="20" t="s">
        <v>57</v>
      </c>
      <c r="C33" s="199"/>
      <c r="D33" s="201">
        <v>594.22</v>
      </c>
      <c r="E33" s="20"/>
    </row>
    <row r="34" spans="1:5" x14ac:dyDescent="0.25">
      <c r="A34" s="20"/>
      <c r="B34" s="199" t="s">
        <v>33</v>
      </c>
      <c r="C34" s="199"/>
      <c r="D34" s="199">
        <v>5547.73</v>
      </c>
      <c r="E34" s="20"/>
    </row>
    <row r="35" spans="1:5" x14ac:dyDescent="0.25">
      <c r="A35" s="20"/>
      <c r="B35" s="27" t="s">
        <v>35</v>
      </c>
      <c r="C35" s="199"/>
      <c r="D35" s="199">
        <v>3495.74</v>
      </c>
      <c r="E35" s="20"/>
    </row>
    <row r="36" spans="1:5" x14ac:dyDescent="0.25">
      <c r="A36" s="20"/>
      <c r="B36" s="27" t="s">
        <v>131</v>
      </c>
      <c r="C36" s="199"/>
      <c r="D36" s="199">
        <v>516</v>
      </c>
      <c r="E36" s="20"/>
    </row>
    <row r="37" spans="1:5" x14ac:dyDescent="0.25">
      <c r="A37" s="20"/>
      <c r="B37" s="411" t="s">
        <v>153</v>
      </c>
      <c r="C37" s="199"/>
      <c r="D37" s="199">
        <v>2000</v>
      </c>
      <c r="E37" s="20"/>
    </row>
    <row r="38" spans="1:5" x14ac:dyDescent="0.25">
      <c r="A38" s="20"/>
      <c r="B38" s="199" t="s">
        <v>37</v>
      </c>
      <c r="C38" s="199"/>
      <c r="D38" s="199">
        <v>2604.17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35994.58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D19+E19+D27+E27+D31+D39+E39</f>
        <v>196149.22798000003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D16*6%</f>
        <v>14719.05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210868.27798000001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D13+D15-D42</f>
        <v>-34977.677980000008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D7+D44+7428.68</f>
        <v>-252075.18798000002</v>
      </c>
      <c r="E45" s="20"/>
    </row>
    <row r="46" spans="1:5" x14ac:dyDescent="0.25">
      <c r="A46" s="34"/>
      <c r="B46" s="35" t="s">
        <v>16</v>
      </c>
      <c r="C46" s="34"/>
      <c r="D46" s="36">
        <f>D8+D14</f>
        <v>105108.43</v>
      </c>
      <c r="E46" s="34"/>
    </row>
    <row r="47" spans="1:5" x14ac:dyDescent="0.25">
      <c r="A47" s="34"/>
      <c r="B47" s="35" t="s">
        <v>226</v>
      </c>
      <c r="C47" s="34"/>
      <c r="D47" s="36">
        <f>13768.26+7428.68</f>
        <v>21196.940000000002</v>
      </c>
      <c r="E47" s="34"/>
    </row>
    <row r="48" spans="1:5" x14ac:dyDescent="0.25">
      <c r="A48" s="34"/>
      <c r="B48" s="35" t="s">
        <v>115</v>
      </c>
      <c r="C48" s="34"/>
      <c r="D48" s="36">
        <f>D46-D47</f>
        <v>83911.489999999991</v>
      </c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4" workbookViewId="0">
      <selection activeCell="H34" sqref="H34:I47"/>
    </sheetView>
  </sheetViews>
  <sheetFormatPr defaultRowHeight="15" x14ac:dyDescent="0.25"/>
  <cols>
    <col min="1" max="1" width="6.42578125" customWidth="1"/>
    <col min="2" max="2" width="41.140625" customWidth="1"/>
    <col min="4" max="4" width="11" customWidth="1"/>
    <col min="5" max="5" width="11.28515625" customWidth="1"/>
  </cols>
  <sheetData>
    <row r="1" spans="1:5" ht="15.75" x14ac:dyDescent="0.25">
      <c r="A1" s="206"/>
      <c r="B1" s="207" t="s">
        <v>0</v>
      </c>
      <c r="C1" s="206"/>
      <c r="D1" s="206"/>
      <c r="E1" s="206"/>
    </row>
    <row r="2" spans="1:5" x14ac:dyDescent="0.25">
      <c r="A2" s="206"/>
      <c r="B2" s="206"/>
      <c r="C2" s="206"/>
      <c r="D2" s="206"/>
      <c r="E2" s="206"/>
    </row>
    <row r="3" spans="1:5" x14ac:dyDescent="0.25">
      <c r="A3" s="206"/>
      <c r="B3" s="208" t="s">
        <v>72</v>
      </c>
      <c r="C3" s="206"/>
      <c r="D3" s="206"/>
      <c r="E3" s="206"/>
    </row>
    <row r="4" spans="1:5" x14ac:dyDescent="0.25">
      <c r="A4" s="206"/>
      <c r="B4" s="208" t="s">
        <v>154</v>
      </c>
      <c r="C4" s="206"/>
      <c r="D4" s="206"/>
      <c r="E4" s="206"/>
    </row>
    <row r="5" spans="1:5" x14ac:dyDescent="0.25">
      <c r="A5" s="206"/>
      <c r="B5" s="206" t="s">
        <v>66</v>
      </c>
      <c r="C5" s="206"/>
      <c r="D5" s="206"/>
      <c r="E5" s="206"/>
    </row>
    <row r="6" spans="1:5" x14ac:dyDescent="0.25">
      <c r="A6" s="209"/>
      <c r="B6" s="209"/>
      <c r="C6" s="209"/>
      <c r="D6" s="210"/>
      <c r="E6" s="211"/>
    </row>
    <row r="7" spans="1:5" ht="15.75" x14ac:dyDescent="0.25">
      <c r="A7" s="212"/>
      <c r="B7" s="213" t="s">
        <v>3</v>
      </c>
      <c r="C7" s="214" t="s">
        <v>4</v>
      </c>
      <c r="D7" s="549" t="s">
        <v>5</v>
      </c>
      <c r="E7" s="550"/>
    </row>
    <row r="8" spans="1:5" ht="15.75" x14ac:dyDescent="0.25">
      <c r="A8" s="215"/>
      <c r="B8" s="213" t="s">
        <v>6</v>
      </c>
      <c r="C8" s="214" t="s">
        <v>7</v>
      </c>
      <c r="D8" s="551" t="s">
        <v>141</v>
      </c>
      <c r="E8" s="552"/>
    </row>
    <row r="9" spans="1:5" x14ac:dyDescent="0.25">
      <c r="A9" s="216"/>
      <c r="B9" s="216"/>
      <c r="C9" s="216"/>
      <c r="D9" s="217"/>
      <c r="E9" s="218"/>
    </row>
    <row r="10" spans="1:5" x14ac:dyDescent="0.25">
      <c r="A10" s="216"/>
      <c r="B10" s="219" t="s">
        <v>8</v>
      </c>
      <c r="C10" s="216"/>
      <c r="D10" s="217">
        <v>8926.16</v>
      </c>
      <c r="E10" s="218"/>
    </row>
    <row r="11" spans="1:5" x14ac:dyDescent="0.25">
      <c r="A11" s="220"/>
      <c r="B11" s="221" t="s">
        <v>9</v>
      </c>
      <c r="C11" s="220" t="s">
        <v>10</v>
      </c>
      <c r="D11" s="220">
        <v>5460.6</v>
      </c>
      <c r="E11" s="220"/>
    </row>
    <row r="12" spans="1:5" x14ac:dyDescent="0.25">
      <c r="A12" s="220"/>
      <c r="B12" s="221" t="s">
        <v>11</v>
      </c>
      <c r="C12" s="220" t="s">
        <v>10</v>
      </c>
      <c r="D12" s="220">
        <v>4405.1000000000004</v>
      </c>
      <c r="E12" s="220"/>
    </row>
    <row r="13" spans="1:5" x14ac:dyDescent="0.25">
      <c r="A13" s="220"/>
      <c r="B13" s="222" t="s">
        <v>12</v>
      </c>
      <c r="C13" s="220" t="s">
        <v>53</v>
      </c>
      <c r="D13" s="220">
        <v>338045.22</v>
      </c>
      <c r="E13" s="220"/>
    </row>
    <row r="14" spans="1:5" x14ac:dyDescent="0.25">
      <c r="A14" s="220"/>
      <c r="B14" s="220"/>
      <c r="C14" s="220"/>
      <c r="D14" s="220"/>
      <c r="E14" s="220"/>
    </row>
    <row r="15" spans="1:5" ht="15.75" x14ac:dyDescent="0.25">
      <c r="A15" s="220"/>
      <c r="B15" s="223" t="s">
        <v>14</v>
      </c>
      <c r="C15" s="220"/>
      <c r="D15" s="220"/>
      <c r="E15" s="220"/>
    </row>
    <row r="16" spans="1:5" x14ac:dyDescent="0.25">
      <c r="A16" s="220">
        <v>1</v>
      </c>
      <c r="B16" s="220" t="s">
        <v>15</v>
      </c>
      <c r="C16" s="220" t="s">
        <v>13</v>
      </c>
      <c r="D16" s="220">
        <v>308942.05</v>
      </c>
      <c r="E16" s="220"/>
    </row>
    <row r="17" spans="1:5" x14ac:dyDescent="0.25">
      <c r="A17" s="220">
        <v>2</v>
      </c>
      <c r="B17" s="220" t="s">
        <v>92</v>
      </c>
      <c r="C17" s="220"/>
      <c r="D17" s="220">
        <v>14550.72</v>
      </c>
      <c r="E17" s="220"/>
    </row>
    <row r="18" spans="1:5" ht="15.75" x14ac:dyDescent="0.25">
      <c r="A18" s="220"/>
      <c r="B18" s="223" t="s">
        <v>17</v>
      </c>
      <c r="C18" s="220"/>
      <c r="D18" s="224">
        <f>D16+D17</f>
        <v>323492.76999999996</v>
      </c>
      <c r="E18" s="220"/>
    </row>
    <row r="19" spans="1:5" ht="15.75" x14ac:dyDescent="0.25">
      <c r="A19" s="220"/>
      <c r="B19" s="223"/>
      <c r="C19" s="220"/>
      <c r="D19" s="224"/>
      <c r="E19" s="220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D22+D27+D26</f>
        <v>28992.98</v>
      </c>
      <c r="E21" s="26">
        <f>E22</f>
        <v>4579.2208199999995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</f>
        <v>22669.41</v>
      </c>
      <c r="E22" s="26">
        <f>E23</f>
        <v>4579.2208199999995</v>
      </c>
    </row>
    <row r="23" spans="1:5" x14ac:dyDescent="0.25">
      <c r="A23" s="20"/>
      <c r="B23" s="20" t="s">
        <v>23</v>
      </c>
      <c r="C23" s="20"/>
      <c r="D23" s="220">
        <v>22669.41</v>
      </c>
      <c r="E23" s="28">
        <f>D23*20.2%</f>
        <v>4579.2208199999995</v>
      </c>
    </row>
    <row r="24" spans="1:5" x14ac:dyDescent="0.25">
      <c r="A24" s="20"/>
      <c r="B24" s="20" t="s">
        <v>24</v>
      </c>
      <c r="C24" s="20"/>
      <c r="D24" s="220">
        <v>0</v>
      </c>
      <c r="E24" s="28"/>
    </row>
    <row r="25" spans="1:5" x14ac:dyDescent="0.25">
      <c r="A25" s="20"/>
      <c r="B25" s="20" t="s">
        <v>25</v>
      </c>
      <c r="C25" s="20"/>
      <c r="D25" s="220">
        <v>0</v>
      </c>
      <c r="E25" s="28"/>
    </row>
    <row r="26" spans="1:5" x14ac:dyDescent="0.25">
      <c r="A26" s="20">
        <v>2</v>
      </c>
      <c r="B26" s="31" t="s">
        <v>75</v>
      </c>
      <c r="C26" s="20"/>
      <c r="D26" s="412">
        <v>3435.61</v>
      </c>
      <c r="E26" s="28"/>
    </row>
    <row r="27" spans="1:5" x14ac:dyDescent="0.25">
      <c r="A27" s="20">
        <v>3</v>
      </c>
      <c r="B27" s="27" t="s">
        <v>26</v>
      </c>
      <c r="C27" s="20"/>
      <c r="D27" s="220">
        <f>73.26+2814.7</f>
        <v>2887.96</v>
      </c>
      <c r="E27" s="28"/>
    </row>
    <row r="28" spans="1:5" x14ac:dyDescent="0.25">
      <c r="A28" s="24" t="s">
        <v>27</v>
      </c>
      <c r="B28" s="30" t="s">
        <v>28</v>
      </c>
      <c r="C28" s="20"/>
      <c r="D28" s="22">
        <f>D29+D30+D31</f>
        <v>91342.829999999987</v>
      </c>
      <c r="E28" s="26">
        <f>E29</f>
        <v>15948.586799999997</v>
      </c>
    </row>
    <row r="29" spans="1:5" x14ac:dyDescent="0.25">
      <c r="A29" s="20">
        <v>1</v>
      </c>
      <c r="B29" s="31" t="s">
        <v>229</v>
      </c>
      <c r="C29" s="20"/>
      <c r="D29" s="220">
        <v>78953.399999999994</v>
      </c>
      <c r="E29" s="28">
        <f>D29*20.2%</f>
        <v>15948.586799999997</v>
      </c>
    </row>
    <row r="30" spans="1:5" x14ac:dyDescent="0.25">
      <c r="A30" s="20">
        <v>2</v>
      </c>
      <c r="B30" s="31" t="s">
        <v>26</v>
      </c>
      <c r="C30" s="20"/>
      <c r="D30" s="413">
        <v>4628.43</v>
      </c>
      <c r="E30" s="20"/>
    </row>
    <row r="31" spans="1:5" x14ac:dyDescent="0.25">
      <c r="A31" s="20">
        <v>3</v>
      </c>
      <c r="B31" s="31" t="s">
        <v>64</v>
      </c>
      <c r="C31" s="20"/>
      <c r="D31" s="33">
        <v>7761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D33+D34+D35+D36+D37+D38</f>
        <v>41634.618499999997</v>
      </c>
      <c r="E32" s="20"/>
    </row>
    <row r="33" spans="1:5" x14ac:dyDescent="0.25">
      <c r="A33" s="20"/>
      <c r="B33" s="20" t="s">
        <v>31</v>
      </c>
      <c r="C33" s="20"/>
      <c r="D33" s="28">
        <f>D18*5%</f>
        <v>16174.638499999999</v>
      </c>
      <c r="E33" s="20"/>
    </row>
    <row r="34" spans="1:5" x14ac:dyDescent="0.25">
      <c r="A34" s="20"/>
      <c r="B34" s="20" t="s">
        <v>57</v>
      </c>
      <c r="C34" s="220"/>
      <c r="D34" s="412">
        <v>1057.5999999999999</v>
      </c>
      <c r="E34" s="20"/>
    </row>
    <row r="35" spans="1:5" x14ac:dyDescent="0.25">
      <c r="A35" s="20"/>
      <c r="B35" s="220" t="s">
        <v>33</v>
      </c>
      <c r="C35" s="220"/>
      <c r="D35" s="220">
        <v>11540.84</v>
      </c>
      <c r="E35" s="20"/>
    </row>
    <row r="36" spans="1:5" x14ac:dyDescent="0.25">
      <c r="A36" s="20"/>
      <c r="B36" s="27" t="s">
        <v>35</v>
      </c>
      <c r="C36" s="220"/>
      <c r="D36" s="220">
        <v>7272.13</v>
      </c>
      <c r="E36" s="20"/>
    </row>
    <row r="37" spans="1:5" x14ac:dyDescent="0.25">
      <c r="A37" s="20"/>
      <c r="B37" s="27" t="s">
        <v>131</v>
      </c>
      <c r="C37" s="220"/>
      <c r="D37" s="220">
        <v>172</v>
      </c>
      <c r="E37" s="20"/>
    </row>
    <row r="38" spans="1:5" x14ac:dyDescent="0.25">
      <c r="A38" s="20"/>
      <c r="B38" s="220" t="s">
        <v>37</v>
      </c>
      <c r="C38" s="220"/>
      <c r="D38" s="220">
        <v>5417.41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77662.8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D21+E21+D28+E28+D32+D39+E39</f>
        <v>260161.03611999995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D18*6%</f>
        <v>19409.566199999997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279570.60231999995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D18-D42</f>
        <v>43922.167680000013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D10+D44</f>
        <v>52848.327680000017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7"/>
      <c r="B47" s="37" t="s">
        <v>45</v>
      </c>
      <c r="C47" s="37"/>
      <c r="D47" s="37" t="s">
        <v>46</v>
      </c>
      <c r="E47" s="37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H30" sqref="H30:I43"/>
    </sheetView>
  </sheetViews>
  <sheetFormatPr defaultRowHeight="15" x14ac:dyDescent="0.25"/>
  <cols>
    <col min="2" max="2" width="40.7109375" customWidth="1"/>
    <col min="4" max="4" width="11" customWidth="1"/>
    <col min="5" max="5" width="10.5703125" customWidth="1"/>
  </cols>
  <sheetData>
    <row r="1" spans="1:5" ht="15.75" x14ac:dyDescent="0.25">
      <c r="A1" s="225"/>
      <c r="B1" s="226" t="s">
        <v>0</v>
      </c>
      <c r="C1" s="225"/>
      <c r="D1" s="225"/>
      <c r="E1" s="225"/>
    </row>
    <row r="2" spans="1:5" x14ac:dyDescent="0.25">
      <c r="A2" s="225"/>
      <c r="B2" s="225"/>
      <c r="C2" s="225"/>
      <c r="D2" s="225"/>
      <c r="E2" s="225"/>
    </row>
    <row r="3" spans="1:5" x14ac:dyDescent="0.25">
      <c r="A3" s="225"/>
      <c r="B3" s="225" t="s">
        <v>1</v>
      </c>
      <c r="C3" s="225"/>
      <c r="D3" s="225"/>
      <c r="E3" s="225"/>
    </row>
    <row r="4" spans="1:5" x14ac:dyDescent="0.25">
      <c r="A4" s="225"/>
      <c r="B4" s="414" t="s">
        <v>155</v>
      </c>
      <c r="C4" s="225"/>
      <c r="D4" s="225"/>
      <c r="E4" s="225"/>
    </row>
    <row r="5" spans="1:5" x14ac:dyDescent="0.25">
      <c r="A5" s="225"/>
      <c r="B5" s="225" t="s">
        <v>73</v>
      </c>
      <c r="C5" s="225"/>
      <c r="D5" s="225"/>
      <c r="E5" s="225"/>
    </row>
    <row r="6" spans="1:5" x14ac:dyDescent="0.25">
      <c r="A6" s="227"/>
      <c r="B6" s="227"/>
      <c r="C6" s="227"/>
      <c r="D6" s="228"/>
      <c r="E6" s="229"/>
    </row>
    <row r="7" spans="1:5" ht="15.75" x14ac:dyDescent="0.25">
      <c r="A7" s="230"/>
      <c r="B7" s="231" t="s">
        <v>3</v>
      </c>
      <c r="C7" s="232" t="s">
        <v>4</v>
      </c>
      <c r="D7" s="553" t="s">
        <v>5</v>
      </c>
      <c r="E7" s="554"/>
    </row>
    <row r="8" spans="1:5" ht="15.75" x14ac:dyDescent="0.25">
      <c r="A8" s="233"/>
      <c r="B8" s="231" t="s">
        <v>6</v>
      </c>
      <c r="C8" s="232" t="s">
        <v>7</v>
      </c>
      <c r="D8" s="555" t="s">
        <v>141</v>
      </c>
      <c r="E8" s="556"/>
    </row>
    <row r="9" spans="1:5" x14ac:dyDescent="0.25">
      <c r="A9" s="234"/>
      <c r="B9" s="234"/>
      <c r="C9" s="234"/>
      <c r="D9" s="235"/>
      <c r="E9" s="236"/>
    </row>
    <row r="10" spans="1:5" x14ac:dyDescent="0.25">
      <c r="A10" s="234"/>
      <c r="B10" s="237" t="s">
        <v>8</v>
      </c>
      <c r="C10" s="234"/>
      <c r="D10" s="235">
        <v>-96122.55</v>
      </c>
      <c r="E10" s="236"/>
    </row>
    <row r="11" spans="1:5" x14ac:dyDescent="0.25">
      <c r="A11" s="238"/>
      <c r="B11" s="239" t="s">
        <v>9</v>
      </c>
      <c r="C11" s="238" t="s">
        <v>10</v>
      </c>
      <c r="D11" s="238">
        <v>4143.2</v>
      </c>
      <c r="E11" s="238"/>
    </row>
    <row r="12" spans="1:5" x14ac:dyDescent="0.25">
      <c r="A12" s="238"/>
      <c r="B12" s="239" t="s">
        <v>11</v>
      </c>
      <c r="C12" s="238" t="s">
        <v>10</v>
      </c>
      <c r="D12" s="238">
        <v>2538.1999999999998</v>
      </c>
      <c r="E12" s="238"/>
    </row>
    <row r="13" spans="1:5" x14ac:dyDescent="0.25">
      <c r="A13" s="238"/>
      <c r="B13" s="240" t="s">
        <v>12</v>
      </c>
      <c r="C13" s="238" t="s">
        <v>53</v>
      </c>
      <c r="D13" s="238">
        <v>193194.23999999999</v>
      </c>
      <c r="E13" s="238"/>
    </row>
    <row r="14" spans="1:5" x14ac:dyDescent="0.25">
      <c r="A14" s="238"/>
      <c r="B14" s="238"/>
      <c r="C14" s="238"/>
      <c r="D14" s="238"/>
      <c r="E14" s="238"/>
    </row>
    <row r="15" spans="1:5" ht="15.75" x14ac:dyDescent="0.25">
      <c r="A15" s="238"/>
      <c r="B15" s="241" t="s">
        <v>14</v>
      </c>
      <c r="C15" s="238"/>
      <c r="D15" s="238"/>
      <c r="E15" s="238"/>
    </row>
    <row r="16" spans="1:5" x14ac:dyDescent="0.25">
      <c r="A16" s="238">
        <v>1</v>
      </c>
      <c r="B16" s="238" t="s">
        <v>15</v>
      </c>
      <c r="C16" s="238" t="s">
        <v>13</v>
      </c>
      <c r="D16" s="238">
        <v>185773.26</v>
      </c>
      <c r="E16" s="238"/>
    </row>
    <row r="17" spans="1:5" x14ac:dyDescent="0.25">
      <c r="A17" s="238">
        <v>2</v>
      </c>
      <c r="B17" s="238" t="s">
        <v>92</v>
      </c>
      <c r="C17" s="238"/>
      <c r="D17" s="238">
        <v>7200</v>
      </c>
      <c r="E17" s="238"/>
    </row>
    <row r="18" spans="1:5" ht="15.75" x14ac:dyDescent="0.25">
      <c r="A18" s="238"/>
      <c r="B18" s="241" t="s">
        <v>17</v>
      </c>
      <c r="C18" s="238"/>
      <c r="D18" s="242">
        <f>D16+D17</f>
        <v>192973.26</v>
      </c>
      <c r="E18" s="238"/>
    </row>
    <row r="19" spans="1:5" ht="15.75" x14ac:dyDescent="0.25">
      <c r="A19" s="238"/>
      <c r="B19" s="241"/>
      <c r="C19" s="238"/>
      <c r="D19" s="242"/>
      <c r="E19" s="238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D22+D25+D24</f>
        <v>22141.859999999997</v>
      </c>
      <c r="E21" s="26">
        <f>E22</f>
        <v>3904.8135199999992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</f>
        <v>19330.759999999998</v>
      </c>
      <c r="E22" s="26">
        <f>E23</f>
        <v>3904.8135199999992</v>
      </c>
    </row>
    <row r="23" spans="1:5" x14ac:dyDescent="0.25">
      <c r="A23" s="20"/>
      <c r="B23" s="20" t="s">
        <v>23</v>
      </c>
      <c r="C23" s="20"/>
      <c r="D23" s="238">
        <v>19330.759999999998</v>
      </c>
      <c r="E23" s="28">
        <f>D23*20.2%</f>
        <v>3904.8135199999992</v>
      </c>
    </row>
    <row r="24" spans="1:5" x14ac:dyDescent="0.25">
      <c r="A24" s="20"/>
      <c r="B24" s="20" t="s">
        <v>145</v>
      </c>
      <c r="C24" s="20"/>
      <c r="D24" s="238">
        <v>574.66</v>
      </c>
      <c r="E24" s="28"/>
    </row>
    <row r="25" spans="1:5" x14ac:dyDescent="0.25">
      <c r="A25" s="20">
        <v>2</v>
      </c>
      <c r="B25" s="27" t="s">
        <v>26</v>
      </c>
      <c r="C25" s="20"/>
      <c r="D25" s="238">
        <f>41.93+2194.51</f>
        <v>2236.44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54697.93</v>
      </c>
      <c r="E26" s="26">
        <f>E27</f>
        <v>9114.4015999999992</v>
      </c>
    </row>
    <row r="27" spans="1:5" x14ac:dyDescent="0.25">
      <c r="A27" s="20">
        <v>1</v>
      </c>
      <c r="B27" s="31" t="s">
        <v>229</v>
      </c>
      <c r="C27" s="20"/>
      <c r="D27" s="238">
        <v>45120.800000000003</v>
      </c>
      <c r="E27" s="28">
        <f>D27*20.2%</f>
        <v>9114.4015999999992</v>
      </c>
    </row>
    <row r="28" spans="1:5" x14ac:dyDescent="0.25">
      <c r="A28" s="20">
        <v>2</v>
      </c>
      <c r="B28" s="31" t="s">
        <v>26</v>
      </c>
      <c r="C28" s="20"/>
      <c r="D28" s="415">
        <f>500+4494.13</f>
        <v>4994.13</v>
      </c>
      <c r="E28" s="20"/>
    </row>
    <row r="29" spans="1:5" x14ac:dyDescent="0.25">
      <c r="A29" s="20">
        <v>3</v>
      </c>
      <c r="B29" s="31" t="s">
        <v>64</v>
      </c>
      <c r="C29" s="20"/>
      <c r="D29" s="415">
        <v>4583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D31+D32+D33+D34+D35+D36</f>
        <v>24478.023220000003</v>
      </c>
      <c r="E30" s="20"/>
    </row>
    <row r="31" spans="1:5" x14ac:dyDescent="0.25">
      <c r="A31" s="20"/>
      <c r="B31" s="20" t="s">
        <v>31</v>
      </c>
      <c r="C31" s="20"/>
      <c r="D31" s="28">
        <f>D18*4.7%</f>
        <v>9069.7432200000003</v>
      </c>
      <c r="E31" s="20"/>
    </row>
    <row r="32" spans="1:5" x14ac:dyDescent="0.25">
      <c r="A32" s="20"/>
      <c r="B32" s="20" t="s">
        <v>57</v>
      </c>
      <c r="C32" s="238"/>
      <c r="D32" s="416">
        <v>1388.96</v>
      </c>
      <c r="E32" s="20"/>
    </row>
    <row r="33" spans="1:5" x14ac:dyDescent="0.25">
      <c r="A33" s="20"/>
      <c r="B33" s="238" t="s">
        <v>33</v>
      </c>
      <c r="C33" s="238"/>
      <c r="D33" s="238">
        <v>6595.43</v>
      </c>
      <c r="E33" s="20"/>
    </row>
    <row r="34" spans="1:5" x14ac:dyDescent="0.25">
      <c r="A34" s="20"/>
      <c r="B34" s="27" t="s">
        <v>35</v>
      </c>
      <c r="C34" s="238"/>
      <c r="D34" s="238">
        <v>4155.92</v>
      </c>
      <c r="E34" s="20"/>
    </row>
    <row r="35" spans="1:5" x14ac:dyDescent="0.25">
      <c r="A35" s="20"/>
      <c r="B35" s="27" t="s">
        <v>131</v>
      </c>
      <c r="C35" s="238"/>
      <c r="D35" s="417">
        <v>172</v>
      </c>
      <c r="E35" s="20"/>
    </row>
    <row r="36" spans="1:5" x14ac:dyDescent="0.25">
      <c r="A36" s="20"/>
      <c r="B36" s="238" t="s">
        <v>37</v>
      </c>
      <c r="C36" s="238"/>
      <c r="D36" s="238">
        <v>3095.97</v>
      </c>
      <c r="E36" s="20"/>
    </row>
    <row r="37" spans="1:5" x14ac:dyDescent="0.25">
      <c r="A37" s="73" t="s">
        <v>82</v>
      </c>
      <c r="B37" s="22" t="s">
        <v>38</v>
      </c>
      <c r="C37" s="20"/>
      <c r="D37" s="26">
        <f>D38+D39</f>
        <v>29326.32</v>
      </c>
      <c r="E37" s="26">
        <f>E38</f>
        <v>5923.9166399999995</v>
      </c>
    </row>
    <row r="38" spans="1:5" x14ac:dyDescent="0.25">
      <c r="A38" s="73"/>
      <c r="B38" s="31" t="s">
        <v>39</v>
      </c>
      <c r="C38" s="31"/>
      <c r="D38" s="33">
        <v>29326.32</v>
      </c>
      <c r="E38" s="28">
        <f>D38*20.2%</f>
        <v>5923.9166399999995</v>
      </c>
    </row>
    <row r="39" spans="1:5" x14ac:dyDescent="0.25">
      <c r="A39" s="73"/>
      <c r="B39" s="31" t="s">
        <v>40</v>
      </c>
      <c r="C39" s="20"/>
      <c r="D39" s="33">
        <v>0</v>
      </c>
      <c r="E39" s="20"/>
    </row>
    <row r="40" spans="1:5" x14ac:dyDescent="0.25">
      <c r="A40" s="73" t="s">
        <v>83</v>
      </c>
      <c r="B40" s="22" t="s">
        <v>41</v>
      </c>
      <c r="C40" s="20"/>
      <c r="D40" s="26">
        <f>D21+E21+D26+E26+D30+D37</f>
        <v>143663.34834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D18*6%</f>
        <v>11578.3956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155241.74393999999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D18-D42</f>
        <v>37731.516060000024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D10+D44</f>
        <v>-58391.033939999979</v>
      </c>
      <c r="E45" s="20"/>
    </row>
    <row r="46" spans="1:5" x14ac:dyDescent="0.25">
      <c r="A46" s="34"/>
      <c r="B46" s="35"/>
      <c r="C46" s="34"/>
      <c r="D46" s="225"/>
    </row>
    <row r="47" spans="1:5" x14ac:dyDescent="0.25">
      <c r="A47" s="37"/>
      <c r="B47" s="37" t="s">
        <v>45</v>
      </c>
      <c r="C47" s="243" t="s">
        <v>46</v>
      </c>
      <c r="D47" s="225"/>
    </row>
    <row r="48" spans="1:5" x14ac:dyDescent="0.25">
      <c r="A48" s="37"/>
      <c r="B48" s="37" t="s">
        <v>47</v>
      </c>
      <c r="C48" s="243" t="s">
        <v>48</v>
      </c>
      <c r="D48" s="225"/>
    </row>
    <row r="49" spans="4:4" x14ac:dyDescent="0.25">
      <c r="D49" s="225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4" workbookViewId="0">
      <selection activeCell="H32" sqref="H32:I44"/>
    </sheetView>
  </sheetViews>
  <sheetFormatPr defaultRowHeight="15" x14ac:dyDescent="0.25"/>
  <cols>
    <col min="2" max="2" width="40.28515625" customWidth="1"/>
    <col min="4" max="4" width="10.7109375" customWidth="1"/>
    <col min="5" max="5" width="10.42578125" customWidth="1"/>
  </cols>
  <sheetData>
    <row r="1" spans="1:5" ht="15.75" x14ac:dyDescent="0.25">
      <c r="A1" s="244"/>
      <c r="B1" s="245" t="s">
        <v>0</v>
      </c>
      <c r="C1" s="244"/>
      <c r="D1" s="244"/>
      <c r="E1" s="244"/>
    </row>
    <row r="2" spans="1:5" x14ac:dyDescent="0.25">
      <c r="A2" s="244"/>
      <c r="B2" s="244"/>
      <c r="C2" s="244"/>
      <c r="D2" s="244"/>
      <c r="E2" s="244"/>
    </row>
    <row r="3" spans="1:5" x14ac:dyDescent="0.25">
      <c r="A3" s="244"/>
      <c r="B3" s="244" t="s">
        <v>98</v>
      </c>
      <c r="C3" s="244"/>
      <c r="D3" s="244"/>
      <c r="E3" s="244"/>
    </row>
    <row r="4" spans="1:5" x14ac:dyDescent="0.25">
      <c r="A4" s="244"/>
      <c r="B4" s="418" t="s">
        <v>156</v>
      </c>
      <c r="C4" s="244"/>
      <c r="D4" s="244"/>
      <c r="E4" s="244"/>
    </row>
    <row r="5" spans="1:5" x14ac:dyDescent="0.25">
      <c r="A5" s="244"/>
      <c r="B5" s="244" t="s">
        <v>66</v>
      </c>
      <c r="C5" s="244"/>
      <c r="D5" s="244"/>
      <c r="E5" s="244"/>
    </row>
    <row r="6" spans="1:5" ht="15.75" x14ac:dyDescent="0.25">
      <c r="A6" s="246"/>
      <c r="B6" s="443" t="s">
        <v>3</v>
      </c>
      <c r="C6" s="444" t="s">
        <v>4</v>
      </c>
      <c r="D6" s="557" t="s">
        <v>5</v>
      </c>
      <c r="E6" s="558"/>
    </row>
    <row r="7" spans="1:5" ht="15.75" x14ac:dyDescent="0.25">
      <c r="A7" s="249"/>
      <c r="B7" s="247" t="s">
        <v>6</v>
      </c>
      <c r="C7" s="248" t="s">
        <v>7</v>
      </c>
      <c r="D7" s="559" t="s">
        <v>141</v>
      </c>
      <c r="E7" s="560"/>
    </row>
    <row r="8" spans="1:5" x14ac:dyDescent="0.25">
      <c r="A8" s="250"/>
      <c r="B8" s="250"/>
      <c r="C8" s="250"/>
      <c r="D8" s="251"/>
      <c r="E8" s="252"/>
    </row>
    <row r="9" spans="1:5" x14ac:dyDescent="0.25">
      <c r="A9" s="250"/>
      <c r="B9" s="253" t="s">
        <v>8</v>
      </c>
      <c r="C9" s="250"/>
      <c r="D9" s="251">
        <v>27806.080000000002</v>
      </c>
      <c r="E9" s="252"/>
    </row>
    <row r="10" spans="1:5" x14ac:dyDescent="0.25">
      <c r="A10" s="254"/>
      <c r="B10" s="255" t="s">
        <v>9</v>
      </c>
      <c r="C10" s="254" t="s">
        <v>10</v>
      </c>
      <c r="D10" s="254">
        <v>5388.2</v>
      </c>
      <c r="E10" s="254"/>
    </row>
    <row r="11" spans="1:5" x14ac:dyDescent="0.25">
      <c r="A11" s="254"/>
      <c r="B11" s="255" t="s">
        <v>11</v>
      </c>
      <c r="C11" s="254" t="s">
        <v>10</v>
      </c>
      <c r="D11" s="254">
        <v>4378</v>
      </c>
      <c r="E11" s="254"/>
    </row>
    <row r="12" spans="1:5" x14ac:dyDescent="0.25">
      <c r="A12" s="254"/>
      <c r="B12" s="256" t="s">
        <v>12</v>
      </c>
      <c r="C12" s="254" t="s">
        <v>53</v>
      </c>
      <c r="D12" s="254">
        <v>331209.15999999997</v>
      </c>
      <c r="E12" s="254"/>
    </row>
    <row r="13" spans="1:5" x14ac:dyDescent="0.25">
      <c r="A13" s="254"/>
      <c r="B13" s="254"/>
      <c r="C13" s="254"/>
      <c r="D13" s="254"/>
      <c r="E13" s="254"/>
    </row>
    <row r="14" spans="1:5" ht="15.75" x14ac:dyDescent="0.25">
      <c r="A14" s="254"/>
      <c r="B14" s="257" t="s">
        <v>14</v>
      </c>
      <c r="C14" s="254"/>
      <c r="D14" s="254"/>
      <c r="E14" s="254"/>
    </row>
    <row r="15" spans="1:5" x14ac:dyDescent="0.25">
      <c r="A15" s="254">
        <v>1</v>
      </c>
      <c r="B15" s="254" t="s">
        <v>15</v>
      </c>
      <c r="C15" s="254" t="s">
        <v>13</v>
      </c>
      <c r="D15" s="254">
        <v>318686.7</v>
      </c>
      <c r="E15" s="254"/>
    </row>
    <row r="16" spans="1:5" x14ac:dyDescent="0.25">
      <c r="A16" s="254">
        <v>2</v>
      </c>
      <c r="B16" s="254" t="s">
        <v>92</v>
      </c>
      <c r="C16" s="254"/>
      <c r="D16" s="254">
        <v>20312.61</v>
      </c>
      <c r="E16" s="254"/>
    </row>
    <row r="17" spans="1:5" ht="15.75" x14ac:dyDescent="0.25">
      <c r="A17" s="254"/>
      <c r="B17" s="257" t="s">
        <v>17</v>
      </c>
      <c r="C17" s="254"/>
      <c r="D17" s="258">
        <f>D15+D16</f>
        <v>338999.31</v>
      </c>
      <c r="E17" s="254"/>
    </row>
    <row r="18" spans="1:5" ht="15.75" x14ac:dyDescent="0.25">
      <c r="A18" s="254"/>
      <c r="B18" s="257"/>
      <c r="C18" s="254"/>
      <c r="D18" s="258"/>
      <c r="E18" s="254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D21+D26</f>
        <v>47513.9</v>
      </c>
      <c r="E20" s="26">
        <f>E21</f>
        <v>8951.8198799999991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D22+D25</f>
        <v>44315.94</v>
      </c>
      <c r="E21" s="26">
        <f>E22+E25</f>
        <v>8951.8198799999991</v>
      </c>
    </row>
    <row r="22" spans="1:5" x14ac:dyDescent="0.25">
      <c r="A22" s="20"/>
      <c r="B22" s="20" t="s">
        <v>23</v>
      </c>
      <c r="C22" s="20"/>
      <c r="D22" s="254">
        <v>38668.730000000003</v>
      </c>
      <c r="E22" s="28">
        <f>D22*20.2%</f>
        <v>7811.0834599999998</v>
      </c>
    </row>
    <row r="23" spans="1:5" x14ac:dyDescent="0.25">
      <c r="A23" s="20"/>
      <c r="B23" s="20" t="s">
        <v>24</v>
      </c>
      <c r="C23" s="20"/>
      <c r="D23" s="254">
        <v>0</v>
      </c>
      <c r="E23" s="28">
        <f t="shared" ref="E23:E25" si="0">D23*20.2%</f>
        <v>0</v>
      </c>
    </row>
    <row r="24" spans="1:5" x14ac:dyDescent="0.25">
      <c r="A24" s="20"/>
      <c r="B24" s="20" t="s">
        <v>25</v>
      </c>
      <c r="C24" s="20"/>
      <c r="D24" s="254">
        <v>0</v>
      </c>
      <c r="E24" s="28">
        <f t="shared" si="0"/>
        <v>0</v>
      </c>
    </row>
    <row r="25" spans="1:5" x14ac:dyDescent="0.25">
      <c r="A25" s="20"/>
      <c r="B25" s="31" t="s">
        <v>75</v>
      </c>
      <c r="C25" s="20"/>
      <c r="D25" s="254">
        <v>5647.21</v>
      </c>
      <c r="E25" s="28">
        <f t="shared" si="0"/>
        <v>1140.73642</v>
      </c>
    </row>
    <row r="26" spans="1:5" x14ac:dyDescent="0.25">
      <c r="A26" s="20">
        <v>2</v>
      </c>
      <c r="B26" s="27" t="s">
        <v>26</v>
      </c>
      <c r="C26" s="20"/>
      <c r="D26" s="254">
        <f>72.32+3125.64</f>
        <v>3197.96</v>
      </c>
      <c r="E26" s="28"/>
    </row>
    <row r="27" spans="1:5" x14ac:dyDescent="0.25">
      <c r="A27" s="24" t="s">
        <v>27</v>
      </c>
      <c r="B27" s="30" t="s">
        <v>28</v>
      </c>
      <c r="C27" s="20"/>
      <c r="D27" s="26">
        <f>D28+D29+D30</f>
        <v>89210.37000000001</v>
      </c>
      <c r="E27" s="26">
        <f>E28</f>
        <v>15523.89998</v>
      </c>
    </row>
    <row r="28" spans="1:5" x14ac:dyDescent="0.25">
      <c r="A28" s="20">
        <v>1</v>
      </c>
      <c r="B28" s="31" t="s">
        <v>229</v>
      </c>
      <c r="C28" s="20"/>
      <c r="D28" s="419">
        <v>76850.990000000005</v>
      </c>
      <c r="E28" s="28">
        <f>D28*20.2%</f>
        <v>15523.89998</v>
      </c>
    </row>
    <row r="29" spans="1:5" x14ac:dyDescent="0.25">
      <c r="A29" s="20">
        <v>2</v>
      </c>
      <c r="B29" s="31" t="s">
        <v>26</v>
      </c>
      <c r="C29" s="20"/>
      <c r="D29" s="420">
        <v>4598.38</v>
      </c>
      <c r="E29" s="20"/>
    </row>
    <row r="30" spans="1:5" x14ac:dyDescent="0.25">
      <c r="A30" s="20"/>
      <c r="B30" s="31" t="s">
        <v>64</v>
      </c>
      <c r="C30" s="20"/>
      <c r="D30" s="33">
        <v>7761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</f>
        <v>46804.947570000004</v>
      </c>
      <c r="E31" s="20"/>
    </row>
    <row r="32" spans="1:5" x14ac:dyDescent="0.25">
      <c r="A32" s="20"/>
      <c r="B32" s="20" t="s">
        <v>31</v>
      </c>
      <c r="C32" s="20"/>
      <c r="D32" s="28">
        <f>D17*4.7%</f>
        <v>15932.967570000001</v>
      </c>
      <c r="E32" s="20"/>
    </row>
    <row r="33" spans="1:5" x14ac:dyDescent="0.25">
      <c r="A33" s="20"/>
      <c r="B33" s="20" t="s">
        <v>57</v>
      </c>
      <c r="C33" s="20"/>
      <c r="D33" s="419">
        <v>2358.11</v>
      </c>
      <c r="E33" s="20"/>
    </row>
    <row r="34" spans="1:5" x14ac:dyDescent="0.25">
      <c r="A34" s="20"/>
      <c r="B34" s="254" t="s">
        <v>33</v>
      </c>
      <c r="C34" s="254"/>
      <c r="D34" s="419">
        <v>11376.1</v>
      </c>
      <c r="E34" s="20"/>
    </row>
    <row r="35" spans="1:5" x14ac:dyDescent="0.25">
      <c r="A35" s="20"/>
      <c r="B35" s="27" t="s">
        <v>35</v>
      </c>
      <c r="C35" s="254"/>
      <c r="D35" s="254">
        <v>7168.32</v>
      </c>
      <c r="E35" s="20"/>
    </row>
    <row r="36" spans="1:5" x14ac:dyDescent="0.25">
      <c r="A36" s="20"/>
      <c r="B36" s="421" t="s">
        <v>131</v>
      </c>
      <c r="C36" s="254"/>
      <c r="D36" s="419">
        <v>172</v>
      </c>
      <c r="E36" s="20"/>
    </row>
    <row r="37" spans="1:5" x14ac:dyDescent="0.25">
      <c r="A37" s="20"/>
      <c r="B37" s="27" t="s">
        <v>61</v>
      </c>
      <c r="C37" s="20"/>
      <c r="D37" s="20">
        <v>7439.34</v>
      </c>
      <c r="E37" s="20"/>
    </row>
    <row r="38" spans="1:5" x14ac:dyDescent="0.25">
      <c r="A38" s="20"/>
      <c r="B38" s="20" t="s">
        <v>37</v>
      </c>
      <c r="C38" s="20"/>
      <c r="D38" s="20">
        <v>2358.11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78799.850000000006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D20+E20+D27+E27+D31+D39+E39</f>
        <v>286804.78743000003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D17*6%</f>
        <v>20339.958599999998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307144.74603000004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D17-D42</f>
        <v>31854.563969999959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D9+D44</f>
        <v>59660.643969999961</v>
      </c>
      <c r="E45" s="20"/>
    </row>
    <row r="46" spans="1:5" x14ac:dyDescent="0.25">
      <c r="A46" s="447"/>
      <c r="B46" s="35"/>
      <c r="C46" s="34"/>
      <c r="D46" s="36"/>
      <c r="E46" s="34"/>
    </row>
    <row r="47" spans="1:5" x14ac:dyDescent="0.25">
      <c r="A47" s="37"/>
      <c r="B47" s="37" t="s">
        <v>45</v>
      </c>
      <c r="C47" s="37"/>
      <c r="D47" s="37" t="s">
        <v>46</v>
      </c>
      <c r="E47" s="37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0" workbookViewId="0">
      <selection activeCell="H36" sqref="H36"/>
    </sheetView>
  </sheetViews>
  <sheetFormatPr defaultRowHeight="15" x14ac:dyDescent="0.25"/>
  <cols>
    <col min="1" max="1" width="8" customWidth="1"/>
    <col min="2" max="2" width="43.140625" customWidth="1"/>
    <col min="4" max="4" width="12.28515625" customWidth="1"/>
    <col min="5" max="5" width="12" customWidth="1"/>
  </cols>
  <sheetData>
    <row r="1" spans="1:5" ht="15.75" x14ac:dyDescent="0.25">
      <c r="A1" s="259"/>
      <c r="B1" s="260" t="s">
        <v>0</v>
      </c>
      <c r="C1" s="259"/>
      <c r="D1" s="259"/>
      <c r="E1" s="259"/>
    </row>
    <row r="2" spans="1:5" x14ac:dyDescent="0.25">
      <c r="A2" s="259"/>
      <c r="B2" s="261" t="s">
        <v>72</v>
      </c>
      <c r="C2" s="259"/>
      <c r="D2" s="259"/>
      <c r="E2" s="259"/>
    </row>
    <row r="3" spans="1:5" x14ac:dyDescent="0.25">
      <c r="A3" s="259"/>
      <c r="B3" s="261" t="s">
        <v>157</v>
      </c>
      <c r="C3" s="259"/>
      <c r="D3" s="259"/>
      <c r="E3" s="259"/>
    </row>
    <row r="4" spans="1:5" x14ac:dyDescent="0.25">
      <c r="A4" s="561"/>
      <c r="B4" s="561"/>
      <c r="C4" s="561"/>
      <c r="D4" s="394"/>
      <c r="E4" s="262"/>
    </row>
    <row r="5" spans="1:5" ht="15.75" x14ac:dyDescent="0.25">
      <c r="A5" s="480"/>
      <c r="B5" s="481" t="s">
        <v>3</v>
      </c>
      <c r="C5" s="482" t="s">
        <v>4</v>
      </c>
      <c r="D5" s="562" t="s">
        <v>5</v>
      </c>
      <c r="E5" s="563"/>
    </row>
    <row r="6" spans="1:5" ht="15.75" x14ac:dyDescent="0.25">
      <c r="A6" s="265"/>
      <c r="B6" s="263" t="s">
        <v>6</v>
      </c>
      <c r="C6" s="264" t="s">
        <v>7</v>
      </c>
      <c r="D6" s="564" t="s">
        <v>141</v>
      </c>
      <c r="E6" s="565"/>
    </row>
    <row r="7" spans="1:5" x14ac:dyDescent="0.25">
      <c r="A7" s="266"/>
      <c r="B7" s="267" t="s">
        <v>8</v>
      </c>
      <c r="C7" s="266"/>
      <c r="D7" s="483">
        <v>-235804.03</v>
      </c>
      <c r="E7" s="484"/>
    </row>
    <row r="8" spans="1:5" x14ac:dyDescent="0.25">
      <c r="A8" s="266"/>
      <c r="B8" s="267" t="s">
        <v>9</v>
      </c>
      <c r="C8" s="266" t="s">
        <v>10</v>
      </c>
      <c r="D8" s="266">
        <v>6439.15</v>
      </c>
      <c r="E8" s="266"/>
    </row>
    <row r="9" spans="1:5" x14ac:dyDescent="0.25">
      <c r="A9" s="266"/>
      <c r="B9" s="267" t="s">
        <v>11</v>
      </c>
      <c r="C9" s="266" t="s">
        <v>10</v>
      </c>
      <c r="D9" s="268">
        <v>4391.3</v>
      </c>
      <c r="E9" s="266"/>
    </row>
    <row r="10" spans="1:5" x14ac:dyDescent="0.25">
      <c r="A10" s="266"/>
      <c r="B10" s="269" t="s">
        <v>74</v>
      </c>
      <c r="C10" s="266" t="s">
        <v>13</v>
      </c>
      <c r="D10" s="270">
        <v>388978.1</v>
      </c>
      <c r="E10" s="266"/>
    </row>
    <row r="11" spans="1:5" ht="15.75" x14ac:dyDescent="0.25">
      <c r="A11" s="266"/>
      <c r="B11" s="271" t="s">
        <v>14</v>
      </c>
      <c r="C11" s="266"/>
      <c r="D11" s="266"/>
      <c r="E11" s="266"/>
    </row>
    <row r="12" spans="1:5" x14ac:dyDescent="0.25">
      <c r="A12" s="266">
        <v>1</v>
      </c>
      <c r="B12" s="266" t="s">
        <v>15</v>
      </c>
      <c r="C12" s="266" t="s">
        <v>13</v>
      </c>
      <c r="D12" s="268">
        <v>334151.17</v>
      </c>
      <c r="E12" s="266"/>
    </row>
    <row r="13" spans="1:5" x14ac:dyDescent="0.25">
      <c r="A13" s="266">
        <v>2</v>
      </c>
      <c r="B13" s="266" t="s">
        <v>16</v>
      </c>
      <c r="C13" s="266"/>
      <c r="D13" s="268">
        <v>8980.32</v>
      </c>
      <c r="E13" s="266"/>
    </row>
    <row r="14" spans="1:5" x14ac:dyDescent="0.25">
      <c r="A14" s="266">
        <v>3</v>
      </c>
      <c r="B14" s="266" t="s">
        <v>92</v>
      </c>
      <c r="C14" s="266"/>
      <c r="D14" s="266">
        <v>2400</v>
      </c>
      <c r="E14" s="266"/>
    </row>
    <row r="15" spans="1:5" ht="15.75" x14ac:dyDescent="0.25">
      <c r="A15" s="266"/>
      <c r="B15" s="271" t="s">
        <v>17</v>
      </c>
      <c r="C15" s="266"/>
      <c r="D15" s="272">
        <f>D12+D14+D13</f>
        <v>345531.49</v>
      </c>
      <c r="E15" s="266"/>
    </row>
    <row r="16" spans="1:5" ht="15.75" x14ac:dyDescent="0.25">
      <c r="A16" s="266"/>
      <c r="B16" s="271"/>
      <c r="C16" s="266"/>
      <c r="D16" s="270"/>
      <c r="E16" s="266"/>
    </row>
    <row r="17" spans="1:5" ht="15.75" x14ac:dyDescent="0.25">
      <c r="A17" s="20"/>
      <c r="B17" s="21" t="s">
        <v>18</v>
      </c>
      <c r="C17" s="20"/>
      <c r="D17" s="22"/>
      <c r="E17" s="23" t="s">
        <v>19</v>
      </c>
    </row>
    <row r="18" spans="1:5" x14ac:dyDescent="0.25">
      <c r="A18" s="24" t="s">
        <v>20</v>
      </c>
      <c r="B18" s="25" t="s">
        <v>21</v>
      </c>
      <c r="C18" s="20"/>
      <c r="D18" s="26">
        <f>D19+D24+D25+D23</f>
        <v>109832.81</v>
      </c>
      <c r="E18" s="26">
        <f>E19</f>
        <v>26499.122780000002</v>
      </c>
    </row>
    <row r="19" spans="1:5" x14ac:dyDescent="0.25">
      <c r="A19" s="20">
        <v>1</v>
      </c>
      <c r="B19" s="22" t="s">
        <v>22</v>
      </c>
      <c r="C19" s="27" t="s">
        <v>13</v>
      </c>
      <c r="D19" s="26">
        <f>D20+D21+D22</f>
        <v>101141.69</v>
      </c>
      <c r="E19" s="26">
        <f>E20+E21+E22</f>
        <v>26499.122780000002</v>
      </c>
    </row>
    <row r="20" spans="1:5" x14ac:dyDescent="0.25">
      <c r="A20" s="20"/>
      <c r="B20" s="20" t="s">
        <v>23</v>
      </c>
      <c r="C20" s="20"/>
      <c r="D20" s="254">
        <v>17114.34</v>
      </c>
      <c r="E20" s="28">
        <f>D20*26.2%</f>
        <v>4483.9570800000001</v>
      </c>
    </row>
    <row r="21" spans="1:5" x14ac:dyDescent="0.25">
      <c r="A21" s="20"/>
      <c r="B21" s="31" t="s">
        <v>24</v>
      </c>
      <c r="C21" s="20"/>
      <c r="D21" s="254">
        <v>50378.31</v>
      </c>
      <c r="E21" s="28">
        <f>D21*26.2%</f>
        <v>13199.11722</v>
      </c>
    </row>
    <row r="22" spans="1:5" x14ac:dyDescent="0.25">
      <c r="A22" s="20"/>
      <c r="B22" s="20" t="s">
        <v>25</v>
      </c>
      <c r="C22" s="20"/>
      <c r="D22" s="254">
        <v>33649.040000000001</v>
      </c>
      <c r="E22" s="28">
        <f>D22*26.2%</f>
        <v>8816.0484800000013</v>
      </c>
    </row>
    <row r="23" spans="1:5" x14ac:dyDescent="0.25">
      <c r="A23" s="20"/>
      <c r="B23" s="20" t="s">
        <v>145</v>
      </c>
      <c r="C23" s="20"/>
      <c r="D23" s="250">
        <f>1149.6+574.67+1948</f>
        <v>3672.27</v>
      </c>
      <c r="E23" s="28"/>
    </row>
    <row r="24" spans="1:5" x14ac:dyDescent="0.25">
      <c r="A24" s="20">
        <v>2</v>
      </c>
      <c r="B24" s="27" t="s">
        <v>26</v>
      </c>
      <c r="C24" s="20"/>
      <c r="D24" s="254">
        <f>72.54+4375.77</f>
        <v>4448.3100000000004</v>
      </c>
      <c r="E24" s="28"/>
    </row>
    <row r="25" spans="1:5" x14ac:dyDescent="0.25">
      <c r="A25" s="20">
        <v>3</v>
      </c>
      <c r="B25" s="27" t="s">
        <v>213</v>
      </c>
      <c r="C25" s="20"/>
      <c r="D25" s="254">
        <v>570.54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91167.829999999987</v>
      </c>
      <c r="E26" s="26">
        <f>E27</f>
        <v>15768.683579999997</v>
      </c>
    </row>
    <row r="27" spans="1:5" x14ac:dyDescent="0.25">
      <c r="A27" s="20">
        <v>1</v>
      </c>
      <c r="B27" s="31" t="s">
        <v>229</v>
      </c>
      <c r="C27" s="20"/>
      <c r="D27" s="254">
        <v>78062.789999999994</v>
      </c>
      <c r="E27" s="28">
        <f>D27*20.2%</f>
        <v>15768.683579999997</v>
      </c>
    </row>
    <row r="28" spans="1:5" x14ac:dyDescent="0.25">
      <c r="A28" s="20">
        <v>2</v>
      </c>
      <c r="B28" s="31" t="s">
        <v>26</v>
      </c>
      <c r="C28" s="20"/>
      <c r="D28" s="420">
        <v>6505.04</v>
      </c>
      <c r="E28" s="20"/>
    </row>
    <row r="29" spans="1:5" x14ac:dyDescent="0.25">
      <c r="A29" s="20">
        <v>3</v>
      </c>
      <c r="B29" s="31" t="s">
        <v>64</v>
      </c>
      <c r="C29" s="20"/>
      <c r="D29" s="420">
        <v>6600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D31+D32+D33+D34+D35+D36+D37</f>
        <v>50367.970029999997</v>
      </c>
      <c r="E30" s="20"/>
    </row>
    <row r="31" spans="1:5" x14ac:dyDescent="0.25">
      <c r="A31" s="20"/>
      <c r="B31" s="20" t="s">
        <v>31</v>
      </c>
      <c r="C31" s="20"/>
      <c r="D31" s="28">
        <f>D15*4.7%</f>
        <v>16239.980029999999</v>
      </c>
      <c r="E31" s="20"/>
    </row>
    <row r="32" spans="1:5" x14ac:dyDescent="0.25">
      <c r="A32" s="20"/>
      <c r="B32" s="254" t="s">
        <v>57</v>
      </c>
      <c r="C32" s="254"/>
      <c r="D32" s="419">
        <v>1006.19</v>
      </c>
      <c r="E32" s="20"/>
    </row>
    <row r="33" spans="1:5" x14ac:dyDescent="0.25">
      <c r="A33" s="20"/>
      <c r="B33" s="254" t="s">
        <v>131</v>
      </c>
      <c r="C33" s="254"/>
      <c r="D33" s="254">
        <v>172</v>
      </c>
      <c r="E33" s="20"/>
    </row>
    <row r="34" spans="1:5" x14ac:dyDescent="0.25">
      <c r="A34" s="20"/>
      <c r="B34" s="254" t="s">
        <v>33</v>
      </c>
      <c r="C34" s="254"/>
      <c r="D34" s="254">
        <v>11410.66</v>
      </c>
      <c r="E34" s="20"/>
    </row>
    <row r="35" spans="1:5" x14ac:dyDescent="0.25">
      <c r="A35" s="20"/>
      <c r="B35" s="27" t="s">
        <v>35</v>
      </c>
      <c r="C35" s="254"/>
      <c r="D35" s="419">
        <v>7190.1</v>
      </c>
      <c r="E35" s="20"/>
    </row>
    <row r="36" spans="1:5" x14ac:dyDescent="0.25">
      <c r="A36" s="20"/>
      <c r="B36" s="254" t="s">
        <v>67</v>
      </c>
      <c r="C36" s="254"/>
      <c r="D36" s="254">
        <v>8992.74</v>
      </c>
      <c r="E36" s="20"/>
    </row>
    <row r="37" spans="1:5" x14ac:dyDescent="0.25">
      <c r="A37" s="20"/>
      <c r="B37" s="20" t="s">
        <v>37</v>
      </c>
      <c r="C37" s="20"/>
      <c r="D37" s="20">
        <v>5356.3</v>
      </c>
      <c r="E37" s="20"/>
    </row>
    <row r="38" spans="1:5" x14ac:dyDescent="0.25">
      <c r="A38" s="73" t="s">
        <v>82</v>
      </c>
      <c r="B38" s="22" t="s">
        <v>38</v>
      </c>
      <c r="C38" s="20"/>
      <c r="D38" s="26">
        <v>74022.84</v>
      </c>
      <c r="E38" s="26"/>
    </row>
    <row r="39" spans="1:5" x14ac:dyDescent="0.25">
      <c r="A39" s="73" t="s">
        <v>83</v>
      </c>
      <c r="B39" s="22" t="s">
        <v>41</v>
      </c>
      <c r="C39" s="20"/>
      <c r="D39" s="26">
        <f>D18+E18+D26+E26+D30+D38</f>
        <v>367659.25639</v>
      </c>
      <c r="E39" s="20"/>
    </row>
    <row r="40" spans="1:5" x14ac:dyDescent="0.25">
      <c r="A40" s="73" t="s">
        <v>84</v>
      </c>
      <c r="B40" s="20" t="s">
        <v>42</v>
      </c>
      <c r="C40" s="20"/>
      <c r="D40" s="26">
        <f>D15*6%</f>
        <v>20731.8894</v>
      </c>
      <c r="E40" s="20"/>
    </row>
    <row r="41" spans="1:5" x14ac:dyDescent="0.25">
      <c r="A41" s="73" t="s">
        <v>85</v>
      </c>
      <c r="B41" s="22" t="s">
        <v>43</v>
      </c>
      <c r="C41" s="20"/>
      <c r="D41" s="26">
        <f>D39+D40</f>
        <v>388391.14578999998</v>
      </c>
      <c r="E41" s="20"/>
    </row>
    <row r="42" spans="1:5" x14ac:dyDescent="0.25">
      <c r="A42" s="73"/>
      <c r="B42" s="20"/>
      <c r="C42" s="20"/>
      <c r="D42" s="20"/>
      <c r="E42" s="20"/>
    </row>
    <row r="43" spans="1:5" x14ac:dyDescent="0.25">
      <c r="A43" s="73" t="s">
        <v>86</v>
      </c>
      <c r="B43" s="22" t="s">
        <v>135</v>
      </c>
      <c r="C43" s="20"/>
      <c r="D43" s="26">
        <f>D12+D14-D41</f>
        <v>-51839.975789999997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D7+D43+960.89</f>
        <v>-286683.11578999995</v>
      </c>
      <c r="E44" s="20"/>
    </row>
    <row r="45" spans="1:5" x14ac:dyDescent="0.25">
      <c r="A45" s="447"/>
      <c r="B45" s="35" t="s">
        <v>16</v>
      </c>
      <c r="C45" s="34"/>
      <c r="D45" s="36">
        <f>D13</f>
        <v>8980.32</v>
      </c>
      <c r="E45" s="34"/>
    </row>
    <row r="46" spans="1:5" x14ac:dyDescent="0.25">
      <c r="A46" s="34"/>
      <c r="B46" s="35" t="s">
        <v>226</v>
      </c>
      <c r="C46" s="34"/>
      <c r="D46" s="36">
        <v>960.89</v>
      </c>
      <c r="E46" s="34"/>
    </row>
    <row r="47" spans="1:5" x14ac:dyDescent="0.25">
      <c r="A47" s="34"/>
      <c r="B47" s="35" t="s">
        <v>115</v>
      </c>
      <c r="C47" s="34"/>
      <c r="D47" s="36">
        <f>D45-D46</f>
        <v>8019.4299999999994</v>
      </c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3">
    <mergeCell ref="A4:C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9" workbookViewId="0">
      <selection activeCell="G51" sqref="G51"/>
    </sheetView>
  </sheetViews>
  <sheetFormatPr defaultRowHeight="15" x14ac:dyDescent="0.25"/>
  <cols>
    <col min="1" max="1" width="7.7109375" customWidth="1"/>
    <col min="2" max="2" width="42" customWidth="1"/>
    <col min="4" max="4" width="10.7109375" customWidth="1"/>
    <col min="5" max="5" width="11.28515625" customWidth="1"/>
  </cols>
  <sheetData>
    <row r="1" spans="1:5" ht="15.75" x14ac:dyDescent="0.25">
      <c r="A1" s="273"/>
      <c r="B1" s="274" t="s">
        <v>0</v>
      </c>
      <c r="C1" s="273"/>
      <c r="D1" s="273"/>
      <c r="E1" s="273"/>
    </row>
    <row r="2" spans="1:5" x14ac:dyDescent="0.25">
      <c r="A2" s="273"/>
      <c r="B2" s="273" t="s">
        <v>1</v>
      </c>
      <c r="C2" s="273"/>
      <c r="D2" s="273"/>
      <c r="E2" s="273"/>
    </row>
    <row r="3" spans="1:5" x14ac:dyDescent="0.25">
      <c r="A3" s="273"/>
      <c r="B3" s="453" t="s">
        <v>158</v>
      </c>
      <c r="C3" s="273"/>
      <c r="D3" s="273"/>
      <c r="E3" s="273"/>
    </row>
    <row r="4" spans="1:5" x14ac:dyDescent="0.25">
      <c r="A4" s="273"/>
      <c r="B4" s="273" t="s">
        <v>49</v>
      </c>
      <c r="C4" s="273"/>
      <c r="D4" s="273"/>
      <c r="E4" s="273"/>
    </row>
    <row r="5" spans="1:5" ht="15.75" x14ac:dyDescent="0.25">
      <c r="A5" s="275"/>
      <c r="B5" s="485" t="s">
        <v>3</v>
      </c>
      <c r="C5" s="486" t="s">
        <v>4</v>
      </c>
      <c r="D5" s="566" t="s">
        <v>5</v>
      </c>
      <c r="E5" s="567"/>
    </row>
    <row r="6" spans="1:5" ht="15.75" x14ac:dyDescent="0.25">
      <c r="A6" s="278"/>
      <c r="B6" s="276" t="s">
        <v>6</v>
      </c>
      <c r="C6" s="277" t="s">
        <v>7</v>
      </c>
      <c r="D6" s="568" t="s">
        <v>141</v>
      </c>
      <c r="E6" s="569"/>
    </row>
    <row r="7" spans="1:5" x14ac:dyDescent="0.25">
      <c r="A7" s="279"/>
      <c r="B7" s="280" t="s">
        <v>8</v>
      </c>
      <c r="C7" s="279"/>
      <c r="D7" s="487">
        <v>-11241.71</v>
      </c>
      <c r="E7" s="488"/>
    </row>
    <row r="8" spans="1:5" x14ac:dyDescent="0.25">
      <c r="A8" s="279"/>
      <c r="B8" s="280" t="s">
        <v>9</v>
      </c>
      <c r="C8" s="279" t="s">
        <v>10</v>
      </c>
      <c r="D8" s="279">
        <v>6610.9</v>
      </c>
      <c r="E8" s="279"/>
    </row>
    <row r="9" spans="1:5" x14ac:dyDescent="0.25">
      <c r="A9" s="279"/>
      <c r="B9" s="280" t="s">
        <v>11</v>
      </c>
      <c r="C9" s="279" t="s">
        <v>10</v>
      </c>
      <c r="D9" s="279">
        <v>5369.9</v>
      </c>
      <c r="E9" s="279"/>
    </row>
    <row r="10" spans="1:5" x14ac:dyDescent="0.25">
      <c r="A10" s="279"/>
      <c r="B10" s="281" t="s">
        <v>12</v>
      </c>
      <c r="C10" s="279" t="s">
        <v>53</v>
      </c>
      <c r="D10" s="282">
        <v>474300.56</v>
      </c>
      <c r="E10" s="279"/>
    </row>
    <row r="11" spans="1:5" x14ac:dyDescent="0.25">
      <c r="A11" s="279"/>
      <c r="B11" s="279"/>
      <c r="C11" s="279"/>
      <c r="D11" s="279"/>
      <c r="E11" s="279"/>
    </row>
    <row r="12" spans="1:5" ht="15.75" x14ac:dyDescent="0.25">
      <c r="A12" s="279"/>
      <c r="B12" s="283" t="s">
        <v>14</v>
      </c>
      <c r="C12" s="279"/>
      <c r="D12" s="279"/>
      <c r="E12" s="279"/>
    </row>
    <row r="13" spans="1:5" x14ac:dyDescent="0.25">
      <c r="A13" s="279">
        <v>1</v>
      </c>
      <c r="B13" s="279" t="s">
        <v>15</v>
      </c>
      <c r="C13" s="279" t="s">
        <v>13</v>
      </c>
      <c r="D13" s="279">
        <v>420500.68</v>
      </c>
      <c r="E13" s="279"/>
    </row>
    <row r="14" spans="1:5" x14ac:dyDescent="0.25">
      <c r="A14" s="279">
        <v>2</v>
      </c>
      <c r="B14" s="452" t="s">
        <v>16</v>
      </c>
      <c r="C14" s="279"/>
      <c r="D14" s="279">
        <v>25583.119999999999</v>
      </c>
      <c r="E14" s="279"/>
    </row>
    <row r="15" spans="1:5" x14ac:dyDescent="0.25">
      <c r="A15" s="279">
        <v>2</v>
      </c>
      <c r="B15" s="279" t="s">
        <v>92</v>
      </c>
      <c r="C15" s="279"/>
      <c r="D15" s="279">
        <v>7200</v>
      </c>
      <c r="E15" s="279"/>
    </row>
    <row r="16" spans="1:5" ht="15.75" x14ac:dyDescent="0.25">
      <c r="A16" s="279"/>
      <c r="B16" s="283" t="s">
        <v>17</v>
      </c>
      <c r="C16" s="279"/>
      <c r="D16" s="282">
        <f>D13+D14+D15</f>
        <v>453283.8</v>
      </c>
      <c r="E16" s="279"/>
    </row>
    <row r="17" spans="1:5" ht="15.75" x14ac:dyDescent="0.25">
      <c r="A17" s="279"/>
      <c r="B17" s="283"/>
      <c r="C17" s="279"/>
      <c r="D17" s="282"/>
      <c r="E17" s="279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2">
        <f>D20+D25</f>
        <v>61679.9</v>
      </c>
      <c r="E19" s="26">
        <f>E20</f>
        <v>11932.047079999998</v>
      </c>
    </row>
    <row r="20" spans="1:5" x14ac:dyDescent="0.25">
      <c r="A20" s="20">
        <v>1</v>
      </c>
      <c r="B20" s="22" t="s">
        <v>22</v>
      </c>
      <c r="C20" s="27" t="s">
        <v>13</v>
      </c>
      <c r="D20" s="22">
        <f>D21+D24</f>
        <v>59069.54</v>
      </c>
      <c r="E20" s="26">
        <f>E21+E24</f>
        <v>11932.047079999998</v>
      </c>
    </row>
    <row r="21" spans="1:5" x14ac:dyDescent="0.25">
      <c r="A21" s="20"/>
      <c r="B21" s="20" t="s">
        <v>23</v>
      </c>
      <c r="C21" s="20"/>
      <c r="D21" s="254">
        <v>55260.67</v>
      </c>
      <c r="E21" s="28">
        <f>D21*20.2%</f>
        <v>11162.655339999999</v>
      </c>
    </row>
    <row r="22" spans="1:5" x14ac:dyDescent="0.25">
      <c r="A22" s="20"/>
      <c r="B22" s="20" t="s">
        <v>24</v>
      </c>
      <c r="C22" s="20"/>
      <c r="D22" s="254">
        <v>0</v>
      </c>
      <c r="E22" s="28">
        <f t="shared" ref="E22:E24" si="0">D22*20.2%</f>
        <v>0</v>
      </c>
    </row>
    <row r="23" spans="1:5" x14ac:dyDescent="0.25">
      <c r="A23" s="20"/>
      <c r="B23" s="20" t="s">
        <v>25</v>
      </c>
      <c r="C23" s="20"/>
      <c r="D23" s="254">
        <v>0</v>
      </c>
      <c r="E23" s="28">
        <f t="shared" si="0"/>
        <v>0</v>
      </c>
    </row>
    <row r="24" spans="1:5" x14ac:dyDescent="0.25">
      <c r="A24" s="20"/>
      <c r="B24" s="31" t="s">
        <v>75</v>
      </c>
      <c r="C24" s="20"/>
      <c r="D24" s="254">
        <v>3808.87</v>
      </c>
      <c r="E24" s="28">
        <f t="shared" si="0"/>
        <v>769.39173999999991</v>
      </c>
    </row>
    <row r="25" spans="1:5" x14ac:dyDescent="0.25">
      <c r="A25" s="20">
        <v>2</v>
      </c>
      <c r="B25" s="27" t="s">
        <v>26</v>
      </c>
      <c r="C25" s="20"/>
      <c r="D25" s="254">
        <f>88.7+2521.66</f>
        <v>2610.3599999999997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110487.07</v>
      </c>
      <c r="E26" s="26">
        <f>E27</f>
        <v>19041.067419999999</v>
      </c>
    </row>
    <row r="27" spans="1:5" x14ac:dyDescent="0.25">
      <c r="A27" s="20">
        <v>1</v>
      </c>
      <c r="B27" s="31" t="s">
        <v>229</v>
      </c>
      <c r="C27" s="20"/>
      <c r="D27" s="254">
        <v>94262.71</v>
      </c>
      <c r="E27" s="28">
        <f>D27*20.2%</f>
        <v>19041.067419999999</v>
      </c>
    </row>
    <row r="28" spans="1:5" x14ac:dyDescent="0.25">
      <c r="A28" s="20">
        <v>2</v>
      </c>
      <c r="B28" s="31" t="s">
        <v>26</v>
      </c>
      <c r="C28" s="20"/>
      <c r="D28" s="420">
        <v>6980.36</v>
      </c>
      <c r="E28" s="20"/>
    </row>
    <row r="29" spans="1:5" x14ac:dyDescent="0.25">
      <c r="A29" s="20">
        <v>3</v>
      </c>
      <c r="B29" s="31" t="s">
        <v>64</v>
      </c>
      <c r="C29" s="20"/>
      <c r="D29" s="420">
        <v>9244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D31+D32+D33+D34+D35+D36+D37+D38</f>
        <v>63246.549999999996</v>
      </c>
      <c r="E30" s="20"/>
    </row>
    <row r="31" spans="1:5" x14ac:dyDescent="0.25">
      <c r="A31" s="20"/>
      <c r="B31" s="20" t="s">
        <v>31</v>
      </c>
      <c r="C31" s="20"/>
      <c r="D31" s="28">
        <f>D16*5%</f>
        <v>22664.190000000002</v>
      </c>
      <c r="E31" s="20"/>
    </row>
    <row r="32" spans="1:5" x14ac:dyDescent="0.25">
      <c r="A32" s="20"/>
      <c r="B32" s="20" t="s">
        <v>57</v>
      </c>
      <c r="C32" s="20"/>
      <c r="D32" s="20">
        <v>1543.66</v>
      </c>
      <c r="E32" s="20"/>
    </row>
    <row r="33" spans="1:5" x14ac:dyDescent="0.25">
      <c r="A33" s="20"/>
      <c r="B33" s="20" t="s">
        <v>33</v>
      </c>
      <c r="C33" s="20"/>
      <c r="D33" s="28">
        <v>13953.52</v>
      </c>
      <c r="E33" s="20"/>
    </row>
    <row r="34" spans="1:5" x14ac:dyDescent="0.25">
      <c r="A34" s="20"/>
      <c r="B34" s="27" t="s">
        <v>35</v>
      </c>
      <c r="C34" s="254"/>
      <c r="D34" s="419">
        <v>8792.41</v>
      </c>
      <c r="E34" s="20"/>
    </row>
    <row r="35" spans="1:5" x14ac:dyDescent="0.25">
      <c r="A35" s="20"/>
      <c r="B35" s="254" t="s">
        <v>67</v>
      </c>
      <c r="C35" s="254"/>
      <c r="D35" s="254">
        <v>7890.82</v>
      </c>
      <c r="E35" s="20"/>
    </row>
    <row r="36" spans="1:5" x14ac:dyDescent="0.25">
      <c r="A36" s="20"/>
      <c r="B36" s="254" t="s">
        <v>208</v>
      </c>
      <c r="C36" s="254"/>
      <c r="D36" s="254">
        <v>1680</v>
      </c>
      <c r="E36" s="20"/>
    </row>
    <row r="37" spans="1:5" x14ac:dyDescent="0.25">
      <c r="A37" s="20"/>
      <c r="B37" s="421" t="s">
        <v>131</v>
      </c>
      <c r="C37" s="254"/>
      <c r="D37" s="254">
        <v>172</v>
      </c>
      <c r="E37" s="20"/>
    </row>
    <row r="38" spans="1:5" x14ac:dyDescent="0.25">
      <c r="A38" s="20"/>
      <c r="B38" s="254" t="s">
        <v>37</v>
      </c>
      <c r="C38" s="254"/>
      <c r="D38" s="254">
        <v>6549.95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92100.67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D19+E19+D26+E26+D30+D39+E39</f>
        <v>358487.30450000003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D16*6%</f>
        <v>27197.027999999998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385684.33250000002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D13+D15-D42</f>
        <v>42016.347499999974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D7+D44+2737.39</f>
        <v>33512.027499999975</v>
      </c>
      <c r="E45" s="20"/>
    </row>
    <row r="46" spans="1:5" x14ac:dyDescent="0.25">
      <c r="A46" s="447"/>
      <c r="B46" s="35" t="s">
        <v>16</v>
      </c>
      <c r="C46" s="34"/>
      <c r="D46" s="36">
        <f>D14</f>
        <v>25583.119999999999</v>
      </c>
      <c r="E46" s="34"/>
    </row>
    <row r="47" spans="1:5" x14ac:dyDescent="0.25">
      <c r="A47" s="447"/>
      <c r="B47" s="35" t="s">
        <v>226</v>
      </c>
      <c r="C47" s="34"/>
      <c r="D47" s="36">
        <v>2737.39</v>
      </c>
      <c r="E47" s="34"/>
    </row>
    <row r="48" spans="1:5" x14ac:dyDescent="0.25">
      <c r="A48" s="34"/>
      <c r="B48" s="35" t="s">
        <v>115</v>
      </c>
      <c r="C48" s="34"/>
      <c r="D48" s="36">
        <f>D46-D47</f>
        <v>22845.73</v>
      </c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3" workbookViewId="0">
      <selection activeCell="H33" sqref="H33:I46"/>
    </sheetView>
  </sheetViews>
  <sheetFormatPr defaultRowHeight="15" x14ac:dyDescent="0.25"/>
  <cols>
    <col min="2" max="2" width="39.5703125" customWidth="1"/>
    <col min="4" max="4" width="10.85546875" customWidth="1"/>
    <col min="5" max="5" width="11.140625" customWidth="1"/>
  </cols>
  <sheetData>
    <row r="1" spans="1:5" ht="15.75" x14ac:dyDescent="0.25">
      <c r="A1" s="284"/>
      <c r="B1" s="285" t="s">
        <v>0</v>
      </c>
      <c r="C1" s="284"/>
      <c r="D1" s="284"/>
      <c r="E1" s="284"/>
    </row>
    <row r="2" spans="1:5" x14ac:dyDescent="0.25">
      <c r="A2" s="284"/>
      <c r="B2" s="284"/>
      <c r="C2" s="284"/>
      <c r="D2" s="284"/>
      <c r="E2" s="284"/>
    </row>
    <row r="3" spans="1:5" x14ac:dyDescent="0.25">
      <c r="A3" s="284"/>
      <c r="B3" s="284" t="s">
        <v>1</v>
      </c>
      <c r="C3" s="284"/>
      <c r="D3" s="284"/>
      <c r="E3" s="284"/>
    </row>
    <row r="4" spans="1:5" x14ac:dyDescent="0.25">
      <c r="A4" s="284"/>
      <c r="B4" s="455" t="s">
        <v>159</v>
      </c>
      <c r="C4" s="284"/>
      <c r="D4" s="284"/>
      <c r="E4" s="284"/>
    </row>
    <row r="5" spans="1:5" x14ac:dyDescent="0.25">
      <c r="A5" s="284"/>
      <c r="B5" s="284" t="s">
        <v>73</v>
      </c>
      <c r="C5" s="284"/>
      <c r="D5" s="284"/>
      <c r="E5" s="284"/>
    </row>
    <row r="6" spans="1:5" x14ac:dyDescent="0.25">
      <c r="A6" s="286"/>
      <c r="B6" s="286"/>
      <c r="C6" s="286"/>
      <c r="D6" s="287"/>
      <c r="E6" s="288"/>
    </row>
    <row r="7" spans="1:5" ht="15.75" x14ac:dyDescent="0.25">
      <c r="A7" s="289"/>
      <c r="B7" s="290" t="s">
        <v>3</v>
      </c>
      <c r="C7" s="291" t="s">
        <v>4</v>
      </c>
      <c r="D7" s="570" t="s">
        <v>5</v>
      </c>
      <c r="E7" s="571"/>
    </row>
    <row r="8" spans="1:5" ht="15.75" x14ac:dyDescent="0.25">
      <c r="A8" s="292"/>
      <c r="B8" s="290" t="s">
        <v>6</v>
      </c>
      <c r="C8" s="291" t="s">
        <v>7</v>
      </c>
      <c r="D8" s="572" t="s">
        <v>141</v>
      </c>
      <c r="E8" s="573"/>
    </row>
    <row r="9" spans="1:5" x14ac:dyDescent="0.25">
      <c r="A9" s="293"/>
      <c r="B9" s="293"/>
      <c r="C9" s="293"/>
      <c r="D9" s="294"/>
      <c r="E9" s="295"/>
    </row>
    <row r="10" spans="1:5" x14ac:dyDescent="0.25">
      <c r="A10" s="293"/>
      <c r="B10" s="296" t="s">
        <v>8</v>
      </c>
      <c r="C10" s="293"/>
      <c r="D10" s="294">
        <v>-192726.47</v>
      </c>
      <c r="E10" s="295"/>
    </row>
    <row r="11" spans="1:5" x14ac:dyDescent="0.25">
      <c r="A11" s="297"/>
      <c r="B11" s="298" t="s">
        <v>9</v>
      </c>
      <c r="C11" s="297" t="s">
        <v>10</v>
      </c>
      <c r="D11" s="297">
        <v>5109.3</v>
      </c>
      <c r="E11" s="297"/>
    </row>
    <row r="12" spans="1:5" x14ac:dyDescent="0.25">
      <c r="A12" s="297"/>
      <c r="B12" s="298" t="s">
        <v>11</v>
      </c>
      <c r="C12" s="297" t="s">
        <v>10</v>
      </c>
      <c r="D12" s="297">
        <v>3548.4</v>
      </c>
      <c r="E12" s="297"/>
    </row>
    <row r="13" spans="1:5" x14ac:dyDescent="0.25">
      <c r="A13" s="297"/>
      <c r="B13" s="299" t="s">
        <v>12</v>
      </c>
      <c r="C13" s="297" t="s">
        <v>53</v>
      </c>
      <c r="D13" s="300">
        <v>264554.27</v>
      </c>
      <c r="E13" s="297"/>
    </row>
    <row r="14" spans="1:5" x14ac:dyDescent="0.25">
      <c r="A14" s="297"/>
      <c r="B14" s="297"/>
      <c r="C14" s="297"/>
      <c r="D14" s="297"/>
      <c r="E14" s="297"/>
    </row>
    <row r="15" spans="1:5" ht="15.75" x14ac:dyDescent="0.25">
      <c r="A15" s="297"/>
      <c r="B15" s="301" t="s">
        <v>14</v>
      </c>
      <c r="C15" s="297"/>
      <c r="D15" s="297"/>
      <c r="E15" s="297"/>
    </row>
    <row r="16" spans="1:5" x14ac:dyDescent="0.25">
      <c r="A16" s="297">
        <v>1</v>
      </c>
      <c r="B16" s="297" t="s">
        <v>15</v>
      </c>
      <c r="C16" s="297" t="s">
        <v>13</v>
      </c>
      <c r="D16" s="297">
        <v>271687.28999999998</v>
      </c>
      <c r="E16" s="297"/>
    </row>
    <row r="17" spans="1:5" x14ac:dyDescent="0.25">
      <c r="A17" s="297">
        <v>2</v>
      </c>
      <c r="B17" s="454" t="s">
        <v>92</v>
      </c>
      <c r="C17" s="297"/>
      <c r="D17" s="297">
        <v>2400</v>
      </c>
      <c r="E17" s="297"/>
    </row>
    <row r="18" spans="1:5" ht="15.75" x14ac:dyDescent="0.25">
      <c r="A18" s="297"/>
      <c r="B18" s="301" t="s">
        <v>17</v>
      </c>
      <c r="C18" s="297"/>
      <c r="D18" s="300">
        <f>D16+D17</f>
        <v>274087.28999999998</v>
      </c>
      <c r="E18" s="297"/>
    </row>
    <row r="19" spans="1:5" ht="15.75" x14ac:dyDescent="0.25">
      <c r="A19" s="297"/>
      <c r="B19" s="301"/>
      <c r="C19" s="297"/>
      <c r="D19" s="300"/>
      <c r="E19" s="297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D22+D27+D26</f>
        <v>88177.31</v>
      </c>
      <c r="E21" s="26">
        <f>E22+E27</f>
        <v>17081.384620000001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D23+D24+D25</f>
        <v>84561.31</v>
      </c>
      <c r="E22" s="26">
        <f>E23+E24+E26+E25</f>
        <v>17081.384620000001</v>
      </c>
    </row>
    <row r="23" spans="1:5" x14ac:dyDescent="0.25">
      <c r="A23" s="20"/>
      <c r="B23" s="20" t="s">
        <v>23</v>
      </c>
      <c r="C23" s="20"/>
      <c r="D23" s="254">
        <v>10970.15</v>
      </c>
      <c r="E23" s="28">
        <f>D23*20.2%</f>
        <v>2215.9703</v>
      </c>
    </row>
    <row r="24" spans="1:5" x14ac:dyDescent="0.25">
      <c r="A24" s="20"/>
      <c r="B24" s="20" t="s">
        <v>24</v>
      </c>
      <c r="C24" s="20"/>
      <c r="D24" s="254">
        <v>50624.25</v>
      </c>
      <c r="E24" s="28">
        <f t="shared" ref="E24:E25" si="0">D24*20.2%</f>
        <v>10226.0985</v>
      </c>
    </row>
    <row r="25" spans="1:5" x14ac:dyDescent="0.25">
      <c r="A25" s="20"/>
      <c r="B25" s="20" t="s">
        <v>25</v>
      </c>
      <c r="C25" s="20"/>
      <c r="D25" s="254">
        <v>22966.91</v>
      </c>
      <c r="E25" s="28">
        <f t="shared" si="0"/>
        <v>4639.3158199999998</v>
      </c>
    </row>
    <row r="26" spans="1:5" x14ac:dyDescent="0.25">
      <c r="A26" s="20"/>
      <c r="B26" s="31" t="s">
        <v>238</v>
      </c>
      <c r="C26" s="20"/>
      <c r="D26" s="254">
        <v>574.79999999999995</v>
      </c>
      <c r="E26" s="28"/>
    </row>
    <row r="27" spans="1:5" x14ac:dyDescent="0.25">
      <c r="A27" s="20"/>
      <c r="B27" s="31" t="s">
        <v>26</v>
      </c>
      <c r="C27" s="20"/>
      <c r="D27" s="254">
        <f>27.56+3013.64</f>
        <v>3041.2</v>
      </c>
      <c r="E27" s="28"/>
    </row>
    <row r="28" spans="1:5" x14ac:dyDescent="0.25">
      <c r="A28" s="73" t="s">
        <v>27</v>
      </c>
      <c r="B28" s="30" t="s">
        <v>28</v>
      </c>
      <c r="C28" s="20"/>
      <c r="D28" s="22">
        <f>D29+D30+D31</f>
        <v>72633.23</v>
      </c>
      <c r="E28" s="26">
        <f>E29</f>
        <v>11757.236279999999</v>
      </c>
    </row>
    <row r="29" spans="1:5" x14ac:dyDescent="0.25">
      <c r="A29" s="422">
        <v>1</v>
      </c>
      <c r="B29" s="31" t="s">
        <v>229</v>
      </c>
      <c r="C29" s="20"/>
      <c r="D29" s="254">
        <v>58204.14</v>
      </c>
      <c r="E29" s="28">
        <f>D29*20.2%</f>
        <v>11757.236279999999</v>
      </c>
    </row>
    <row r="30" spans="1:5" x14ac:dyDescent="0.25">
      <c r="A30" s="20">
        <v>2</v>
      </c>
      <c r="B30" s="31" t="s">
        <v>26</v>
      </c>
      <c r="C30" s="20"/>
      <c r="D30" s="420">
        <v>7953.09</v>
      </c>
      <c r="E30" s="20"/>
    </row>
    <row r="31" spans="1:5" x14ac:dyDescent="0.25">
      <c r="A31" s="20">
        <v>3</v>
      </c>
      <c r="B31" s="31" t="s">
        <v>64</v>
      </c>
      <c r="C31" s="20"/>
      <c r="D31" s="420">
        <v>6476</v>
      </c>
      <c r="E31" s="20"/>
    </row>
    <row r="32" spans="1:5" x14ac:dyDescent="0.25">
      <c r="A32" s="73" t="s">
        <v>29</v>
      </c>
      <c r="B32" s="22" t="s">
        <v>30</v>
      </c>
      <c r="C32" s="20"/>
      <c r="D32" s="26">
        <f>D33+D34+D35+D36+D37+D38+D39</f>
        <v>34118.20263</v>
      </c>
      <c r="E32" s="20"/>
    </row>
    <row r="33" spans="1:5" x14ac:dyDescent="0.25">
      <c r="A33" s="24"/>
      <c r="B33" s="20" t="s">
        <v>31</v>
      </c>
      <c r="C33" s="20"/>
      <c r="D33" s="28">
        <f>D18*4.7%</f>
        <v>12882.102629999999</v>
      </c>
      <c r="E33" s="20"/>
    </row>
    <row r="34" spans="1:5" x14ac:dyDescent="0.25">
      <c r="A34" s="20"/>
      <c r="B34" s="20" t="s">
        <v>57</v>
      </c>
      <c r="C34" s="20"/>
      <c r="D34" s="419">
        <v>912.62</v>
      </c>
      <c r="E34" s="20"/>
    </row>
    <row r="35" spans="1:5" x14ac:dyDescent="0.25">
      <c r="A35" s="20"/>
      <c r="B35" s="20" t="s">
        <v>33</v>
      </c>
      <c r="C35" s="20"/>
      <c r="D35" s="28">
        <v>8478.9599999999991</v>
      </c>
      <c r="E35" s="20"/>
    </row>
    <row r="36" spans="1:5" x14ac:dyDescent="0.25">
      <c r="A36" s="20"/>
      <c r="B36" s="31" t="s">
        <v>209</v>
      </c>
      <c r="C36" s="20"/>
      <c r="D36" s="28">
        <v>1680</v>
      </c>
      <c r="E36" s="20"/>
    </row>
    <row r="37" spans="1:5" x14ac:dyDescent="0.25">
      <c r="A37" s="20"/>
      <c r="B37" s="31" t="s">
        <v>131</v>
      </c>
      <c r="C37" s="20"/>
      <c r="D37" s="20">
        <v>344</v>
      </c>
      <c r="E37" s="20"/>
    </row>
    <row r="38" spans="1:5" x14ac:dyDescent="0.25">
      <c r="A38" s="20"/>
      <c r="B38" s="27" t="s">
        <v>35</v>
      </c>
      <c r="C38" s="20"/>
      <c r="D38" s="20">
        <v>5774.54</v>
      </c>
      <c r="E38" s="20"/>
    </row>
    <row r="39" spans="1:5" x14ac:dyDescent="0.25">
      <c r="A39" s="20"/>
      <c r="B39" s="20" t="s">
        <v>37</v>
      </c>
      <c r="C39" s="20"/>
      <c r="D39" s="20">
        <v>4045.98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54684.2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D21+E21+D28+E28+D32+D40+E40</f>
        <v>278451.56353000004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D18*6%</f>
        <v>16445.237399999998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294896.80093000003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135</v>
      </c>
      <c r="C45" s="20"/>
      <c r="D45" s="26">
        <f>D18-D43</f>
        <v>-20809.510930000048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D10+D45</f>
        <v>-213535.98093000005</v>
      </c>
      <c r="E46" s="20"/>
    </row>
    <row r="47" spans="1:5" x14ac:dyDescent="0.25">
      <c r="A47" s="35"/>
      <c r="B47" s="34"/>
      <c r="C47" s="36"/>
      <c r="D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  <row r="51" spans="1:5" x14ac:dyDescent="0.25">
      <c r="A51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5" workbookViewId="0">
      <selection activeCell="H31" sqref="H31:I48"/>
    </sheetView>
  </sheetViews>
  <sheetFormatPr defaultRowHeight="15" x14ac:dyDescent="0.25"/>
  <cols>
    <col min="2" max="2" width="42.5703125" customWidth="1"/>
    <col min="4" max="4" width="11.1406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206</v>
      </c>
    </row>
    <row r="5" spans="1:5" x14ac:dyDescent="0.25">
      <c r="A5" s="501"/>
      <c r="B5" s="501"/>
      <c r="C5" s="501"/>
      <c r="D5" s="471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0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0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13078.4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349556.42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110489.84</v>
      </c>
      <c r="E15" s="13"/>
    </row>
    <row r="16" spans="1:5" ht="15.75" x14ac:dyDescent="0.25">
      <c r="A16" s="13"/>
      <c r="B16" s="16" t="s">
        <v>17</v>
      </c>
      <c r="C16" s="13"/>
      <c r="D16" s="19">
        <f>D15</f>
        <v>110489.84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D20+D24</f>
        <v>54865.56</v>
      </c>
      <c r="E19" s="26">
        <f>E20</f>
        <v>10534.58078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52151.39</v>
      </c>
      <c r="E20" s="26">
        <f>E21+E22+E23</f>
        <v>10534.58078</v>
      </c>
    </row>
    <row r="21" spans="1:5" x14ac:dyDescent="0.25">
      <c r="A21" s="20"/>
      <c r="B21" s="20" t="s">
        <v>23</v>
      </c>
      <c r="C21" s="20"/>
      <c r="D21" s="20">
        <v>14006.98</v>
      </c>
      <c r="E21" s="28">
        <f>D21*20.2%</f>
        <v>2829.4099599999995</v>
      </c>
    </row>
    <row r="22" spans="1:5" x14ac:dyDescent="0.25">
      <c r="A22" s="20"/>
      <c r="B22" s="20" t="s">
        <v>24</v>
      </c>
      <c r="C22" s="20"/>
      <c r="D22" s="29">
        <v>38144.410000000003</v>
      </c>
      <c r="E22" s="28">
        <f t="shared" ref="E22:E23" si="0">D22*20.2%</f>
        <v>7705.1708200000003</v>
      </c>
    </row>
    <row r="23" spans="1:5" x14ac:dyDescent="0.25">
      <c r="A23" s="20"/>
      <c r="B23" s="20" t="s">
        <v>25</v>
      </c>
      <c r="C23" s="20"/>
      <c r="D23" s="20">
        <v>0</v>
      </c>
      <c r="E23" s="28">
        <f t="shared" si="0"/>
        <v>0</v>
      </c>
    </row>
    <row r="24" spans="1:5" x14ac:dyDescent="0.25">
      <c r="A24" s="20">
        <v>2</v>
      </c>
      <c r="B24" s="27" t="s">
        <v>26</v>
      </c>
      <c r="C24" s="20"/>
      <c r="D24" s="20">
        <f>114.45+2599.72</f>
        <v>2714.1699999999996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</f>
        <v>35392.68</v>
      </c>
      <c r="E25" s="26">
        <f>E26</f>
        <v>7088.1032400000004</v>
      </c>
    </row>
    <row r="26" spans="1:5" x14ac:dyDescent="0.25">
      <c r="A26" s="20">
        <v>1</v>
      </c>
      <c r="B26" s="31" t="s">
        <v>229</v>
      </c>
      <c r="C26" s="20"/>
      <c r="D26" s="31">
        <v>35089.620000000003</v>
      </c>
      <c r="E26" s="28">
        <f>D26*20.2%</f>
        <v>7088.1032400000004</v>
      </c>
    </row>
    <row r="27" spans="1:5" x14ac:dyDescent="0.25">
      <c r="A27" s="20">
        <v>2</v>
      </c>
      <c r="B27" s="31" t="s">
        <v>26</v>
      </c>
      <c r="C27" s="20"/>
      <c r="D27" s="31">
        <v>303.06</v>
      </c>
      <c r="E27" s="20"/>
    </row>
    <row r="28" spans="1:5" x14ac:dyDescent="0.25">
      <c r="A28" s="24" t="s">
        <v>29</v>
      </c>
      <c r="B28" s="22" t="s">
        <v>30</v>
      </c>
      <c r="C28" s="20"/>
      <c r="D28" s="26">
        <f>D29+D30+D31+D32+D33+D34+D35</f>
        <v>31583.602480000001</v>
      </c>
      <c r="E28" s="20"/>
    </row>
    <row r="29" spans="1:5" x14ac:dyDescent="0.25">
      <c r="A29" s="20"/>
      <c r="B29" s="20" t="s">
        <v>31</v>
      </c>
      <c r="C29" s="20"/>
      <c r="D29" s="28">
        <f>D16*4.7%</f>
        <v>5193.0224799999996</v>
      </c>
      <c r="E29" s="20"/>
    </row>
    <row r="30" spans="1:5" x14ac:dyDescent="0.25">
      <c r="A30" s="20"/>
      <c r="B30" s="20" t="s">
        <v>57</v>
      </c>
      <c r="C30" s="20"/>
      <c r="D30" s="20">
        <v>0</v>
      </c>
      <c r="E30" s="20"/>
    </row>
    <row r="31" spans="1:5" x14ac:dyDescent="0.25">
      <c r="A31" s="20"/>
      <c r="B31" s="20" t="s">
        <v>33</v>
      </c>
      <c r="C31" s="20"/>
      <c r="D31" s="28">
        <v>5375.42</v>
      </c>
      <c r="E31" s="20"/>
    </row>
    <row r="32" spans="1:5" x14ac:dyDescent="0.25">
      <c r="A32" s="20"/>
      <c r="B32" s="27" t="s">
        <v>36</v>
      </c>
      <c r="C32" s="20"/>
      <c r="D32" s="28">
        <v>4000</v>
      </c>
      <c r="E32" s="20"/>
    </row>
    <row r="33" spans="1:5" x14ac:dyDescent="0.25">
      <c r="A33" s="20"/>
      <c r="B33" s="27" t="s">
        <v>35</v>
      </c>
      <c r="C33" s="20"/>
      <c r="D33" s="20">
        <v>130.22</v>
      </c>
      <c r="E33" s="20"/>
    </row>
    <row r="34" spans="1:5" x14ac:dyDescent="0.25">
      <c r="A34" s="20"/>
      <c r="B34" s="31" t="s">
        <v>37</v>
      </c>
      <c r="C34" s="20"/>
      <c r="D34" s="20">
        <v>2097.08</v>
      </c>
      <c r="E34" s="20"/>
    </row>
    <row r="35" spans="1:5" x14ac:dyDescent="0.25">
      <c r="A35" s="20"/>
      <c r="B35" s="31" t="s">
        <v>196</v>
      </c>
      <c r="C35" s="20"/>
      <c r="D35" s="20">
        <v>14787.86</v>
      </c>
      <c r="E35" s="20"/>
    </row>
    <row r="36" spans="1:5" x14ac:dyDescent="0.25">
      <c r="A36" s="73" t="s">
        <v>82</v>
      </c>
      <c r="B36" s="22" t="s">
        <v>38</v>
      </c>
      <c r="C36" s="20"/>
      <c r="D36" s="26">
        <v>40982.199999999997</v>
      </c>
      <c r="E36" s="26"/>
    </row>
    <row r="37" spans="1:5" x14ac:dyDescent="0.25">
      <c r="A37" s="450" t="s">
        <v>83</v>
      </c>
      <c r="B37" s="22" t="s">
        <v>221</v>
      </c>
      <c r="C37" s="20"/>
      <c r="D37" s="26">
        <v>5524.49</v>
      </c>
      <c r="E37" s="20"/>
    </row>
    <row r="38" spans="1:5" x14ac:dyDescent="0.25">
      <c r="A38" s="73" t="s">
        <v>84</v>
      </c>
      <c r="B38" s="22" t="s">
        <v>41</v>
      </c>
      <c r="C38" s="20"/>
      <c r="D38" s="26">
        <f>D19+E19+D25+E25+D28+D36+E36+D37</f>
        <v>185971.21649999998</v>
      </c>
      <c r="E38" s="20"/>
    </row>
    <row r="39" spans="1:5" x14ac:dyDescent="0.25">
      <c r="A39" s="73" t="s">
        <v>85</v>
      </c>
      <c r="B39" s="20" t="s">
        <v>42</v>
      </c>
      <c r="C39" s="20"/>
      <c r="D39" s="26">
        <f>D16*6%</f>
        <v>6629.3903999999993</v>
      </c>
      <c r="E39" s="20"/>
    </row>
    <row r="40" spans="1:5" x14ac:dyDescent="0.25">
      <c r="A40" s="73" t="s">
        <v>86</v>
      </c>
      <c r="B40" s="22" t="s">
        <v>43</v>
      </c>
      <c r="C40" s="20"/>
      <c r="D40" s="26">
        <f>D38+D39</f>
        <v>192600.60689999998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87</v>
      </c>
      <c r="B42" s="22" t="s">
        <v>135</v>
      </c>
      <c r="C42" s="20"/>
      <c r="D42" s="26">
        <f>D16-D40</f>
        <v>-82110.766899999988</v>
      </c>
      <c r="E42" s="20"/>
    </row>
    <row r="43" spans="1:5" x14ac:dyDescent="0.25">
      <c r="A43" s="450" t="s">
        <v>222</v>
      </c>
      <c r="B43" s="22" t="s">
        <v>44</v>
      </c>
      <c r="C43" s="20"/>
      <c r="D43" s="26">
        <f>D9+D42</f>
        <v>-82110.766899999988</v>
      </c>
      <c r="E43" s="20"/>
    </row>
    <row r="44" spans="1:5" x14ac:dyDescent="0.25">
      <c r="A44" s="34"/>
      <c r="B44" s="35"/>
      <c r="C44" s="34"/>
      <c r="D44" s="36"/>
      <c r="E44" s="34"/>
    </row>
    <row r="45" spans="1:5" x14ac:dyDescent="0.25">
      <c r="A45" s="37"/>
      <c r="B45" s="37" t="s">
        <v>45</v>
      </c>
      <c r="C45" s="37"/>
      <c r="D45" s="37" t="s">
        <v>46</v>
      </c>
      <c r="E45" s="37"/>
    </row>
    <row r="46" spans="1:5" x14ac:dyDescent="0.25">
      <c r="A46" s="37"/>
      <c r="B46" s="37" t="s">
        <v>47</v>
      </c>
      <c r="C46" s="37"/>
      <c r="D46" s="37" t="s">
        <v>48</v>
      </c>
      <c r="E46" s="37"/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4" workbookViewId="0">
      <selection activeCell="H32" sqref="H32:I47"/>
    </sheetView>
  </sheetViews>
  <sheetFormatPr defaultRowHeight="15" x14ac:dyDescent="0.25"/>
  <cols>
    <col min="1" max="1" width="5.85546875" customWidth="1"/>
    <col min="2" max="2" width="42.42578125" customWidth="1"/>
    <col min="4" max="4" width="10.7109375" customWidth="1"/>
    <col min="5" max="5" width="11.42578125" customWidth="1"/>
  </cols>
  <sheetData>
    <row r="1" spans="1:5" ht="15.75" x14ac:dyDescent="0.25">
      <c r="A1" s="302"/>
      <c r="B1" s="303" t="s">
        <v>0</v>
      </c>
      <c r="C1" s="302"/>
      <c r="D1" s="302"/>
      <c r="E1" s="302"/>
    </row>
    <row r="2" spans="1:5" x14ac:dyDescent="0.25">
      <c r="A2" s="302"/>
      <c r="B2" s="302"/>
      <c r="C2" s="302"/>
      <c r="D2" s="302"/>
      <c r="E2" s="302"/>
    </row>
    <row r="3" spans="1:5" x14ac:dyDescent="0.25">
      <c r="A3" s="302"/>
      <c r="B3" s="302" t="s">
        <v>1</v>
      </c>
      <c r="C3" s="302"/>
      <c r="D3" s="302"/>
      <c r="E3" s="302"/>
    </row>
    <row r="4" spans="1:5" x14ac:dyDescent="0.25">
      <c r="A4" s="302"/>
      <c r="B4" s="456" t="s">
        <v>160</v>
      </c>
      <c r="C4" s="302"/>
      <c r="D4" s="302"/>
      <c r="E4" s="302"/>
    </row>
    <row r="5" spans="1:5" x14ac:dyDescent="0.25">
      <c r="A5" s="302"/>
      <c r="B5" s="302" t="s">
        <v>49</v>
      </c>
      <c r="C5" s="302"/>
      <c r="D5" s="302"/>
      <c r="E5" s="302"/>
    </row>
    <row r="6" spans="1:5" x14ac:dyDescent="0.25">
      <c r="A6" s="304"/>
      <c r="B6" s="304"/>
      <c r="C6" s="304"/>
      <c r="D6" s="305"/>
      <c r="E6" s="306"/>
    </row>
    <row r="7" spans="1:5" ht="15.75" x14ac:dyDescent="0.25">
      <c r="A7" s="307"/>
      <c r="B7" s="308" t="s">
        <v>3</v>
      </c>
      <c r="C7" s="309" t="s">
        <v>4</v>
      </c>
      <c r="D7" s="574" t="s">
        <v>5</v>
      </c>
      <c r="E7" s="575"/>
    </row>
    <row r="8" spans="1:5" ht="15.75" x14ac:dyDescent="0.25">
      <c r="A8" s="310"/>
      <c r="B8" s="308" t="s">
        <v>6</v>
      </c>
      <c r="C8" s="309" t="s">
        <v>7</v>
      </c>
      <c r="D8" s="576" t="s">
        <v>141</v>
      </c>
      <c r="E8" s="577"/>
    </row>
    <row r="9" spans="1:5" x14ac:dyDescent="0.25">
      <c r="A9" s="311"/>
      <c r="B9" s="311"/>
      <c r="C9" s="311"/>
      <c r="D9" s="312"/>
      <c r="E9" s="313"/>
    </row>
    <row r="10" spans="1:5" x14ac:dyDescent="0.25">
      <c r="A10" s="311"/>
      <c r="B10" s="314" t="s">
        <v>8</v>
      </c>
      <c r="C10" s="311"/>
      <c r="D10" s="312">
        <v>-62596.85</v>
      </c>
      <c r="E10" s="313"/>
    </row>
    <row r="11" spans="1:5" x14ac:dyDescent="0.25">
      <c r="A11" s="315"/>
      <c r="B11" s="316" t="s">
        <v>9</v>
      </c>
      <c r="C11" s="315" t="s">
        <v>10</v>
      </c>
      <c r="D11" s="315">
        <v>5631.46</v>
      </c>
      <c r="E11" s="315"/>
    </row>
    <row r="12" spans="1:5" x14ac:dyDescent="0.25">
      <c r="A12" s="315"/>
      <c r="B12" s="316" t="s">
        <v>11</v>
      </c>
      <c r="C12" s="315" t="s">
        <v>10</v>
      </c>
      <c r="D12" s="315">
        <v>4522.7</v>
      </c>
      <c r="E12" s="315"/>
    </row>
    <row r="13" spans="1:5" x14ac:dyDescent="0.25">
      <c r="A13" s="315"/>
      <c r="B13" s="317" t="s">
        <v>12</v>
      </c>
      <c r="C13" s="315" t="s">
        <v>53</v>
      </c>
      <c r="D13" s="318">
        <v>346413.92</v>
      </c>
      <c r="E13" s="315"/>
    </row>
    <row r="14" spans="1:5" x14ac:dyDescent="0.25">
      <c r="A14" s="315"/>
      <c r="B14" s="315"/>
      <c r="C14" s="315"/>
      <c r="D14" s="315"/>
      <c r="E14" s="315"/>
    </row>
    <row r="15" spans="1:5" ht="15.75" x14ac:dyDescent="0.25">
      <c r="A15" s="315"/>
      <c r="B15" s="319" t="s">
        <v>14</v>
      </c>
      <c r="C15" s="315"/>
      <c r="D15" s="315"/>
      <c r="E15" s="315"/>
    </row>
    <row r="16" spans="1:5" x14ac:dyDescent="0.25">
      <c r="A16" s="315">
        <v>1</v>
      </c>
      <c r="B16" s="315" t="s">
        <v>15</v>
      </c>
      <c r="C16" s="315" t="s">
        <v>13</v>
      </c>
      <c r="D16" s="315">
        <v>342123.84</v>
      </c>
      <c r="E16" s="315"/>
    </row>
    <row r="17" spans="1:5" x14ac:dyDescent="0.25">
      <c r="A17" s="315">
        <v>2</v>
      </c>
      <c r="B17" s="315" t="s">
        <v>92</v>
      </c>
      <c r="C17" s="315"/>
      <c r="D17" s="315">
        <v>7200</v>
      </c>
      <c r="E17" s="315"/>
    </row>
    <row r="18" spans="1:5" ht="15.75" x14ac:dyDescent="0.25">
      <c r="A18" s="315"/>
      <c r="B18" s="319" t="s">
        <v>17</v>
      </c>
      <c r="C18" s="315"/>
      <c r="D18" s="318">
        <f>D16+D17</f>
        <v>349323.84</v>
      </c>
      <c r="E18" s="315"/>
    </row>
    <row r="19" spans="1:5" ht="15.75" x14ac:dyDescent="0.25">
      <c r="A19" s="315"/>
      <c r="B19" s="319"/>
      <c r="C19" s="315"/>
      <c r="D19" s="318"/>
      <c r="E19" s="315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D22+D24+D25</f>
        <v>51576.87</v>
      </c>
      <c r="E21" s="26">
        <f>E22</f>
        <v>9689.9096999999983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</f>
        <v>47969.85</v>
      </c>
      <c r="E22" s="26">
        <f>E23</f>
        <v>9689.9096999999983</v>
      </c>
    </row>
    <row r="23" spans="1:5" x14ac:dyDescent="0.25">
      <c r="A23" s="20"/>
      <c r="B23" s="20" t="s">
        <v>23</v>
      </c>
      <c r="C23" s="20"/>
      <c r="D23" s="254">
        <v>47969.85</v>
      </c>
      <c r="E23" s="28">
        <f>D23*20.2%</f>
        <v>9689.9096999999983</v>
      </c>
    </row>
    <row r="24" spans="1:5" x14ac:dyDescent="0.25">
      <c r="A24" s="20">
        <v>2</v>
      </c>
      <c r="B24" s="27" t="s">
        <v>26</v>
      </c>
      <c r="C24" s="20"/>
      <c r="D24" s="254">
        <f>74.71+2939.69</f>
        <v>3014.4</v>
      </c>
      <c r="E24" s="28"/>
    </row>
    <row r="25" spans="1:5" x14ac:dyDescent="0.25">
      <c r="A25" s="20">
        <v>3</v>
      </c>
      <c r="B25" s="27" t="s">
        <v>213</v>
      </c>
      <c r="C25" s="20"/>
      <c r="D25" s="254">
        <v>592.62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91472.37</v>
      </c>
      <c r="E26" s="26">
        <f>E27</f>
        <v>16036.990079999998</v>
      </c>
    </row>
    <row r="27" spans="1:5" x14ac:dyDescent="0.25">
      <c r="A27" s="20">
        <v>1</v>
      </c>
      <c r="B27" s="31" t="s">
        <v>229</v>
      </c>
      <c r="C27" s="20"/>
      <c r="D27" s="254">
        <v>79391.039999999994</v>
      </c>
      <c r="E27" s="28">
        <f>D27*20.2%</f>
        <v>16036.990079999998</v>
      </c>
    </row>
    <row r="28" spans="1:5" x14ac:dyDescent="0.25">
      <c r="A28" s="20">
        <v>2</v>
      </c>
      <c r="B28" s="31" t="s">
        <v>26</v>
      </c>
      <c r="C28" s="20"/>
      <c r="D28" s="420">
        <v>4320.33</v>
      </c>
      <c r="E28" s="20"/>
    </row>
    <row r="29" spans="1:5" x14ac:dyDescent="0.25">
      <c r="A29" s="20">
        <v>3</v>
      </c>
      <c r="B29" s="31" t="s">
        <v>64</v>
      </c>
      <c r="C29" s="20"/>
      <c r="D29" s="420">
        <v>7761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D31+D32+D33+D34+D35+D36+D37</f>
        <v>53702.99048</v>
      </c>
      <c r="E30" s="20"/>
    </row>
    <row r="31" spans="1:5" x14ac:dyDescent="0.25">
      <c r="A31" s="20"/>
      <c r="B31" s="20" t="s">
        <v>31</v>
      </c>
      <c r="C31" s="20"/>
      <c r="D31" s="28">
        <f>D18*4.7%</f>
        <v>16418.22048</v>
      </c>
      <c r="E31" s="20"/>
    </row>
    <row r="32" spans="1:5" x14ac:dyDescent="0.25">
      <c r="A32" s="20"/>
      <c r="B32" s="20" t="s">
        <v>57</v>
      </c>
      <c r="C32" s="20"/>
      <c r="D32" s="20">
        <v>2374.36</v>
      </c>
      <c r="E32" s="20"/>
    </row>
    <row r="33" spans="1:5" x14ac:dyDescent="0.25">
      <c r="A33" s="20"/>
      <c r="B33" s="20" t="s">
        <v>33</v>
      </c>
      <c r="C33" s="20"/>
      <c r="D33" s="28">
        <v>11752.09</v>
      </c>
      <c r="E33" s="20"/>
    </row>
    <row r="34" spans="1:5" x14ac:dyDescent="0.25">
      <c r="A34" s="20"/>
      <c r="B34" s="31" t="s">
        <v>131</v>
      </c>
      <c r="C34" s="20"/>
      <c r="D34" s="20">
        <v>172</v>
      </c>
      <c r="E34" s="20"/>
    </row>
    <row r="35" spans="1:5" x14ac:dyDescent="0.25">
      <c r="A35" s="20"/>
      <c r="B35" s="27" t="s">
        <v>35</v>
      </c>
      <c r="C35" s="20"/>
      <c r="D35" s="20">
        <v>7405.25</v>
      </c>
      <c r="E35" s="20"/>
    </row>
    <row r="36" spans="1:5" x14ac:dyDescent="0.25">
      <c r="A36" s="20"/>
      <c r="B36" s="27" t="s">
        <v>61</v>
      </c>
      <c r="C36" s="20"/>
      <c r="D36" s="20">
        <v>10064.5</v>
      </c>
      <c r="E36" s="20"/>
    </row>
    <row r="37" spans="1:5" x14ac:dyDescent="0.25">
      <c r="A37" s="20"/>
      <c r="B37" s="20" t="s">
        <v>37</v>
      </c>
      <c r="C37" s="20"/>
      <c r="D37" s="20">
        <v>5516.57</v>
      </c>
      <c r="E37" s="20"/>
    </row>
    <row r="38" spans="1:5" x14ac:dyDescent="0.25">
      <c r="A38" s="73" t="s">
        <v>82</v>
      </c>
      <c r="B38" s="22" t="s">
        <v>38</v>
      </c>
      <c r="C38" s="20"/>
      <c r="D38" s="26">
        <v>75825.850000000006</v>
      </c>
      <c r="E38" s="26"/>
    </row>
    <row r="39" spans="1:5" x14ac:dyDescent="0.25">
      <c r="A39" s="73" t="s">
        <v>83</v>
      </c>
      <c r="B39" s="22" t="s">
        <v>41</v>
      </c>
      <c r="C39" s="20"/>
      <c r="D39" s="26">
        <f>D21+E21+D26+E26+D30+D38+E38</f>
        <v>298304.98025999998</v>
      </c>
      <c r="E39" s="20"/>
    </row>
    <row r="40" spans="1:5" x14ac:dyDescent="0.25">
      <c r="A40" s="73" t="s">
        <v>84</v>
      </c>
      <c r="B40" s="20" t="s">
        <v>42</v>
      </c>
      <c r="C40" s="20"/>
      <c r="D40" s="26">
        <f>D18*6%</f>
        <v>20959.430400000001</v>
      </c>
      <c r="E40" s="20"/>
    </row>
    <row r="41" spans="1:5" x14ac:dyDescent="0.25">
      <c r="A41" s="73" t="s">
        <v>85</v>
      </c>
      <c r="B41" s="22" t="s">
        <v>43</v>
      </c>
      <c r="C41" s="20"/>
      <c r="D41" s="26">
        <f>D39+D40</f>
        <v>319264.41065999999</v>
      </c>
      <c r="E41" s="20"/>
    </row>
    <row r="42" spans="1:5" x14ac:dyDescent="0.25">
      <c r="A42" s="73"/>
      <c r="B42" s="20"/>
      <c r="C42" s="20"/>
      <c r="D42" s="20"/>
      <c r="E42" s="20"/>
    </row>
    <row r="43" spans="1:5" x14ac:dyDescent="0.25">
      <c r="A43" s="73" t="s">
        <v>86</v>
      </c>
      <c r="B43" s="22" t="s">
        <v>135</v>
      </c>
      <c r="C43" s="20"/>
      <c r="D43" s="26">
        <f>D18-D41</f>
        <v>30059.429340000032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D10+D43</f>
        <v>-32537.420659999967</v>
      </c>
      <c r="E44" s="20"/>
    </row>
    <row r="45" spans="1:5" x14ac:dyDescent="0.25">
      <c r="A45" s="34"/>
      <c r="B45" s="35"/>
      <c r="C45" s="34"/>
      <c r="D45" s="36"/>
      <c r="E45" s="34"/>
    </row>
    <row r="46" spans="1:5" x14ac:dyDescent="0.25">
      <c r="A46" s="37"/>
      <c r="B46" s="37" t="s">
        <v>45</v>
      </c>
      <c r="C46" s="37"/>
      <c r="D46" s="37" t="s">
        <v>46</v>
      </c>
      <c r="E46" s="37"/>
    </row>
    <row r="47" spans="1:5" x14ac:dyDescent="0.25">
      <c r="A47" s="37"/>
      <c r="B47" s="37" t="s">
        <v>47</v>
      </c>
      <c r="C47" s="37"/>
      <c r="D47" s="37" t="s">
        <v>48</v>
      </c>
      <c r="E47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2" workbookViewId="0">
      <selection activeCell="H33" sqref="H33:I46"/>
    </sheetView>
  </sheetViews>
  <sheetFormatPr defaultRowHeight="15" x14ac:dyDescent="0.25"/>
  <cols>
    <col min="1" max="1" width="6.42578125" customWidth="1"/>
    <col min="2" max="2" width="44.7109375" customWidth="1"/>
    <col min="4" max="4" width="11.140625" customWidth="1"/>
    <col min="5" max="5" width="11.28515625" customWidth="1"/>
  </cols>
  <sheetData>
    <row r="1" spans="1:5" ht="15.75" x14ac:dyDescent="0.25">
      <c r="A1" s="320"/>
      <c r="B1" s="321" t="s">
        <v>0</v>
      </c>
      <c r="C1" s="320"/>
      <c r="D1" s="320"/>
      <c r="E1" s="320"/>
    </row>
    <row r="2" spans="1:5" x14ac:dyDescent="0.25">
      <c r="A2" s="320"/>
      <c r="B2" s="320"/>
      <c r="C2" s="320"/>
      <c r="D2" s="320"/>
      <c r="E2" s="320"/>
    </row>
    <row r="3" spans="1:5" x14ac:dyDescent="0.25">
      <c r="A3" s="320"/>
      <c r="B3" s="320" t="s">
        <v>1</v>
      </c>
      <c r="C3" s="320"/>
      <c r="D3" s="320"/>
      <c r="E3" s="320"/>
    </row>
    <row r="4" spans="1:5" x14ac:dyDescent="0.25">
      <c r="A4" s="320"/>
      <c r="B4" s="457" t="s">
        <v>161</v>
      </c>
      <c r="C4" s="320"/>
      <c r="D4" s="320"/>
      <c r="E4" s="320"/>
    </row>
    <row r="5" spans="1:5" x14ac:dyDescent="0.25">
      <c r="A5" s="320"/>
      <c r="B5" s="320" t="s">
        <v>49</v>
      </c>
      <c r="C5" s="320"/>
      <c r="D5" s="320"/>
      <c r="E5" s="320"/>
    </row>
    <row r="6" spans="1:5" x14ac:dyDescent="0.25">
      <c r="A6" s="322"/>
      <c r="B6" s="322"/>
      <c r="C6" s="322"/>
      <c r="D6" s="323"/>
      <c r="E6" s="324"/>
    </row>
    <row r="7" spans="1:5" ht="15.75" x14ac:dyDescent="0.25">
      <c r="A7" s="325"/>
      <c r="B7" s="326" t="s">
        <v>3</v>
      </c>
      <c r="C7" s="327" t="s">
        <v>4</v>
      </c>
      <c r="D7" s="578" t="s">
        <v>5</v>
      </c>
      <c r="E7" s="579"/>
    </row>
    <row r="8" spans="1:5" ht="15.75" x14ac:dyDescent="0.25">
      <c r="A8" s="328"/>
      <c r="B8" s="326" t="s">
        <v>6</v>
      </c>
      <c r="C8" s="327" t="s">
        <v>7</v>
      </c>
      <c r="D8" s="580" t="s">
        <v>141</v>
      </c>
      <c r="E8" s="581"/>
    </row>
    <row r="9" spans="1:5" x14ac:dyDescent="0.25">
      <c r="A9" s="329"/>
      <c r="B9" s="329"/>
      <c r="C9" s="329"/>
      <c r="D9" s="330"/>
      <c r="E9" s="331"/>
    </row>
    <row r="10" spans="1:5" x14ac:dyDescent="0.25">
      <c r="A10" s="329"/>
      <c r="B10" s="332" t="s">
        <v>8</v>
      </c>
      <c r="C10" s="329"/>
      <c r="D10" s="330">
        <v>-188767.06</v>
      </c>
      <c r="E10" s="331"/>
    </row>
    <row r="11" spans="1:5" x14ac:dyDescent="0.25">
      <c r="A11" s="333"/>
      <c r="B11" s="334" t="s">
        <v>9</v>
      </c>
      <c r="C11" s="333" t="s">
        <v>10</v>
      </c>
      <c r="D11" s="333">
        <v>3614.7</v>
      </c>
      <c r="E11" s="333"/>
    </row>
    <row r="12" spans="1:5" x14ac:dyDescent="0.25">
      <c r="A12" s="333"/>
      <c r="B12" s="334" t="s">
        <v>11</v>
      </c>
      <c r="C12" s="333" t="s">
        <v>10</v>
      </c>
      <c r="D12" s="333">
        <v>2649.9</v>
      </c>
      <c r="E12" s="333"/>
    </row>
    <row r="13" spans="1:5" x14ac:dyDescent="0.25">
      <c r="A13" s="333"/>
      <c r="B13" s="335" t="s">
        <v>12</v>
      </c>
      <c r="C13" s="333" t="s">
        <v>53</v>
      </c>
      <c r="D13" s="336">
        <v>224328.72</v>
      </c>
      <c r="E13" s="333"/>
    </row>
    <row r="14" spans="1:5" x14ac:dyDescent="0.25">
      <c r="A14" s="333"/>
      <c r="B14" s="333"/>
      <c r="C14" s="333"/>
      <c r="D14" s="333"/>
      <c r="E14" s="333"/>
    </row>
    <row r="15" spans="1:5" ht="15.75" x14ac:dyDescent="0.25">
      <c r="A15" s="333"/>
      <c r="B15" s="337" t="s">
        <v>14</v>
      </c>
      <c r="C15" s="333"/>
      <c r="D15" s="333"/>
      <c r="E15" s="333"/>
    </row>
    <row r="16" spans="1:5" x14ac:dyDescent="0.25">
      <c r="A16" s="333">
        <v>1</v>
      </c>
      <c r="B16" s="333" t="s">
        <v>15</v>
      </c>
      <c r="C16" s="333" t="s">
        <v>13</v>
      </c>
      <c r="D16" s="333">
        <v>221711.62</v>
      </c>
      <c r="E16" s="333"/>
    </row>
    <row r="17" spans="1:5" x14ac:dyDescent="0.25">
      <c r="A17" s="333">
        <v>2</v>
      </c>
      <c r="B17" s="333" t="s">
        <v>92</v>
      </c>
      <c r="C17" s="333"/>
      <c r="D17" s="333">
        <v>7200</v>
      </c>
      <c r="E17" s="333"/>
    </row>
    <row r="18" spans="1:5" ht="15.75" x14ac:dyDescent="0.25">
      <c r="A18" s="333"/>
      <c r="B18" s="337" t="s">
        <v>17</v>
      </c>
      <c r="C18" s="333"/>
      <c r="D18" s="336">
        <f>D16+D17</f>
        <v>228911.62</v>
      </c>
      <c r="E18" s="333"/>
    </row>
    <row r="19" spans="1:5" ht="15.75" x14ac:dyDescent="0.25">
      <c r="A19" s="333"/>
      <c r="B19" s="337"/>
      <c r="C19" s="333"/>
      <c r="D19" s="336"/>
      <c r="E19" s="33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D22+D27+D26</f>
        <v>94669.59</v>
      </c>
      <c r="E21" s="26">
        <f>E22</f>
        <v>23610.326500000003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D23+D24+D25</f>
        <v>90115.75</v>
      </c>
      <c r="E22" s="26">
        <f>E23+E24+E25</f>
        <v>23610.326500000003</v>
      </c>
    </row>
    <row r="23" spans="1:5" x14ac:dyDescent="0.25">
      <c r="A23" s="20"/>
      <c r="B23" s="20" t="s">
        <v>23</v>
      </c>
      <c r="C23" s="20"/>
      <c r="D23" s="254">
        <v>27621.68</v>
      </c>
      <c r="E23" s="28">
        <f>D23*26.2%</f>
        <v>7236.8801600000006</v>
      </c>
    </row>
    <row r="24" spans="1:5" x14ac:dyDescent="0.25">
      <c r="A24" s="20"/>
      <c r="B24" s="20" t="s">
        <v>24</v>
      </c>
      <c r="C24" s="20"/>
      <c r="D24" s="254">
        <v>20314.21</v>
      </c>
      <c r="E24" s="28">
        <f>D24*26.2%</f>
        <v>5322.3230199999998</v>
      </c>
    </row>
    <row r="25" spans="1:5" x14ac:dyDescent="0.25">
      <c r="A25" s="20"/>
      <c r="B25" s="31" t="s">
        <v>25</v>
      </c>
      <c r="C25" s="20"/>
      <c r="D25" s="254">
        <v>42179.86</v>
      </c>
      <c r="E25" s="28">
        <f>D25*26.2%</f>
        <v>11051.123320000001</v>
      </c>
    </row>
    <row r="26" spans="1:5" x14ac:dyDescent="0.25">
      <c r="A26" s="20"/>
      <c r="B26" s="31" t="s">
        <v>75</v>
      </c>
      <c r="C26" s="20"/>
      <c r="D26" s="254">
        <v>815.03</v>
      </c>
      <c r="E26" s="28"/>
    </row>
    <row r="27" spans="1:5" x14ac:dyDescent="0.25">
      <c r="A27" s="20">
        <v>2</v>
      </c>
      <c r="B27" s="27" t="s">
        <v>26</v>
      </c>
      <c r="C27" s="20"/>
      <c r="D27" s="254">
        <f>3695.04+43.77</f>
        <v>3738.81</v>
      </c>
      <c r="E27" s="28"/>
    </row>
    <row r="28" spans="1:5" x14ac:dyDescent="0.25">
      <c r="A28" s="24" t="s">
        <v>27</v>
      </c>
      <c r="B28" s="30" t="s">
        <v>28</v>
      </c>
      <c r="C28" s="20"/>
      <c r="D28" s="22">
        <f>D29+D30+D31</f>
        <v>68407.94</v>
      </c>
      <c r="E28" s="26">
        <f>E29</f>
        <v>9515.5049199999994</v>
      </c>
    </row>
    <row r="29" spans="1:5" x14ac:dyDescent="0.25">
      <c r="A29" s="20">
        <v>1</v>
      </c>
      <c r="B29" s="31" t="s">
        <v>229</v>
      </c>
      <c r="C29" s="20"/>
      <c r="D29" s="254">
        <v>47106.46</v>
      </c>
      <c r="E29" s="28">
        <f>D29*20.2%</f>
        <v>9515.5049199999994</v>
      </c>
    </row>
    <row r="30" spans="1:5" x14ac:dyDescent="0.25">
      <c r="A30" s="20">
        <v>2</v>
      </c>
      <c r="B30" s="31" t="s">
        <v>26</v>
      </c>
      <c r="C30" s="20"/>
      <c r="D30" s="420">
        <v>10459.48</v>
      </c>
      <c r="E30" s="20"/>
    </row>
    <row r="31" spans="1:5" x14ac:dyDescent="0.25">
      <c r="A31" s="20">
        <v>3</v>
      </c>
      <c r="B31" s="31" t="s">
        <v>64</v>
      </c>
      <c r="C31" s="20"/>
      <c r="D31" s="420">
        <v>10842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D33+D34+D35+D36+D37+D38+D39</f>
        <v>26419.736140000001</v>
      </c>
      <c r="E32" s="20"/>
    </row>
    <row r="33" spans="1:5" x14ac:dyDescent="0.25">
      <c r="A33" s="20"/>
      <c r="B33" s="20" t="s">
        <v>31</v>
      </c>
      <c r="C33" s="20"/>
      <c r="D33" s="28">
        <f>D18*4.7%</f>
        <v>10758.84614</v>
      </c>
      <c r="E33" s="20"/>
    </row>
    <row r="34" spans="1:5" x14ac:dyDescent="0.25">
      <c r="A34" s="20"/>
      <c r="B34" s="20" t="s">
        <v>57</v>
      </c>
      <c r="C34" s="20"/>
      <c r="D34" s="20">
        <v>467.17</v>
      </c>
      <c r="E34" s="20"/>
    </row>
    <row r="35" spans="1:5" x14ac:dyDescent="0.25">
      <c r="A35" s="20"/>
      <c r="B35" s="20" t="s">
        <v>33</v>
      </c>
      <c r="C35" s="20"/>
      <c r="D35" s="28">
        <v>6885.68</v>
      </c>
      <c r="E35" s="20"/>
    </row>
    <row r="36" spans="1:5" x14ac:dyDescent="0.25">
      <c r="A36" s="20"/>
      <c r="B36" s="31" t="s">
        <v>131</v>
      </c>
      <c r="C36" s="20"/>
      <c r="D36" s="20">
        <v>172</v>
      </c>
      <c r="E36" s="20"/>
    </row>
    <row r="37" spans="1:5" x14ac:dyDescent="0.25">
      <c r="A37" s="20"/>
      <c r="B37" s="27" t="s">
        <v>35</v>
      </c>
      <c r="C37" s="20"/>
      <c r="D37" s="20">
        <v>4338.82</v>
      </c>
      <c r="E37" s="20"/>
    </row>
    <row r="38" spans="1:5" x14ac:dyDescent="0.25">
      <c r="A38" s="20"/>
      <c r="B38" s="20" t="s">
        <v>37</v>
      </c>
      <c r="C38" s="20"/>
      <c r="D38" s="20">
        <v>3232.22</v>
      </c>
      <c r="E38" s="20"/>
    </row>
    <row r="39" spans="1:5" x14ac:dyDescent="0.25">
      <c r="A39" s="20"/>
      <c r="B39" s="20" t="s">
        <v>241</v>
      </c>
      <c r="C39" s="20"/>
      <c r="D39" s="20">
        <v>565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44827.199999999997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D21+E21+D28+E28+D32+D40+E40</f>
        <v>267450.29755999998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D18*6%</f>
        <v>13734.697199999999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281184.99475999997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135</v>
      </c>
      <c r="C45" s="20"/>
      <c r="D45" s="26">
        <f>D18-D43</f>
        <v>-52273.374759999977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D10+D45</f>
        <v>-241040.43475999997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H31" sqref="H31:I44"/>
    </sheetView>
  </sheetViews>
  <sheetFormatPr defaultRowHeight="15" x14ac:dyDescent="0.25"/>
  <cols>
    <col min="2" max="2" width="42.5703125" customWidth="1"/>
    <col min="4" max="4" width="11.1406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207</v>
      </c>
    </row>
    <row r="5" spans="1:5" x14ac:dyDescent="0.25">
      <c r="A5" s="501"/>
      <c r="B5" s="501"/>
      <c r="C5" s="501"/>
      <c r="D5" s="471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0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0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8903.1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238604.42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86996.84</v>
      </c>
      <c r="E15" s="13"/>
    </row>
    <row r="16" spans="1:5" x14ac:dyDescent="0.25">
      <c r="A16" s="13">
        <v>2</v>
      </c>
      <c r="B16" s="13" t="s">
        <v>117</v>
      </c>
      <c r="C16" s="13"/>
      <c r="D16" s="13">
        <v>0</v>
      </c>
      <c r="E16" s="13"/>
    </row>
    <row r="17" spans="1:5" ht="15.75" x14ac:dyDescent="0.25">
      <c r="A17" s="13"/>
      <c r="B17" s="16" t="s">
        <v>17</v>
      </c>
      <c r="C17" s="13"/>
      <c r="D17" s="19">
        <f>D15+D16</f>
        <v>86996.84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D21+D24</f>
        <v>47212.9</v>
      </c>
      <c r="E20" s="26">
        <f>E21</f>
        <v>8945.2811399999991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</f>
        <v>44283.57</v>
      </c>
      <c r="E21" s="26">
        <f>E22+E23</f>
        <v>8945.2811399999991</v>
      </c>
    </row>
    <row r="22" spans="1:5" x14ac:dyDescent="0.25">
      <c r="A22" s="20"/>
      <c r="B22" s="20" t="s">
        <v>23</v>
      </c>
      <c r="C22" s="20"/>
      <c r="D22" s="20">
        <v>10552</v>
      </c>
      <c r="E22" s="28">
        <f>D22*20.2%</f>
        <v>2131.5039999999999</v>
      </c>
    </row>
    <row r="23" spans="1:5" x14ac:dyDescent="0.25">
      <c r="A23" s="20"/>
      <c r="B23" s="20" t="s">
        <v>24</v>
      </c>
      <c r="C23" s="20"/>
      <c r="D23" s="29">
        <v>33731.57</v>
      </c>
      <c r="E23" s="28">
        <f t="shared" ref="E23" si="0">D23*20.2%</f>
        <v>6813.7771399999992</v>
      </c>
    </row>
    <row r="24" spans="1:5" x14ac:dyDescent="0.25">
      <c r="A24" s="20">
        <v>2</v>
      </c>
      <c r="B24" s="27" t="s">
        <v>26</v>
      </c>
      <c r="C24" s="20"/>
      <c r="D24" s="20">
        <f>77.91+2851.42</f>
        <v>2929.33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</f>
        <v>24457.18</v>
      </c>
      <c r="E25" s="26">
        <f>E26</f>
        <v>4825.2164199999997</v>
      </c>
    </row>
    <row r="26" spans="1:5" x14ac:dyDescent="0.25">
      <c r="A26" s="20">
        <v>1</v>
      </c>
      <c r="B26" s="31" t="s">
        <v>229</v>
      </c>
      <c r="C26" s="20"/>
      <c r="D26" s="31">
        <v>23887.21</v>
      </c>
      <c r="E26" s="28">
        <f>D26*20.2%</f>
        <v>4825.2164199999997</v>
      </c>
    </row>
    <row r="27" spans="1:5" x14ac:dyDescent="0.25">
      <c r="A27" s="20">
        <v>2</v>
      </c>
      <c r="B27" s="31" t="s">
        <v>26</v>
      </c>
      <c r="C27" s="20"/>
      <c r="D27" s="31">
        <v>569.97</v>
      </c>
      <c r="E27" s="20"/>
    </row>
    <row r="28" spans="1:5" x14ac:dyDescent="0.25">
      <c r="A28" s="24" t="s">
        <v>29</v>
      </c>
      <c r="B28" s="22" t="s">
        <v>30</v>
      </c>
      <c r="C28" s="20"/>
      <c r="D28" s="26">
        <f>D29+D30+D31+D32+D33</f>
        <v>20059.70148</v>
      </c>
      <c r="E28" s="20"/>
    </row>
    <row r="29" spans="1:5" x14ac:dyDescent="0.25">
      <c r="A29" s="20"/>
      <c r="B29" s="20" t="s">
        <v>31</v>
      </c>
      <c r="C29" s="20"/>
      <c r="D29" s="28">
        <f>D17*4.7%</f>
        <v>4088.8514799999998</v>
      </c>
      <c r="E29" s="20"/>
    </row>
    <row r="30" spans="1:5" x14ac:dyDescent="0.25">
      <c r="A30" s="20"/>
      <c r="B30" s="20" t="s">
        <v>33</v>
      </c>
      <c r="C30" s="20"/>
      <c r="D30" s="28">
        <v>3659.31</v>
      </c>
      <c r="E30" s="20"/>
    </row>
    <row r="31" spans="1:5" x14ac:dyDescent="0.25">
      <c r="A31" s="20"/>
      <c r="B31" s="27" t="s">
        <v>35</v>
      </c>
      <c r="C31" s="20"/>
      <c r="D31" s="20">
        <v>88.75</v>
      </c>
      <c r="E31" s="20"/>
    </row>
    <row r="32" spans="1:5" x14ac:dyDescent="0.25">
      <c r="A32" s="20"/>
      <c r="B32" s="27" t="s">
        <v>240</v>
      </c>
      <c r="C32" s="20"/>
      <c r="D32" s="20">
        <v>10795.2</v>
      </c>
      <c r="E32" s="20"/>
    </row>
    <row r="33" spans="1:5" x14ac:dyDescent="0.25">
      <c r="A33" s="20"/>
      <c r="B33" s="31" t="s">
        <v>37</v>
      </c>
      <c r="C33" s="20"/>
      <c r="D33" s="20">
        <v>1427.59</v>
      </c>
      <c r="E33" s="20"/>
    </row>
    <row r="34" spans="1:5" x14ac:dyDescent="0.25">
      <c r="A34" s="73" t="s">
        <v>82</v>
      </c>
      <c r="B34" s="22" t="s">
        <v>38</v>
      </c>
      <c r="C34" s="20"/>
      <c r="D34" s="26">
        <v>24095.66</v>
      </c>
      <c r="E34" s="26"/>
    </row>
    <row r="35" spans="1:5" x14ac:dyDescent="0.25">
      <c r="A35" s="73" t="s">
        <v>83</v>
      </c>
      <c r="B35" s="22" t="s">
        <v>41</v>
      </c>
      <c r="C35" s="20"/>
      <c r="D35" s="26">
        <f>D20+E20+D25+E25+D28+D34+E34</f>
        <v>129595.93904</v>
      </c>
      <c r="E35" s="20"/>
    </row>
    <row r="36" spans="1:5" x14ac:dyDescent="0.25">
      <c r="A36" s="73" t="s">
        <v>84</v>
      </c>
      <c r="B36" s="20" t="s">
        <v>42</v>
      </c>
      <c r="C36" s="20"/>
      <c r="D36" s="26">
        <f>D17*6%</f>
        <v>5219.8103999999994</v>
      </c>
      <c r="E36" s="20"/>
    </row>
    <row r="37" spans="1:5" x14ac:dyDescent="0.25">
      <c r="A37" s="73" t="s">
        <v>85</v>
      </c>
      <c r="B37" s="22" t="s">
        <v>43</v>
      </c>
      <c r="C37" s="20"/>
      <c r="D37" s="26">
        <f>D35+D36</f>
        <v>134815.74943999999</v>
      </c>
      <c r="E37" s="20"/>
    </row>
    <row r="38" spans="1:5" x14ac:dyDescent="0.25">
      <c r="A38" s="73"/>
      <c r="B38" s="20"/>
      <c r="C38" s="20"/>
      <c r="D38" s="20"/>
      <c r="E38" s="20"/>
    </row>
    <row r="39" spans="1:5" x14ac:dyDescent="0.25">
      <c r="A39" s="73" t="s">
        <v>86</v>
      </c>
      <c r="B39" s="22" t="s">
        <v>135</v>
      </c>
      <c r="C39" s="20"/>
      <c r="D39" s="26">
        <f>D17-D37</f>
        <v>-47818.909439999989</v>
      </c>
      <c r="E39" s="20"/>
    </row>
    <row r="40" spans="1:5" x14ac:dyDescent="0.25">
      <c r="A40" s="73" t="s">
        <v>87</v>
      </c>
      <c r="B40" s="22" t="s">
        <v>44</v>
      </c>
      <c r="C40" s="20"/>
      <c r="D40" s="26">
        <f>D9+D39</f>
        <v>-47818.909439999989</v>
      </c>
      <c r="E40" s="20"/>
    </row>
    <row r="41" spans="1:5" x14ac:dyDescent="0.25">
      <c r="A41" s="34"/>
      <c r="B41" s="35"/>
      <c r="C41" s="34"/>
      <c r="D41" s="36"/>
      <c r="E41" s="34"/>
    </row>
    <row r="42" spans="1:5" x14ac:dyDescent="0.25">
      <c r="A42" s="37"/>
      <c r="B42" s="37" t="s">
        <v>45</v>
      </c>
      <c r="C42" s="37"/>
      <c r="D42" s="37" t="s">
        <v>46</v>
      </c>
      <c r="E42" s="37"/>
    </row>
    <row r="43" spans="1:5" x14ac:dyDescent="0.25">
      <c r="A43" s="37"/>
      <c r="B43" s="37" t="s">
        <v>47</v>
      </c>
      <c r="C43" s="37"/>
      <c r="D43" s="37" t="s">
        <v>48</v>
      </c>
      <c r="E43" s="37"/>
    </row>
  </sheetData>
  <mergeCells count="3">
    <mergeCell ref="A5:C5"/>
    <mergeCell ref="D6:E6"/>
    <mergeCell ref="D7:E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" workbookViewId="0">
      <selection activeCell="H27" sqref="H27:I39"/>
    </sheetView>
  </sheetViews>
  <sheetFormatPr defaultRowHeight="15" x14ac:dyDescent="0.25"/>
  <cols>
    <col min="1" max="1" width="7.85546875" customWidth="1"/>
    <col min="2" max="2" width="40.42578125" customWidth="1"/>
    <col min="4" max="4" width="11.140625" customWidth="1"/>
    <col min="5" max="5" width="10.5703125" customWidth="1"/>
  </cols>
  <sheetData>
    <row r="1" spans="1:5" ht="15.75" x14ac:dyDescent="0.25">
      <c r="A1" s="338"/>
      <c r="B1" s="339" t="s">
        <v>0</v>
      </c>
      <c r="C1" s="338"/>
      <c r="D1" s="338"/>
      <c r="E1" s="338"/>
    </row>
    <row r="2" spans="1:5" x14ac:dyDescent="0.25">
      <c r="A2" s="338"/>
      <c r="B2" s="338" t="s">
        <v>1</v>
      </c>
      <c r="C2" s="338"/>
      <c r="D2" s="338"/>
      <c r="E2" s="338"/>
    </row>
    <row r="3" spans="1:5" x14ac:dyDescent="0.25">
      <c r="A3" s="338"/>
      <c r="B3" s="458" t="s">
        <v>162</v>
      </c>
      <c r="C3" s="338"/>
      <c r="D3" s="338"/>
      <c r="E3" s="338"/>
    </row>
    <row r="4" spans="1:5" x14ac:dyDescent="0.25">
      <c r="A4" s="582"/>
      <c r="B4" s="582"/>
      <c r="C4" s="582"/>
      <c r="D4" s="395"/>
      <c r="E4" s="340"/>
    </row>
    <row r="5" spans="1:5" ht="15.75" x14ac:dyDescent="0.25">
      <c r="A5" s="489"/>
      <c r="B5" s="490" t="s">
        <v>3</v>
      </c>
      <c r="C5" s="491" t="s">
        <v>4</v>
      </c>
      <c r="D5" s="583" t="s">
        <v>5</v>
      </c>
      <c r="E5" s="584"/>
    </row>
    <row r="6" spans="1:5" ht="15.75" x14ac:dyDescent="0.25">
      <c r="A6" s="343"/>
      <c r="B6" s="341" t="s">
        <v>6</v>
      </c>
      <c r="C6" s="342" t="s">
        <v>7</v>
      </c>
      <c r="D6" s="585" t="s">
        <v>152</v>
      </c>
      <c r="E6" s="586"/>
    </row>
    <row r="7" spans="1:5" x14ac:dyDescent="0.25">
      <c r="A7" s="344"/>
      <c r="B7" s="345" t="s">
        <v>8</v>
      </c>
      <c r="C7" s="344"/>
      <c r="D7" s="492">
        <v>-329880.11</v>
      </c>
      <c r="E7" s="493"/>
    </row>
    <row r="8" spans="1:5" x14ac:dyDescent="0.25">
      <c r="A8" s="344"/>
      <c r="B8" s="345" t="s">
        <v>9</v>
      </c>
      <c r="C8" s="344" t="s">
        <v>10</v>
      </c>
      <c r="D8" s="344">
        <v>5453.7</v>
      </c>
      <c r="E8" s="344"/>
    </row>
    <row r="9" spans="1:5" x14ac:dyDescent="0.25">
      <c r="A9" s="344"/>
      <c r="B9" s="345" t="s">
        <v>11</v>
      </c>
      <c r="C9" s="344" t="s">
        <v>10</v>
      </c>
      <c r="D9" s="344">
        <v>4435.2</v>
      </c>
      <c r="E9" s="344"/>
    </row>
    <row r="10" spans="1:5" x14ac:dyDescent="0.25">
      <c r="A10" s="344"/>
      <c r="B10" s="346" t="s">
        <v>12</v>
      </c>
      <c r="C10" s="344" t="s">
        <v>53</v>
      </c>
      <c r="D10" s="347">
        <v>622014.88</v>
      </c>
      <c r="E10" s="344"/>
    </row>
    <row r="11" spans="1:5" x14ac:dyDescent="0.25">
      <c r="A11" s="344"/>
      <c r="B11" s="344"/>
      <c r="C11" s="344"/>
      <c r="D11" s="344"/>
      <c r="E11" s="344"/>
    </row>
    <row r="12" spans="1:5" ht="15.75" x14ac:dyDescent="0.25">
      <c r="A12" s="344"/>
      <c r="B12" s="348" t="s">
        <v>14</v>
      </c>
      <c r="C12" s="344"/>
      <c r="D12" s="344"/>
      <c r="E12" s="344"/>
    </row>
    <row r="13" spans="1:5" x14ac:dyDescent="0.25">
      <c r="A13" s="344">
        <v>1</v>
      </c>
      <c r="B13" s="344" t="s">
        <v>15</v>
      </c>
      <c r="C13" s="344" t="s">
        <v>13</v>
      </c>
      <c r="D13" s="344">
        <v>497993.44</v>
      </c>
      <c r="E13" s="344"/>
    </row>
    <row r="14" spans="1:5" x14ac:dyDescent="0.25">
      <c r="A14" s="344">
        <v>2</v>
      </c>
      <c r="B14" s="459" t="s">
        <v>16</v>
      </c>
      <c r="C14" s="344"/>
      <c r="D14" s="344">
        <v>106066.95</v>
      </c>
      <c r="E14" s="344"/>
    </row>
    <row r="15" spans="1:5" x14ac:dyDescent="0.25">
      <c r="A15" s="344">
        <v>3</v>
      </c>
      <c r="B15" s="344" t="s">
        <v>92</v>
      </c>
      <c r="C15" s="344"/>
      <c r="D15" s="344">
        <v>9600</v>
      </c>
      <c r="E15" s="344"/>
    </row>
    <row r="16" spans="1:5" ht="15.75" x14ac:dyDescent="0.25">
      <c r="A16" s="344"/>
      <c r="B16" s="348" t="s">
        <v>17</v>
      </c>
      <c r="C16" s="344"/>
      <c r="D16" s="347">
        <f>D13+D15+D14</f>
        <v>613660.39</v>
      </c>
      <c r="E16" s="344"/>
    </row>
    <row r="17" spans="1:5" ht="15.75" x14ac:dyDescent="0.25">
      <c r="A17" s="344"/>
      <c r="B17" s="348"/>
      <c r="C17" s="344"/>
      <c r="D17" s="347"/>
      <c r="E17" s="344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D20+D26+D24+D25</f>
        <v>162179.31</v>
      </c>
      <c r="E19" s="26">
        <f>E20</f>
        <v>30907.688719999998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153008.35999999999</v>
      </c>
      <c r="E20" s="26">
        <f>E21+E22+E23</f>
        <v>30907.688719999998</v>
      </c>
    </row>
    <row r="21" spans="1:5" x14ac:dyDescent="0.25">
      <c r="A21" s="20"/>
      <c r="B21" s="20" t="s">
        <v>23</v>
      </c>
      <c r="C21" s="20"/>
      <c r="D21" s="254">
        <v>37299.29</v>
      </c>
      <c r="E21" s="28">
        <f>D21*20.2%</f>
        <v>7534.45658</v>
      </c>
    </row>
    <row r="22" spans="1:5" x14ac:dyDescent="0.25">
      <c r="A22" s="20"/>
      <c r="B22" s="20" t="s">
        <v>24</v>
      </c>
      <c r="C22" s="20"/>
      <c r="D22" s="254">
        <v>44370.58</v>
      </c>
      <c r="E22" s="28">
        <f t="shared" ref="E22:E23" si="0">D22*20.2%</f>
        <v>8962.8571599999996</v>
      </c>
    </row>
    <row r="23" spans="1:5" x14ac:dyDescent="0.25">
      <c r="A23" s="20"/>
      <c r="B23" s="20" t="s">
        <v>25</v>
      </c>
      <c r="C23" s="20"/>
      <c r="D23" s="254">
        <v>71338.490000000005</v>
      </c>
      <c r="E23" s="28">
        <f t="shared" si="0"/>
        <v>14410.374980000001</v>
      </c>
    </row>
    <row r="24" spans="1:5" x14ac:dyDescent="0.25">
      <c r="A24" s="20"/>
      <c r="B24" s="31" t="s">
        <v>75</v>
      </c>
      <c r="C24" s="20"/>
      <c r="D24" s="254">
        <v>2512.0700000000002</v>
      </c>
      <c r="E24" s="28"/>
    </row>
    <row r="25" spans="1:5" x14ac:dyDescent="0.25">
      <c r="A25" s="20">
        <v>2</v>
      </c>
      <c r="B25" s="31" t="s">
        <v>212</v>
      </c>
      <c r="C25" s="20"/>
      <c r="D25" s="254">
        <v>1872.53</v>
      </c>
      <c r="E25" s="28"/>
    </row>
    <row r="26" spans="1:5" x14ac:dyDescent="0.25">
      <c r="A26" s="20">
        <v>3</v>
      </c>
      <c r="B26" s="27" t="s">
        <v>26</v>
      </c>
      <c r="C26" s="20"/>
      <c r="D26" s="254">
        <f>73.26+4713.09</f>
        <v>4786.3500000000004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97643.760000000009</v>
      </c>
      <c r="E27" s="26">
        <f>E28</f>
        <v>15726.726159999998</v>
      </c>
    </row>
    <row r="28" spans="1:5" x14ac:dyDescent="0.25">
      <c r="A28" s="20">
        <v>1</v>
      </c>
      <c r="B28" s="31" t="s">
        <v>229</v>
      </c>
      <c r="C28" s="20"/>
      <c r="D28" s="254">
        <v>77855.08</v>
      </c>
      <c r="E28" s="28">
        <f>D28*20.2%</f>
        <v>15726.726159999998</v>
      </c>
    </row>
    <row r="29" spans="1:5" x14ac:dyDescent="0.25">
      <c r="A29" s="20">
        <v>2</v>
      </c>
      <c r="B29" s="31" t="s">
        <v>26</v>
      </c>
      <c r="C29" s="20"/>
      <c r="D29" s="420">
        <v>10692.68</v>
      </c>
      <c r="E29" s="20"/>
    </row>
    <row r="30" spans="1:5" x14ac:dyDescent="0.25">
      <c r="A30" s="20">
        <v>3</v>
      </c>
      <c r="B30" s="31" t="s">
        <v>64</v>
      </c>
      <c r="C30" s="20"/>
      <c r="D30" s="420">
        <v>9096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</f>
        <v>58297.718329999989</v>
      </c>
      <c r="E31" s="20"/>
    </row>
    <row r="32" spans="1:5" x14ac:dyDescent="0.25">
      <c r="A32" s="20"/>
      <c r="B32" s="20" t="s">
        <v>31</v>
      </c>
      <c r="C32" s="20"/>
      <c r="D32" s="28">
        <f>D16*4.7%</f>
        <v>28842.038329999999</v>
      </c>
      <c r="E32" s="20"/>
    </row>
    <row r="33" spans="1:5" x14ac:dyDescent="0.25">
      <c r="A33" s="20"/>
      <c r="B33" s="20" t="s">
        <v>57</v>
      </c>
      <c r="C33" s="20"/>
      <c r="D33" s="20">
        <v>1407.13</v>
      </c>
      <c r="E33" s="20"/>
    </row>
    <row r="34" spans="1:5" x14ac:dyDescent="0.25">
      <c r="A34" s="20"/>
      <c r="B34" s="31" t="s">
        <v>33</v>
      </c>
      <c r="C34" s="20"/>
      <c r="D34" s="28">
        <v>11524.73</v>
      </c>
      <c r="E34" s="20"/>
    </row>
    <row r="35" spans="1:5" x14ac:dyDescent="0.25">
      <c r="A35" s="20"/>
      <c r="B35" s="31" t="s">
        <v>130</v>
      </c>
      <c r="C35" s="20"/>
      <c r="D35" s="28">
        <f>2000+1680</f>
        <v>3680</v>
      </c>
      <c r="E35" s="20"/>
    </row>
    <row r="36" spans="1:5" x14ac:dyDescent="0.25">
      <c r="A36" s="20"/>
      <c r="B36" s="31" t="s">
        <v>131</v>
      </c>
      <c r="C36" s="20"/>
      <c r="D36" s="20">
        <v>172</v>
      </c>
      <c r="E36" s="20"/>
    </row>
    <row r="37" spans="1:5" x14ac:dyDescent="0.25">
      <c r="A37" s="20"/>
      <c r="B37" s="27" t="s">
        <v>35</v>
      </c>
      <c r="C37" s="20"/>
      <c r="D37" s="20">
        <v>7261.98</v>
      </c>
      <c r="E37" s="20"/>
    </row>
    <row r="38" spans="1:5" x14ac:dyDescent="0.25">
      <c r="A38" s="20"/>
      <c r="B38" s="31" t="s">
        <v>37</v>
      </c>
      <c r="C38" s="20"/>
      <c r="D38" s="20">
        <v>5409.84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73316.91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D19+E19+D27+E27+D31+D39+E39</f>
        <v>438072.1132100001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D16*6%</f>
        <v>36819.623399999997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474891.73661000008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D13+D15-D42+11349.16</f>
        <v>44050.863389999926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D7+D44+11349.16</f>
        <v>-274480.08661000006</v>
      </c>
      <c r="E45" s="20"/>
    </row>
    <row r="46" spans="1:5" x14ac:dyDescent="0.25">
      <c r="A46" s="447"/>
      <c r="B46" s="35" t="s">
        <v>16</v>
      </c>
      <c r="C46" s="34"/>
      <c r="D46" s="36">
        <f>D14</f>
        <v>106066.95</v>
      </c>
      <c r="E46" s="34"/>
    </row>
    <row r="47" spans="1:5" x14ac:dyDescent="0.25">
      <c r="A47" s="34"/>
      <c r="B47" s="35" t="s">
        <v>226</v>
      </c>
      <c r="C47" s="34"/>
      <c r="D47" s="36">
        <f>847.5+11349.16</f>
        <v>12196.66</v>
      </c>
      <c r="E47" s="34"/>
    </row>
    <row r="48" spans="1:5" x14ac:dyDescent="0.25">
      <c r="A48" s="34"/>
      <c r="B48" s="35" t="s">
        <v>115</v>
      </c>
      <c r="C48" s="34"/>
      <c r="D48" s="36">
        <f>D46-D47</f>
        <v>93870.29</v>
      </c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3">
    <mergeCell ref="A4:C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0" workbookViewId="0">
      <selection activeCell="H26" sqref="H26:J39"/>
    </sheetView>
  </sheetViews>
  <sheetFormatPr defaultRowHeight="15" x14ac:dyDescent="0.25"/>
  <cols>
    <col min="1" max="1" width="7.140625" customWidth="1"/>
    <col min="2" max="2" width="41.5703125" customWidth="1"/>
    <col min="4" max="4" width="11.140625" customWidth="1"/>
    <col min="5" max="5" width="11" customWidth="1"/>
  </cols>
  <sheetData>
    <row r="1" spans="1:5" ht="15.75" x14ac:dyDescent="0.25">
      <c r="A1" s="349"/>
      <c r="B1" s="350" t="s">
        <v>0</v>
      </c>
      <c r="C1" s="349"/>
      <c r="D1" s="349"/>
      <c r="E1" s="349"/>
    </row>
    <row r="2" spans="1:5" x14ac:dyDescent="0.25">
      <c r="A2" s="349"/>
      <c r="B2" s="349"/>
      <c r="C2" s="349"/>
      <c r="D2" s="349"/>
      <c r="E2" s="349"/>
    </row>
    <row r="3" spans="1:5" x14ac:dyDescent="0.25">
      <c r="A3" s="349"/>
      <c r="B3" s="349" t="s">
        <v>1</v>
      </c>
      <c r="C3" s="349"/>
      <c r="D3" s="349"/>
      <c r="E3" s="349"/>
    </row>
    <row r="4" spans="1:5" x14ac:dyDescent="0.25">
      <c r="A4" s="349"/>
      <c r="B4" s="460" t="s">
        <v>163</v>
      </c>
      <c r="C4" s="349"/>
      <c r="D4" s="349"/>
      <c r="E4" s="349"/>
    </row>
    <row r="5" spans="1:5" x14ac:dyDescent="0.25">
      <c r="A5" s="587"/>
      <c r="B5" s="587"/>
      <c r="C5" s="587"/>
      <c r="D5" s="396"/>
      <c r="E5" s="351"/>
    </row>
    <row r="6" spans="1:5" ht="15.75" x14ac:dyDescent="0.25">
      <c r="A6" s="352"/>
      <c r="B6" s="353" t="s">
        <v>3</v>
      </c>
      <c r="C6" s="354" t="s">
        <v>4</v>
      </c>
      <c r="D6" s="588" t="s">
        <v>5</v>
      </c>
      <c r="E6" s="589"/>
    </row>
    <row r="7" spans="1:5" ht="15.75" x14ac:dyDescent="0.25">
      <c r="A7" s="355"/>
      <c r="B7" s="353" t="s">
        <v>6</v>
      </c>
      <c r="C7" s="354" t="s">
        <v>7</v>
      </c>
      <c r="D7" s="590" t="s">
        <v>152</v>
      </c>
      <c r="E7" s="591"/>
    </row>
    <row r="8" spans="1:5" x14ac:dyDescent="0.25">
      <c r="A8" s="356"/>
      <c r="B8" s="356"/>
      <c r="C8" s="356"/>
      <c r="D8" s="357"/>
      <c r="E8" s="358"/>
    </row>
    <row r="9" spans="1:5" x14ac:dyDescent="0.25">
      <c r="A9" s="356"/>
      <c r="B9" s="12" t="s">
        <v>100</v>
      </c>
      <c r="C9" s="356"/>
      <c r="D9" s="357">
        <v>-105800.76</v>
      </c>
      <c r="E9" s="358"/>
    </row>
    <row r="10" spans="1:5" x14ac:dyDescent="0.25">
      <c r="A10" s="356"/>
      <c r="B10" s="12" t="s">
        <v>101</v>
      </c>
      <c r="C10" s="356"/>
      <c r="D10" s="357">
        <v>-12110.53</v>
      </c>
      <c r="E10" s="358"/>
    </row>
    <row r="11" spans="1:5" x14ac:dyDescent="0.25">
      <c r="A11" s="359"/>
      <c r="B11" s="360" t="s">
        <v>9</v>
      </c>
      <c r="C11" s="359" t="s">
        <v>10</v>
      </c>
      <c r="D11" s="359">
        <v>3607.56</v>
      </c>
      <c r="E11" s="359"/>
    </row>
    <row r="12" spans="1:5" x14ac:dyDescent="0.25">
      <c r="A12" s="359"/>
      <c r="B12" s="360" t="s">
        <v>11</v>
      </c>
      <c r="C12" s="359" t="s">
        <v>10</v>
      </c>
      <c r="D12" s="359">
        <v>2560.3000000000002</v>
      </c>
      <c r="E12" s="359"/>
    </row>
    <row r="13" spans="1:5" x14ac:dyDescent="0.25">
      <c r="A13" s="359"/>
      <c r="B13" s="361" t="s">
        <v>12</v>
      </c>
      <c r="C13" s="359" t="s">
        <v>53</v>
      </c>
      <c r="D13" s="362">
        <v>378192.09</v>
      </c>
      <c r="E13" s="359"/>
    </row>
    <row r="14" spans="1:5" ht="15.75" x14ac:dyDescent="0.25">
      <c r="A14" s="359"/>
      <c r="B14" s="363" t="s">
        <v>14</v>
      </c>
      <c r="C14" s="359"/>
      <c r="D14" s="359"/>
      <c r="E14" s="359"/>
    </row>
    <row r="15" spans="1:5" x14ac:dyDescent="0.25">
      <c r="A15" s="359">
        <v>1</v>
      </c>
      <c r="B15" s="359" t="s">
        <v>15</v>
      </c>
      <c r="C15" s="359" t="s">
        <v>13</v>
      </c>
      <c r="D15" s="359">
        <v>272869.92</v>
      </c>
      <c r="E15" s="359"/>
    </row>
    <row r="16" spans="1:5" x14ac:dyDescent="0.25">
      <c r="A16" s="359">
        <v>2</v>
      </c>
      <c r="B16" s="424" t="s">
        <v>16</v>
      </c>
      <c r="C16" s="359"/>
      <c r="D16" s="359">
        <v>97530.46</v>
      </c>
      <c r="E16" s="359"/>
    </row>
    <row r="17" spans="1:5" x14ac:dyDescent="0.25">
      <c r="A17" s="359">
        <v>3</v>
      </c>
      <c r="B17" s="424" t="s">
        <v>92</v>
      </c>
      <c r="C17" s="359"/>
      <c r="D17" s="359">
        <v>7200</v>
      </c>
      <c r="E17" s="359"/>
    </row>
    <row r="18" spans="1:5" ht="15.75" x14ac:dyDescent="0.25">
      <c r="A18" s="359"/>
      <c r="B18" s="363" t="s">
        <v>17</v>
      </c>
      <c r="C18" s="359"/>
      <c r="D18" s="362">
        <f>D15+D16+D17</f>
        <v>377600.38</v>
      </c>
      <c r="E18" s="359"/>
    </row>
    <row r="19" spans="1:5" ht="15.75" x14ac:dyDescent="0.25">
      <c r="A19" s="359"/>
      <c r="B19" s="363"/>
      <c r="C19" s="359"/>
      <c r="D19" s="362"/>
      <c r="E19" s="359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D22+D28+D26+D27</f>
        <v>84929.98000000001</v>
      </c>
      <c r="E21" s="26">
        <f>E22</f>
        <v>15961.949099999998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D23+D24+D25</f>
        <v>79019.55</v>
      </c>
      <c r="E22" s="26">
        <f>E23+E24+E25</f>
        <v>15961.949099999998</v>
      </c>
    </row>
    <row r="23" spans="1:5" x14ac:dyDescent="0.25">
      <c r="A23" s="20"/>
      <c r="B23" s="20" t="s">
        <v>23</v>
      </c>
      <c r="C23" s="20"/>
      <c r="D23" s="254">
        <v>12358.29</v>
      </c>
      <c r="E23" s="28">
        <f>D23*20.2%</f>
        <v>2496.3745800000002</v>
      </c>
    </row>
    <row r="24" spans="1:5" x14ac:dyDescent="0.25">
      <c r="A24" s="20"/>
      <c r="B24" s="20" t="s">
        <v>24</v>
      </c>
      <c r="C24" s="20"/>
      <c r="D24" s="254">
        <v>25579.119999999999</v>
      </c>
      <c r="E24" s="28">
        <f t="shared" ref="E24:E25" si="0">D24*20.2%</f>
        <v>5166.9822399999994</v>
      </c>
    </row>
    <row r="25" spans="1:5" x14ac:dyDescent="0.25">
      <c r="A25" s="20"/>
      <c r="B25" s="20" t="s">
        <v>25</v>
      </c>
      <c r="C25" s="20"/>
      <c r="D25" s="254">
        <v>41082.14</v>
      </c>
      <c r="E25" s="28">
        <f t="shared" si="0"/>
        <v>8298.5922799999989</v>
      </c>
    </row>
    <row r="26" spans="1:5" x14ac:dyDescent="0.25">
      <c r="A26" s="20"/>
      <c r="B26" s="31" t="s">
        <v>75</v>
      </c>
      <c r="C26" s="20"/>
      <c r="D26" s="254">
        <v>560.66</v>
      </c>
      <c r="E26" s="28"/>
    </row>
    <row r="27" spans="1:5" x14ac:dyDescent="0.25">
      <c r="A27" s="20">
        <v>2</v>
      </c>
      <c r="B27" s="31" t="s">
        <v>212</v>
      </c>
      <c r="C27" s="20"/>
      <c r="D27" s="254">
        <v>1446.31</v>
      </c>
      <c r="E27" s="28"/>
    </row>
    <row r="28" spans="1:5" x14ac:dyDescent="0.25">
      <c r="A28" s="20">
        <v>3</v>
      </c>
      <c r="B28" s="27" t="s">
        <v>26</v>
      </c>
      <c r="C28" s="20"/>
      <c r="D28" s="254">
        <f>42.5+3860.96</f>
        <v>3903.46</v>
      </c>
      <c r="E28" s="28"/>
    </row>
    <row r="29" spans="1:5" x14ac:dyDescent="0.25">
      <c r="A29" s="24" t="s">
        <v>27</v>
      </c>
      <c r="B29" s="30" t="s">
        <v>28</v>
      </c>
      <c r="C29" s="20"/>
      <c r="D29" s="22">
        <f>D30+D31+D32</f>
        <v>73335.350000000006</v>
      </c>
      <c r="E29" s="26">
        <f>E30</f>
        <v>9123.2168799999999</v>
      </c>
    </row>
    <row r="30" spans="1:5" x14ac:dyDescent="0.25">
      <c r="A30" s="20">
        <v>1</v>
      </c>
      <c r="B30" s="31" t="s">
        <v>229</v>
      </c>
      <c r="C30" s="20"/>
      <c r="D30" s="254">
        <v>45164.44</v>
      </c>
      <c r="E30" s="28">
        <f>D30*20.2%</f>
        <v>9123.2168799999999</v>
      </c>
    </row>
    <row r="31" spans="1:5" x14ac:dyDescent="0.25">
      <c r="A31" s="20">
        <v>2</v>
      </c>
      <c r="B31" s="31" t="s">
        <v>26</v>
      </c>
      <c r="C31" s="20"/>
      <c r="D31" s="420">
        <v>17328.91</v>
      </c>
      <c r="E31" s="20"/>
    </row>
    <row r="32" spans="1:5" x14ac:dyDescent="0.25">
      <c r="A32" s="20">
        <v>3</v>
      </c>
      <c r="B32" s="31" t="s">
        <v>64</v>
      </c>
      <c r="C32" s="20"/>
      <c r="D32" s="420">
        <v>10842</v>
      </c>
      <c r="E32" s="20"/>
    </row>
    <row r="33" spans="1:5" x14ac:dyDescent="0.25">
      <c r="A33" s="24" t="s">
        <v>29</v>
      </c>
      <c r="B33" s="22" t="s">
        <v>30</v>
      </c>
      <c r="C33" s="20"/>
      <c r="D33" s="26">
        <f>D34+D35+D36+D37+D38+D39+D40</f>
        <v>37356.188999999998</v>
      </c>
      <c r="E33" s="20"/>
    </row>
    <row r="34" spans="1:5" x14ac:dyDescent="0.25">
      <c r="A34" s="20"/>
      <c r="B34" s="20" t="s">
        <v>31</v>
      </c>
      <c r="C34" s="20"/>
      <c r="D34" s="28">
        <f>D18*5%</f>
        <v>18880.019</v>
      </c>
      <c r="E34" s="20"/>
    </row>
    <row r="35" spans="1:5" x14ac:dyDescent="0.25">
      <c r="A35" s="20"/>
      <c r="B35" s="254" t="s">
        <v>57</v>
      </c>
      <c r="C35" s="254"/>
      <c r="D35" s="419">
        <v>467.53</v>
      </c>
      <c r="E35" s="20"/>
    </row>
    <row r="36" spans="1:5" x14ac:dyDescent="0.25">
      <c r="A36" s="20"/>
      <c r="B36" s="420" t="s">
        <v>130</v>
      </c>
      <c r="C36" s="254"/>
      <c r="D36" s="254">
        <f>2000+1800</f>
        <v>3800</v>
      </c>
      <c r="E36" s="20"/>
    </row>
    <row r="37" spans="1:5" x14ac:dyDescent="0.25">
      <c r="A37" s="20"/>
      <c r="B37" s="254" t="s">
        <v>33</v>
      </c>
      <c r="C37" s="254"/>
      <c r="D37" s="254">
        <v>6685.6</v>
      </c>
      <c r="E37" s="20"/>
    </row>
    <row r="38" spans="1:5" x14ac:dyDescent="0.25">
      <c r="A38" s="20"/>
      <c r="B38" s="31" t="s">
        <v>35</v>
      </c>
      <c r="C38" s="20"/>
      <c r="D38" s="27">
        <v>4212.74</v>
      </c>
      <c r="E38" s="20"/>
    </row>
    <row r="39" spans="1:5" x14ac:dyDescent="0.25">
      <c r="A39" s="20"/>
      <c r="B39" s="31" t="s">
        <v>131</v>
      </c>
      <c r="C39" s="20"/>
      <c r="D39" s="27">
        <v>172</v>
      </c>
      <c r="E39" s="20"/>
    </row>
    <row r="40" spans="1:5" x14ac:dyDescent="0.25">
      <c r="A40" s="20"/>
      <c r="B40" s="20" t="s">
        <v>37</v>
      </c>
      <c r="C40" s="20"/>
      <c r="D40" s="20">
        <v>3138.3</v>
      </c>
      <c r="E40" s="20"/>
    </row>
    <row r="41" spans="1:5" x14ac:dyDescent="0.25">
      <c r="A41" s="73" t="s">
        <v>82</v>
      </c>
      <c r="B41" s="22" t="s">
        <v>38</v>
      </c>
      <c r="C41" s="20"/>
      <c r="D41" s="26">
        <v>43158.94</v>
      </c>
      <c r="E41" s="26"/>
    </row>
    <row r="42" spans="1:5" x14ac:dyDescent="0.25">
      <c r="A42" s="73" t="s">
        <v>83</v>
      </c>
      <c r="B42" s="22" t="s">
        <v>41</v>
      </c>
      <c r="C42" s="20"/>
      <c r="D42" s="26">
        <f>D21+E21+D29+E29+D33+D41+E41</f>
        <v>263865.62498000002</v>
      </c>
      <c r="E42" s="20"/>
    </row>
    <row r="43" spans="1:5" x14ac:dyDescent="0.25">
      <c r="A43" s="73" t="s">
        <v>84</v>
      </c>
      <c r="B43" s="20" t="s">
        <v>42</v>
      </c>
      <c r="C43" s="20"/>
      <c r="D43" s="26">
        <f>D18*6%</f>
        <v>22656.022799999999</v>
      </c>
      <c r="E43" s="20"/>
    </row>
    <row r="44" spans="1:5" x14ac:dyDescent="0.25">
      <c r="A44" s="73" t="s">
        <v>85</v>
      </c>
      <c r="B44" s="22" t="s">
        <v>43</v>
      </c>
      <c r="C44" s="20"/>
      <c r="D44" s="26">
        <f>D42+D43</f>
        <v>286521.64778</v>
      </c>
      <c r="E44" s="20"/>
    </row>
    <row r="45" spans="1:5" x14ac:dyDescent="0.25">
      <c r="A45" s="73"/>
      <c r="B45" s="20"/>
      <c r="C45" s="20"/>
      <c r="D45" s="20"/>
      <c r="E45" s="20"/>
    </row>
    <row r="46" spans="1:5" x14ac:dyDescent="0.25">
      <c r="A46" s="73" t="s">
        <v>86</v>
      </c>
      <c r="B46" s="22" t="s">
        <v>135</v>
      </c>
      <c r="C46" s="20"/>
      <c r="D46" s="26">
        <f>D15+D17-D44</f>
        <v>-6451.7277800000156</v>
      </c>
      <c r="E46" s="20"/>
    </row>
    <row r="47" spans="1:5" x14ac:dyDescent="0.25">
      <c r="A47" s="73" t="s">
        <v>87</v>
      </c>
      <c r="B47" s="22" t="s">
        <v>44</v>
      </c>
      <c r="C47" s="20"/>
      <c r="D47" s="26">
        <f>D9+D46+10435.76</f>
        <v>-101816.72778000002</v>
      </c>
      <c r="E47" s="20"/>
    </row>
    <row r="48" spans="1:5" x14ac:dyDescent="0.25">
      <c r="A48" s="447"/>
      <c r="B48" s="494"/>
      <c r="C48" s="34"/>
      <c r="D48" s="36"/>
      <c r="E48" s="34"/>
    </row>
    <row r="49" spans="1:5" x14ac:dyDescent="0.25">
      <c r="A49" s="34"/>
      <c r="B49" s="425" t="s">
        <v>16</v>
      </c>
      <c r="C49" s="34"/>
      <c r="D49" s="36">
        <f>D10+D16</f>
        <v>85419.930000000008</v>
      </c>
      <c r="E49" s="34"/>
    </row>
    <row r="50" spans="1:5" x14ac:dyDescent="0.25">
      <c r="A50" s="34"/>
      <c r="B50" s="495"/>
      <c r="C50" s="34"/>
      <c r="D50" s="36"/>
      <c r="E50" s="34"/>
    </row>
    <row r="51" spans="1:5" x14ac:dyDescent="0.25">
      <c r="A51" s="34"/>
      <c r="B51" s="495"/>
      <c r="C51" s="34"/>
      <c r="D51" s="36"/>
      <c r="E51" s="34"/>
    </row>
    <row r="52" spans="1:5" x14ac:dyDescent="0.25">
      <c r="A52" s="34"/>
      <c r="B52" s="35" t="s">
        <v>226</v>
      </c>
      <c r="C52" s="34"/>
      <c r="D52" s="36">
        <f>24925.57+10435.76</f>
        <v>35361.33</v>
      </c>
      <c r="E52" s="34"/>
    </row>
    <row r="53" spans="1:5" x14ac:dyDescent="0.25">
      <c r="A53" s="34"/>
      <c r="B53" s="35"/>
      <c r="C53" s="34"/>
      <c r="D53" s="36"/>
      <c r="E53" s="34"/>
    </row>
    <row r="54" spans="1:5" x14ac:dyDescent="0.25">
      <c r="A54" s="34"/>
      <c r="B54" s="35" t="s">
        <v>115</v>
      </c>
      <c r="C54" s="34"/>
      <c r="D54" s="36">
        <f>D49-D52</f>
        <v>50058.600000000006</v>
      </c>
      <c r="E54" s="34"/>
    </row>
    <row r="55" spans="1:5" x14ac:dyDescent="0.25">
      <c r="A55" s="34"/>
      <c r="B55" s="35"/>
      <c r="C55" s="34"/>
      <c r="D55" s="36"/>
      <c r="E55" s="34"/>
    </row>
    <row r="56" spans="1:5" x14ac:dyDescent="0.25">
      <c r="A56" s="34"/>
      <c r="B56" s="35"/>
      <c r="C56" s="34"/>
      <c r="D56" s="36"/>
      <c r="E56" s="34"/>
    </row>
    <row r="57" spans="1:5" x14ac:dyDescent="0.25">
      <c r="A57" s="37"/>
      <c r="B57" s="37" t="s">
        <v>45</v>
      </c>
      <c r="C57" s="37"/>
      <c r="D57" s="37" t="s">
        <v>46</v>
      </c>
      <c r="E57" s="37"/>
    </row>
    <row r="58" spans="1:5" x14ac:dyDescent="0.25">
      <c r="A58" s="37"/>
      <c r="B58" s="37" t="s">
        <v>47</v>
      </c>
      <c r="C58" s="37"/>
      <c r="D58" s="37" t="s">
        <v>48</v>
      </c>
      <c r="E58" s="37"/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23" workbookViewId="0">
      <selection activeCell="H34" sqref="H34:I46"/>
    </sheetView>
  </sheetViews>
  <sheetFormatPr defaultRowHeight="15" x14ac:dyDescent="0.25"/>
  <cols>
    <col min="1" max="1" width="8.140625" customWidth="1"/>
    <col min="2" max="2" width="41.7109375" customWidth="1"/>
    <col min="4" max="5" width="10.85546875" customWidth="1"/>
  </cols>
  <sheetData>
    <row r="1" spans="1:5" ht="15.75" x14ac:dyDescent="0.25">
      <c r="A1" s="364"/>
      <c r="B1" s="365" t="s">
        <v>0</v>
      </c>
      <c r="C1" s="364"/>
      <c r="D1" s="364"/>
      <c r="E1" s="364"/>
    </row>
    <row r="2" spans="1:5" x14ac:dyDescent="0.25">
      <c r="A2" s="364"/>
      <c r="B2" s="364"/>
      <c r="C2" s="364"/>
      <c r="D2" s="364"/>
      <c r="E2" s="364"/>
    </row>
    <row r="3" spans="1:5" x14ac:dyDescent="0.25">
      <c r="A3" s="364"/>
      <c r="B3" s="364" t="s">
        <v>1</v>
      </c>
      <c r="C3" s="364"/>
      <c r="D3" s="364"/>
      <c r="E3" s="364"/>
    </row>
    <row r="4" spans="1:5" x14ac:dyDescent="0.25">
      <c r="A4" s="364"/>
      <c r="B4" s="461" t="s">
        <v>164</v>
      </c>
      <c r="C4" s="364"/>
      <c r="D4" s="364"/>
      <c r="E4" s="364"/>
    </row>
    <row r="5" spans="1:5" x14ac:dyDescent="0.25">
      <c r="A5" s="594"/>
      <c r="B5" s="594"/>
      <c r="C5" s="594"/>
      <c r="D5" s="466"/>
      <c r="E5" s="366"/>
    </row>
    <row r="6" spans="1:5" ht="15.75" x14ac:dyDescent="0.25">
      <c r="A6" s="367"/>
      <c r="B6" s="368" t="s">
        <v>3</v>
      </c>
      <c r="C6" s="369" t="s">
        <v>4</v>
      </c>
      <c r="D6" s="595" t="s">
        <v>5</v>
      </c>
      <c r="E6" s="596"/>
    </row>
    <row r="7" spans="1:5" ht="15.75" x14ac:dyDescent="0.25">
      <c r="A7" s="468"/>
      <c r="B7" s="469" t="s">
        <v>6</v>
      </c>
      <c r="C7" s="470" t="s">
        <v>7</v>
      </c>
      <c r="D7" s="592" t="s">
        <v>152</v>
      </c>
      <c r="E7" s="593"/>
    </row>
    <row r="8" spans="1:5" x14ac:dyDescent="0.25">
      <c r="A8" s="370"/>
      <c r="B8" s="12" t="s">
        <v>100</v>
      </c>
      <c r="C8" s="370"/>
      <c r="D8" s="371">
        <v>-181540.3</v>
      </c>
      <c r="E8" s="372"/>
    </row>
    <row r="9" spans="1:5" x14ac:dyDescent="0.25">
      <c r="A9" s="370"/>
      <c r="B9" s="12" t="s">
        <v>101</v>
      </c>
      <c r="C9" s="370"/>
      <c r="D9" s="371">
        <v>91672.95</v>
      </c>
      <c r="E9" s="372"/>
    </row>
    <row r="10" spans="1:5" x14ac:dyDescent="0.25">
      <c r="A10" s="373"/>
      <c r="B10" s="374" t="s">
        <v>9</v>
      </c>
      <c r="C10" s="373" t="s">
        <v>10</v>
      </c>
      <c r="D10" s="373">
        <v>3706.66</v>
      </c>
      <c r="E10" s="373"/>
    </row>
    <row r="11" spans="1:5" x14ac:dyDescent="0.25">
      <c r="A11" s="373"/>
      <c r="B11" s="374" t="s">
        <v>11</v>
      </c>
      <c r="C11" s="373" t="s">
        <v>10</v>
      </c>
      <c r="D11" s="373">
        <v>2662.9</v>
      </c>
      <c r="E11" s="373"/>
    </row>
    <row r="12" spans="1:5" x14ac:dyDescent="0.25">
      <c r="A12" s="373"/>
      <c r="B12" s="375" t="s">
        <v>12</v>
      </c>
      <c r="C12" s="373" t="s">
        <v>53</v>
      </c>
      <c r="D12" s="376">
        <v>307781.39</v>
      </c>
      <c r="E12" s="373"/>
    </row>
    <row r="13" spans="1:5" x14ac:dyDescent="0.25">
      <c r="A13" s="373"/>
      <c r="B13" s="373"/>
      <c r="C13" s="373"/>
      <c r="D13" s="373"/>
      <c r="E13" s="373"/>
    </row>
    <row r="14" spans="1:5" ht="15.75" x14ac:dyDescent="0.25">
      <c r="A14" s="373"/>
      <c r="B14" s="377" t="s">
        <v>14</v>
      </c>
      <c r="C14" s="373"/>
      <c r="D14" s="373"/>
      <c r="E14" s="373"/>
    </row>
    <row r="15" spans="1:5" x14ac:dyDescent="0.25">
      <c r="A15" s="373">
        <v>1</v>
      </c>
      <c r="B15" s="373" t="s">
        <v>15</v>
      </c>
      <c r="C15" s="373" t="s">
        <v>13</v>
      </c>
      <c r="D15" s="373">
        <v>223464.41</v>
      </c>
      <c r="E15" s="373"/>
    </row>
    <row r="16" spans="1:5" x14ac:dyDescent="0.25">
      <c r="A16" s="373">
        <v>2</v>
      </c>
      <c r="B16" s="373" t="s">
        <v>16</v>
      </c>
      <c r="C16" s="373"/>
      <c r="D16" s="373">
        <v>94658.76</v>
      </c>
      <c r="E16" s="373"/>
    </row>
    <row r="17" spans="1:5" x14ac:dyDescent="0.25">
      <c r="A17" s="373">
        <v>3</v>
      </c>
      <c r="B17" s="373" t="s">
        <v>92</v>
      </c>
      <c r="C17" s="373"/>
      <c r="D17" s="373">
        <v>7200</v>
      </c>
      <c r="E17" s="373"/>
    </row>
    <row r="18" spans="1:5" ht="15.75" x14ac:dyDescent="0.25">
      <c r="A18" s="373"/>
      <c r="B18" s="377" t="s">
        <v>17</v>
      </c>
      <c r="C18" s="373"/>
      <c r="D18" s="376">
        <f>D15+D16+D17</f>
        <v>325323.17</v>
      </c>
      <c r="E18" s="373"/>
    </row>
    <row r="19" spans="1:5" ht="15.75" x14ac:dyDescent="0.25">
      <c r="A19" s="373"/>
      <c r="B19" s="377"/>
      <c r="C19" s="373"/>
      <c r="D19" s="376"/>
      <c r="E19" s="37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D22+D27+D26</f>
        <v>99164.57</v>
      </c>
      <c r="E21" s="26">
        <f>E22</f>
        <v>24772.464180000003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D23+D24+D25</f>
        <v>94551.390000000014</v>
      </c>
      <c r="E22" s="26">
        <f>E23+E24+E25+E26</f>
        <v>24772.464180000003</v>
      </c>
    </row>
    <row r="23" spans="1:5" x14ac:dyDescent="0.25">
      <c r="A23" s="20"/>
      <c r="B23" s="20" t="s">
        <v>23</v>
      </c>
      <c r="C23" s="20"/>
      <c r="D23" s="254">
        <v>29768.84</v>
      </c>
      <c r="E23" s="28">
        <f>D23*26.2%</f>
        <v>7799.4360800000004</v>
      </c>
    </row>
    <row r="24" spans="1:5" x14ac:dyDescent="0.25">
      <c r="A24" s="20"/>
      <c r="B24" s="20" t="s">
        <v>24</v>
      </c>
      <c r="C24" s="20"/>
      <c r="D24" s="254">
        <v>26969.68</v>
      </c>
      <c r="E24" s="28">
        <f>D24*26.2%</f>
        <v>7066.0561600000001</v>
      </c>
    </row>
    <row r="25" spans="1:5" x14ac:dyDescent="0.25">
      <c r="A25" s="20"/>
      <c r="B25" s="20" t="s">
        <v>25</v>
      </c>
      <c r="C25" s="20"/>
      <c r="D25" s="254">
        <v>37812.870000000003</v>
      </c>
      <c r="E25" s="28">
        <f>D25*26.2%</f>
        <v>9906.9719400000013</v>
      </c>
    </row>
    <row r="26" spans="1:5" x14ac:dyDescent="0.25">
      <c r="A26" s="20"/>
      <c r="B26" s="31" t="s">
        <v>75</v>
      </c>
      <c r="C26" s="20"/>
      <c r="D26" s="254">
        <v>561.41999999999996</v>
      </c>
      <c r="E26" s="28"/>
    </row>
    <row r="27" spans="1:5" x14ac:dyDescent="0.25">
      <c r="A27" s="20">
        <v>2</v>
      </c>
      <c r="B27" s="27" t="s">
        <v>26</v>
      </c>
      <c r="C27" s="20"/>
      <c r="D27" s="254">
        <f>43.99+4007.77</f>
        <v>4051.7599999999998</v>
      </c>
      <c r="E27" s="28"/>
    </row>
    <row r="28" spans="1:5" x14ac:dyDescent="0.25">
      <c r="A28" s="24" t="s">
        <v>27</v>
      </c>
      <c r="B28" s="30" t="s">
        <v>28</v>
      </c>
      <c r="C28" s="20"/>
      <c r="D28" s="22">
        <f>D29+D30+D31</f>
        <v>64878.810000000005</v>
      </c>
      <c r="E28" s="26">
        <f>E29</f>
        <v>9562.1851000000006</v>
      </c>
    </row>
    <row r="29" spans="1:5" x14ac:dyDescent="0.25">
      <c r="A29" s="20">
        <v>1</v>
      </c>
      <c r="B29" s="31" t="s">
        <v>229</v>
      </c>
      <c r="C29" s="20"/>
      <c r="D29" s="254">
        <v>47337.55</v>
      </c>
      <c r="E29" s="28">
        <f>D29*20.2%</f>
        <v>9562.1851000000006</v>
      </c>
    </row>
    <row r="30" spans="1:5" x14ac:dyDescent="0.25">
      <c r="A30" s="20">
        <v>2</v>
      </c>
      <c r="B30" s="31" t="s">
        <v>26</v>
      </c>
      <c r="C30" s="20"/>
      <c r="D30" s="420">
        <v>6699.26</v>
      </c>
      <c r="E30" s="20"/>
    </row>
    <row r="31" spans="1:5" x14ac:dyDescent="0.25">
      <c r="A31" s="20">
        <v>3</v>
      </c>
      <c r="B31" s="31" t="s">
        <v>64</v>
      </c>
      <c r="C31" s="20"/>
      <c r="D31" s="420">
        <v>10842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D33+D34+D35+D36+D37+D38+D39</f>
        <v>36732.218500000003</v>
      </c>
      <c r="E32" s="20"/>
    </row>
    <row r="33" spans="1:5" x14ac:dyDescent="0.25">
      <c r="A33" s="20"/>
      <c r="B33" s="20" t="s">
        <v>31</v>
      </c>
      <c r="C33" s="20"/>
      <c r="D33" s="28">
        <f>D18*5%</f>
        <v>16266.1585</v>
      </c>
      <c r="E33" s="20"/>
    </row>
    <row r="34" spans="1:5" x14ac:dyDescent="0.25">
      <c r="A34" s="20"/>
      <c r="B34" s="254" t="s">
        <v>57</v>
      </c>
      <c r="C34" s="254"/>
      <c r="D34" s="419">
        <v>486.42</v>
      </c>
      <c r="E34" s="20"/>
    </row>
    <row r="35" spans="1:5" x14ac:dyDescent="0.25">
      <c r="A35" s="20"/>
      <c r="B35" s="254" t="s">
        <v>210</v>
      </c>
      <c r="C35" s="254"/>
      <c r="D35" s="254">
        <v>5280</v>
      </c>
      <c r="E35" s="20"/>
    </row>
    <row r="36" spans="1:5" x14ac:dyDescent="0.25">
      <c r="A36" s="20"/>
      <c r="B36" s="254" t="s">
        <v>33</v>
      </c>
      <c r="C36" s="254"/>
      <c r="D36" s="254">
        <v>6919.46</v>
      </c>
      <c r="E36" s="20"/>
    </row>
    <row r="37" spans="1:5" x14ac:dyDescent="0.25">
      <c r="A37" s="20"/>
      <c r="B37" s="31" t="s">
        <v>35</v>
      </c>
      <c r="C37" s="20"/>
      <c r="D37" s="20">
        <v>4360.1000000000004</v>
      </c>
      <c r="E37" s="20"/>
    </row>
    <row r="38" spans="1:5" x14ac:dyDescent="0.25">
      <c r="A38" s="20"/>
      <c r="B38" s="31" t="s">
        <v>131</v>
      </c>
      <c r="C38" s="20"/>
      <c r="D38" s="20">
        <v>172</v>
      </c>
      <c r="E38" s="20"/>
    </row>
    <row r="39" spans="1:5" x14ac:dyDescent="0.25">
      <c r="A39" s="20"/>
      <c r="B39" s="20" t="s">
        <v>37</v>
      </c>
      <c r="C39" s="20"/>
      <c r="D39" s="20">
        <v>3248.08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44645.17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D21+E21+D28+E28+D32+D40+E40</f>
        <v>279755.41778000002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D18*6%</f>
        <v>19519.390199999998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299274.80798000004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135</v>
      </c>
      <c r="C45" s="20"/>
      <c r="D45" s="26">
        <f>D15+D17-D43</f>
        <v>-68610.397980000038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D8+D45+10128.49</f>
        <v>-240022.20798000004</v>
      </c>
      <c r="E46" s="20"/>
    </row>
    <row r="47" spans="1:5" x14ac:dyDescent="0.25">
      <c r="A47" s="34"/>
      <c r="B47" s="42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s="35"/>
      <c r="C49" s="34"/>
      <c r="D49" s="36"/>
      <c r="E49" s="34"/>
    </row>
    <row r="50" spans="1:5" x14ac:dyDescent="0.25">
      <c r="A50" s="34"/>
      <c r="B50" s="35" t="s">
        <v>102</v>
      </c>
      <c r="C50" s="34"/>
      <c r="D50" s="36">
        <f>D16+D9</f>
        <v>186331.71</v>
      </c>
      <c r="E50" s="34"/>
    </row>
    <row r="51" spans="1:5" x14ac:dyDescent="0.25">
      <c r="A51" s="34"/>
      <c r="B51" s="35"/>
      <c r="C51" s="34"/>
      <c r="D51" s="36"/>
      <c r="E51" s="34"/>
    </row>
    <row r="52" spans="1:5" x14ac:dyDescent="0.25">
      <c r="A52" s="34"/>
      <c r="B52" s="35" t="s">
        <v>103</v>
      </c>
      <c r="C52" s="34"/>
      <c r="D52" s="36">
        <f>122058.35+10128.49</f>
        <v>132186.84</v>
      </c>
      <c r="E52" s="34"/>
    </row>
    <row r="53" spans="1:5" x14ac:dyDescent="0.25">
      <c r="A53" s="34"/>
      <c r="B53" s="35"/>
      <c r="C53" s="34"/>
      <c r="D53" s="36"/>
      <c r="E53" s="34"/>
    </row>
    <row r="54" spans="1:5" x14ac:dyDescent="0.25">
      <c r="A54" s="34"/>
      <c r="B54" s="35" t="s">
        <v>104</v>
      </c>
      <c r="C54" s="34"/>
      <c r="D54" s="36">
        <f>D50-D52</f>
        <v>54144.869999999995</v>
      </c>
      <c r="E54" s="34"/>
    </row>
    <row r="55" spans="1:5" x14ac:dyDescent="0.25">
      <c r="A55" s="34"/>
      <c r="B55" s="35"/>
      <c r="C55" s="34"/>
      <c r="D55" s="36"/>
      <c r="E55" s="34"/>
    </row>
    <row r="56" spans="1:5" x14ac:dyDescent="0.25">
      <c r="A56" s="34"/>
      <c r="B56" s="35"/>
      <c r="C56" s="34"/>
      <c r="D56" s="36"/>
      <c r="E56" s="34"/>
    </row>
    <row r="57" spans="1:5" x14ac:dyDescent="0.25">
      <c r="A57" s="34"/>
      <c r="B57" s="35"/>
      <c r="C57" s="34"/>
      <c r="D57" s="36"/>
      <c r="E57" s="34"/>
    </row>
    <row r="58" spans="1:5" x14ac:dyDescent="0.25">
      <c r="A58" s="37"/>
      <c r="B58" s="37" t="s">
        <v>45</v>
      </c>
      <c r="C58" s="37"/>
      <c r="D58" s="37" t="s">
        <v>46</v>
      </c>
      <c r="E58" s="37"/>
    </row>
    <row r="60" spans="1:5" x14ac:dyDescent="0.25">
      <c r="B60" t="s">
        <v>47</v>
      </c>
      <c r="D60" t="s">
        <v>48</v>
      </c>
    </row>
  </sheetData>
  <mergeCells count="3">
    <mergeCell ref="D7:E7"/>
    <mergeCell ref="A5:C5"/>
    <mergeCell ref="D6:E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opLeftCell="A10" workbookViewId="0">
      <selection activeCell="I31" sqref="I31:J44"/>
    </sheetView>
  </sheetViews>
  <sheetFormatPr defaultRowHeight="15" x14ac:dyDescent="0.25"/>
  <cols>
    <col min="1" max="1" width="5.42578125" customWidth="1"/>
    <col min="3" max="3" width="35.5703125" customWidth="1"/>
    <col min="5" max="5" width="13.5703125" customWidth="1"/>
    <col min="6" max="6" width="11" customWidth="1"/>
  </cols>
  <sheetData>
    <row r="1" spans="2:6" ht="15.75" x14ac:dyDescent="0.25">
      <c r="C1" s="1" t="s">
        <v>0</v>
      </c>
    </row>
    <row r="3" spans="2:6" x14ac:dyDescent="0.25">
      <c r="C3" t="s">
        <v>54</v>
      </c>
    </row>
    <row r="4" spans="2:6" x14ac:dyDescent="0.25">
      <c r="C4" t="s">
        <v>166</v>
      </c>
    </row>
    <row r="5" spans="2:6" x14ac:dyDescent="0.25">
      <c r="B5" s="597"/>
      <c r="C5" s="597"/>
      <c r="D5" s="597"/>
      <c r="E5" s="597"/>
      <c r="F5" s="57"/>
    </row>
    <row r="6" spans="2:6" ht="15.75" x14ac:dyDescent="0.25">
      <c r="B6" s="2"/>
      <c r="C6" s="445" t="s">
        <v>3</v>
      </c>
      <c r="D6" s="446" t="s">
        <v>4</v>
      </c>
      <c r="E6" s="598" t="s">
        <v>5</v>
      </c>
      <c r="F6" s="599"/>
    </row>
    <row r="7" spans="2:6" ht="15.75" x14ac:dyDescent="0.25">
      <c r="B7" s="8"/>
      <c r="C7" s="6" t="s">
        <v>6</v>
      </c>
      <c r="D7" s="7" t="s">
        <v>51</v>
      </c>
      <c r="E7" s="504" t="s">
        <v>165</v>
      </c>
      <c r="F7" s="505"/>
    </row>
    <row r="8" spans="2:6" x14ac:dyDescent="0.25">
      <c r="B8" s="9"/>
      <c r="C8" s="9"/>
      <c r="D8" s="9"/>
      <c r="E8" s="10"/>
      <c r="F8" s="11"/>
    </row>
    <row r="9" spans="2:6" x14ac:dyDescent="0.25">
      <c r="B9" s="9"/>
      <c r="C9" s="12" t="s">
        <v>8</v>
      </c>
      <c r="D9" s="9"/>
      <c r="E9" s="10">
        <v>-55838.83</v>
      </c>
      <c r="F9" s="11"/>
    </row>
    <row r="10" spans="2:6" x14ac:dyDescent="0.25">
      <c r="B10" s="13"/>
      <c r="C10" s="14" t="s">
        <v>9</v>
      </c>
      <c r="D10" s="12" t="s">
        <v>52</v>
      </c>
      <c r="E10" s="13">
        <v>6474.6</v>
      </c>
      <c r="F10" s="13"/>
    </row>
    <row r="11" spans="2:6" x14ac:dyDescent="0.25">
      <c r="B11" s="13"/>
      <c r="C11" s="14" t="s">
        <v>11</v>
      </c>
      <c r="D11" s="12" t="s">
        <v>52</v>
      </c>
      <c r="E11" s="13">
        <v>4182.8999999999996</v>
      </c>
      <c r="F11" s="13"/>
    </row>
    <row r="12" spans="2:6" x14ac:dyDescent="0.25">
      <c r="B12" s="13"/>
      <c r="C12" s="15" t="s">
        <v>12</v>
      </c>
      <c r="D12" s="12" t="s">
        <v>53</v>
      </c>
      <c r="E12" s="19">
        <v>317437.13</v>
      </c>
      <c r="F12" s="13"/>
    </row>
    <row r="13" spans="2:6" ht="15.75" x14ac:dyDescent="0.25">
      <c r="B13" s="13"/>
      <c r="C13" s="16" t="s">
        <v>14</v>
      </c>
      <c r="D13" s="9"/>
      <c r="E13" s="13"/>
      <c r="F13" s="13"/>
    </row>
    <row r="14" spans="2:6" x14ac:dyDescent="0.25">
      <c r="B14" s="13">
        <v>1</v>
      </c>
      <c r="C14" s="13" t="s">
        <v>15</v>
      </c>
      <c r="D14" s="12" t="s">
        <v>13</v>
      </c>
      <c r="E14" s="13">
        <v>304842.07</v>
      </c>
      <c r="F14" s="13"/>
    </row>
    <row r="15" spans="2:6" x14ac:dyDescent="0.25">
      <c r="B15" s="13">
        <v>3</v>
      </c>
      <c r="C15" s="13" t="s">
        <v>105</v>
      </c>
      <c r="D15" s="9"/>
      <c r="E15" s="13">
        <v>12307.24</v>
      </c>
      <c r="F15" s="13"/>
    </row>
    <row r="16" spans="2:6" ht="15.75" x14ac:dyDescent="0.25">
      <c r="B16" s="13"/>
      <c r="C16" s="16" t="s">
        <v>17</v>
      </c>
      <c r="D16" s="9"/>
      <c r="E16" s="19">
        <f>E14+E15</f>
        <v>317149.31</v>
      </c>
      <c r="F16" s="13"/>
    </row>
    <row r="17" spans="2:6" ht="15.75" x14ac:dyDescent="0.25">
      <c r="B17" s="13"/>
      <c r="C17" s="16"/>
      <c r="D17" s="9"/>
      <c r="E17" s="19"/>
      <c r="F17" s="13"/>
    </row>
    <row r="18" spans="2:6" ht="15.75" x14ac:dyDescent="0.25">
      <c r="B18" s="20"/>
      <c r="C18" s="21" t="s">
        <v>18</v>
      </c>
      <c r="D18" s="20"/>
      <c r="E18" s="22"/>
      <c r="F18" s="23" t="s">
        <v>19</v>
      </c>
    </row>
    <row r="19" spans="2:6" x14ac:dyDescent="0.25">
      <c r="B19" s="24" t="s">
        <v>20</v>
      </c>
      <c r="C19" s="25" t="s">
        <v>21</v>
      </c>
      <c r="D19" s="20"/>
      <c r="E19" s="22">
        <f>E20+E25</f>
        <v>58851.439999999995</v>
      </c>
      <c r="F19" s="26">
        <f>F20</f>
        <v>11187.32358</v>
      </c>
    </row>
    <row r="20" spans="2:6" x14ac:dyDescent="0.25">
      <c r="B20" s="20">
        <v>1</v>
      </c>
      <c r="C20" s="22" t="s">
        <v>22</v>
      </c>
      <c r="D20" s="27" t="s">
        <v>13</v>
      </c>
      <c r="E20" s="22">
        <f>E21+E24</f>
        <v>57367.56</v>
      </c>
      <c r="F20" s="26">
        <f>F21+F24</f>
        <v>11187.32358</v>
      </c>
    </row>
    <row r="21" spans="2:6" x14ac:dyDescent="0.25">
      <c r="B21" s="20"/>
      <c r="C21" s="20" t="s">
        <v>23</v>
      </c>
      <c r="D21" s="20"/>
      <c r="E21" s="20">
        <v>55382.79</v>
      </c>
      <c r="F21" s="28">
        <f>E21*20.2%</f>
        <v>11187.32358</v>
      </c>
    </row>
    <row r="22" spans="2:6" x14ac:dyDescent="0.25">
      <c r="B22" s="20"/>
      <c r="C22" s="20" t="s">
        <v>24</v>
      </c>
      <c r="D22" s="20"/>
      <c r="E22" s="29"/>
      <c r="F22" s="28">
        <f>E22*26.2%</f>
        <v>0</v>
      </c>
    </row>
    <row r="23" spans="2:6" x14ac:dyDescent="0.25">
      <c r="B23" s="20"/>
      <c r="C23" s="20" t="s">
        <v>25</v>
      </c>
      <c r="D23" s="20"/>
      <c r="E23" s="20"/>
      <c r="F23" s="28">
        <f>E23*26.2%</f>
        <v>0</v>
      </c>
    </row>
    <row r="24" spans="2:6" x14ac:dyDescent="0.25">
      <c r="B24" s="20"/>
      <c r="C24" s="20" t="s">
        <v>75</v>
      </c>
      <c r="D24" s="20"/>
      <c r="E24" s="20">
        <v>1984.77</v>
      </c>
      <c r="F24" s="28"/>
    </row>
    <row r="25" spans="2:6" x14ac:dyDescent="0.25">
      <c r="B25" s="20">
        <v>2</v>
      </c>
      <c r="C25" s="27" t="s">
        <v>26</v>
      </c>
      <c r="D25" s="20"/>
      <c r="E25" s="20">
        <f>69.09+1414.79</f>
        <v>1483.8799999999999</v>
      </c>
      <c r="F25" s="28"/>
    </row>
    <row r="26" spans="2:6" x14ac:dyDescent="0.25">
      <c r="B26" s="24" t="s">
        <v>27</v>
      </c>
      <c r="C26" s="30" t="s">
        <v>28</v>
      </c>
      <c r="D26" s="20"/>
      <c r="E26" s="22">
        <f>E27+E28</f>
        <v>74950.19</v>
      </c>
      <c r="F26" s="26">
        <f>F27</f>
        <v>15019.62314</v>
      </c>
    </row>
    <row r="27" spans="2:6" x14ac:dyDescent="0.25">
      <c r="B27" s="20">
        <v>1</v>
      </c>
      <c r="C27" s="31" t="s">
        <v>229</v>
      </c>
      <c r="D27" s="20"/>
      <c r="E27" s="31">
        <v>74354.570000000007</v>
      </c>
      <c r="F27" s="28">
        <f>E27*20.2%</f>
        <v>15019.62314</v>
      </c>
    </row>
    <row r="28" spans="2:6" x14ac:dyDescent="0.25">
      <c r="B28" s="20">
        <v>2</v>
      </c>
      <c r="C28" s="31" t="s">
        <v>26</v>
      </c>
      <c r="D28" s="20"/>
      <c r="E28" s="31">
        <v>595.62</v>
      </c>
      <c r="F28" s="20"/>
    </row>
    <row r="29" spans="2:6" x14ac:dyDescent="0.25">
      <c r="B29" s="24" t="s">
        <v>29</v>
      </c>
      <c r="C29" s="22" t="s">
        <v>30</v>
      </c>
      <c r="D29" s="20"/>
      <c r="E29" s="26">
        <f>E30+E31+E32+E33+E34+E35</f>
        <v>38605.497570000007</v>
      </c>
      <c r="F29" s="20"/>
    </row>
    <row r="30" spans="2:6" x14ac:dyDescent="0.25">
      <c r="B30" s="20"/>
      <c r="C30" s="20" t="s">
        <v>31</v>
      </c>
      <c r="D30" s="20"/>
      <c r="E30" s="28">
        <f>E16*4.7%</f>
        <v>14906.01757</v>
      </c>
      <c r="F30" s="20"/>
    </row>
    <row r="31" spans="2:6" x14ac:dyDescent="0.25">
      <c r="B31" s="20"/>
      <c r="C31" s="20" t="s">
        <v>57</v>
      </c>
      <c r="D31" s="20"/>
      <c r="E31" s="20">
        <v>708.45</v>
      </c>
      <c r="F31" s="20"/>
    </row>
    <row r="32" spans="2:6" x14ac:dyDescent="0.25">
      <c r="B32" s="20"/>
      <c r="C32" s="20" t="s">
        <v>33</v>
      </c>
      <c r="D32" s="20"/>
      <c r="E32" s="28">
        <v>10868.62</v>
      </c>
      <c r="F32" s="20"/>
    </row>
    <row r="33" spans="2:6" x14ac:dyDescent="0.25">
      <c r="B33" s="20"/>
      <c r="C33" s="27" t="s">
        <v>35</v>
      </c>
      <c r="D33" s="20"/>
      <c r="E33" s="20">
        <v>6848.55</v>
      </c>
      <c r="F33" s="20"/>
    </row>
    <row r="34" spans="2:6" x14ac:dyDescent="0.25">
      <c r="B34" s="20"/>
      <c r="C34" s="31" t="s">
        <v>131</v>
      </c>
      <c r="D34" s="20"/>
      <c r="E34" s="20">
        <v>172</v>
      </c>
      <c r="F34" s="20"/>
    </row>
    <row r="35" spans="2:6" x14ac:dyDescent="0.25">
      <c r="B35" s="20"/>
      <c r="C35" s="20" t="s">
        <v>37</v>
      </c>
      <c r="D35" s="20"/>
      <c r="E35" s="20">
        <v>5101.8599999999997</v>
      </c>
      <c r="F35" s="20"/>
    </row>
    <row r="36" spans="2:6" x14ac:dyDescent="0.25">
      <c r="B36" s="73" t="s">
        <v>82</v>
      </c>
      <c r="C36" s="22" t="s">
        <v>38</v>
      </c>
      <c r="D36" s="20"/>
      <c r="E36" s="26">
        <v>70525.53</v>
      </c>
      <c r="F36" s="26"/>
    </row>
    <row r="37" spans="2:6" x14ac:dyDescent="0.25">
      <c r="B37" s="73" t="s">
        <v>83</v>
      </c>
      <c r="C37" s="22" t="s">
        <v>41</v>
      </c>
      <c r="D37" s="20"/>
      <c r="E37" s="26">
        <f>E19+F19+E26+F26+E29+E36</f>
        <v>269139.60429000005</v>
      </c>
      <c r="F37" s="20"/>
    </row>
    <row r="38" spans="2:6" x14ac:dyDescent="0.25">
      <c r="B38" s="73" t="s">
        <v>84</v>
      </c>
      <c r="C38" s="20" t="s">
        <v>42</v>
      </c>
      <c r="D38" s="20"/>
      <c r="E38" s="26">
        <f>E16*6%</f>
        <v>19028.958599999998</v>
      </c>
      <c r="F38" s="20"/>
    </row>
    <row r="39" spans="2:6" x14ac:dyDescent="0.25">
      <c r="B39" s="73" t="s">
        <v>85</v>
      </c>
      <c r="C39" s="22" t="s">
        <v>43</v>
      </c>
      <c r="D39" s="20"/>
      <c r="E39" s="26">
        <f>E37+E38</f>
        <v>288168.56289000006</v>
      </c>
      <c r="F39" s="20"/>
    </row>
    <row r="40" spans="2:6" x14ac:dyDescent="0.25">
      <c r="B40" s="73"/>
      <c r="C40" s="20"/>
      <c r="D40" s="20"/>
      <c r="E40" s="20"/>
      <c r="F40" s="20"/>
    </row>
    <row r="41" spans="2:6" x14ac:dyDescent="0.25">
      <c r="B41" s="73" t="s">
        <v>86</v>
      </c>
      <c r="C41" s="22" t="s">
        <v>135</v>
      </c>
      <c r="D41" s="20"/>
      <c r="E41" s="26">
        <f>E16-E39</f>
        <v>28980.747109999938</v>
      </c>
      <c r="F41" s="20"/>
    </row>
    <row r="42" spans="2:6" x14ac:dyDescent="0.25">
      <c r="B42" s="73" t="s">
        <v>87</v>
      </c>
      <c r="C42" s="22" t="s">
        <v>44</v>
      </c>
      <c r="D42" s="20"/>
      <c r="E42" s="26">
        <f>E9+E41</f>
        <v>-26858.082890000063</v>
      </c>
      <c r="F42" s="20"/>
    </row>
    <row r="43" spans="2:6" x14ac:dyDescent="0.25">
      <c r="B43" s="34"/>
      <c r="C43" s="35"/>
      <c r="D43" s="34"/>
      <c r="E43" s="36"/>
      <c r="F43" s="34"/>
    </row>
    <row r="44" spans="2:6" x14ac:dyDescent="0.25">
      <c r="B44" s="37"/>
      <c r="C44" s="37" t="s">
        <v>45</v>
      </c>
      <c r="D44" s="37"/>
      <c r="E44" s="37" t="s">
        <v>46</v>
      </c>
      <c r="F44" s="37"/>
    </row>
    <row r="45" spans="2:6" x14ac:dyDescent="0.25">
      <c r="B45" s="37"/>
      <c r="C45" s="37" t="s">
        <v>47</v>
      </c>
      <c r="D45" s="37"/>
      <c r="E45" s="37" t="s">
        <v>48</v>
      </c>
      <c r="F45" s="37"/>
    </row>
  </sheetData>
  <mergeCells count="4">
    <mergeCell ref="B5:C5"/>
    <mergeCell ref="D5:E5"/>
    <mergeCell ref="E6:F6"/>
    <mergeCell ref="E7:F7"/>
  </mergeCells>
  <pageMargins left="0.7" right="0.7" top="0.75" bottom="0.75" header="0.3" footer="0.3"/>
  <pageSetup paperSize="9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H33" sqref="H33:I46"/>
    </sheetView>
  </sheetViews>
  <sheetFormatPr defaultRowHeight="15" x14ac:dyDescent="0.25"/>
  <cols>
    <col min="1" max="1" width="7.7109375" customWidth="1"/>
    <col min="2" max="2" width="41.85546875" customWidth="1"/>
    <col min="4" max="4" width="10.85546875" customWidth="1"/>
    <col min="5" max="5" width="12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167</v>
      </c>
    </row>
    <row r="5" spans="1:5" x14ac:dyDescent="0.25">
      <c r="A5" s="597"/>
      <c r="B5" s="597"/>
      <c r="C5" s="597"/>
      <c r="D5" s="501"/>
      <c r="E5" s="58"/>
    </row>
    <row r="6" spans="1:5" x14ac:dyDescent="0.25">
      <c r="A6" s="2"/>
      <c r="B6" s="2"/>
      <c r="C6" s="2"/>
      <c r="D6" s="3"/>
      <c r="E6" s="59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51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113</v>
      </c>
      <c r="C10" s="9"/>
      <c r="D10" s="378">
        <v>-14399</v>
      </c>
      <c r="E10" s="11"/>
    </row>
    <row r="11" spans="1:5" x14ac:dyDescent="0.25">
      <c r="A11" s="9"/>
      <c r="B11" s="12" t="s">
        <v>101</v>
      </c>
      <c r="C11" s="9"/>
      <c r="D11" s="378">
        <v>-94806.76</v>
      </c>
      <c r="E11" s="11"/>
    </row>
    <row r="12" spans="1:5" x14ac:dyDescent="0.25">
      <c r="A12" s="13"/>
      <c r="B12" s="14" t="s">
        <v>9</v>
      </c>
      <c r="C12" s="12" t="s">
        <v>52</v>
      </c>
      <c r="D12" s="13">
        <v>4301.3999999999996</v>
      </c>
      <c r="E12" s="13"/>
    </row>
    <row r="13" spans="1:5" x14ac:dyDescent="0.25">
      <c r="A13" s="13"/>
      <c r="B13" s="14" t="s">
        <v>11</v>
      </c>
      <c r="C13" s="12" t="s">
        <v>52</v>
      </c>
      <c r="D13" s="13">
        <v>2755.3</v>
      </c>
      <c r="E13" s="13"/>
    </row>
    <row r="14" spans="1:5" x14ac:dyDescent="0.25">
      <c r="A14" s="13"/>
      <c r="B14" s="15" t="s">
        <v>12</v>
      </c>
      <c r="C14" s="12" t="s">
        <v>13</v>
      </c>
      <c r="D14" s="19">
        <v>388766.22</v>
      </c>
      <c r="E14" s="13"/>
    </row>
    <row r="15" spans="1:5" ht="15.75" x14ac:dyDescent="0.25">
      <c r="A15" s="13"/>
      <c r="B15" s="16" t="s">
        <v>14</v>
      </c>
      <c r="C15" s="9"/>
      <c r="D15" s="13"/>
      <c r="E15" s="13"/>
    </row>
    <row r="16" spans="1:5" x14ac:dyDescent="0.25">
      <c r="A16" s="13">
        <v>1</v>
      </c>
      <c r="B16" s="13" t="s">
        <v>15</v>
      </c>
      <c r="C16" s="12" t="s">
        <v>13</v>
      </c>
      <c r="D16" s="13">
        <v>270991.44</v>
      </c>
      <c r="E16" s="13"/>
    </row>
    <row r="17" spans="1:5" x14ac:dyDescent="0.25">
      <c r="A17" s="13">
        <v>2</v>
      </c>
      <c r="B17" s="13" t="s">
        <v>16</v>
      </c>
      <c r="C17" s="12"/>
      <c r="D17" s="13">
        <v>91802.93</v>
      </c>
      <c r="E17" s="13"/>
    </row>
    <row r="18" spans="1:5" x14ac:dyDescent="0.25">
      <c r="A18" s="13">
        <v>2</v>
      </c>
      <c r="B18" s="13" t="s">
        <v>92</v>
      </c>
      <c r="C18" s="9"/>
      <c r="D18" s="13">
        <v>1200</v>
      </c>
      <c r="E18" s="13"/>
    </row>
    <row r="19" spans="1:5" ht="15.75" x14ac:dyDescent="0.25">
      <c r="A19" s="13"/>
      <c r="B19" s="16" t="s">
        <v>17</v>
      </c>
      <c r="C19" s="9"/>
      <c r="D19" s="19">
        <f>D16+D18+D17</f>
        <v>363994.37</v>
      </c>
      <c r="E19" s="13"/>
    </row>
    <row r="20" spans="1:5" ht="15.75" x14ac:dyDescent="0.25">
      <c r="A20" s="13"/>
      <c r="B20" s="16"/>
      <c r="C20" s="9"/>
      <c r="D20" s="19"/>
      <c r="E20" s="13"/>
    </row>
    <row r="21" spans="1:5" ht="15.75" x14ac:dyDescent="0.25">
      <c r="A21" s="20"/>
      <c r="B21" s="21" t="s">
        <v>18</v>
      </c>
      <c r="C21" s="20"/>
      <c r="D21" s="22"/>
      <c r="E21" s="23" t="s">
        <v>19</v>
      </c>
    </row>
    <row r="22" spans="1:5" x14ac:dyDescent="0.25">
      <c r="A22" s="24" t="s">
        <v>20</v>
      </c>
      <c r="B22" s="25" t="s">
        <v>21</v>
      </c>
      <c r="C22" s="20"/>
      <c r="D22" s="26">
        <f>D23+D26+D25</f>
        <v>33081.5</v>
      </c>
      <c r="E22" s="26">
        <f>E23</f>
        <v>6028.1102599999995</v>
      </c>
    </row>
    <row r="23" spans="1:5" x14ac:dyDescent="0.25">
      <c r="A23" s="20">
        <v>1</v>
      </c>
      <c r="B23" s="22" t="s">
        <v>22</v>
      </c>
      <c r="C23" s="27" t="s">
        <v>13</v>
      </c>
      <c r="D23" s="26">
        <f>D24</f>
        <v>29842.13</v>
      </c>
      <c r="E23" s="26">
        <f>E24+E25</f>
        <v>6028.1102599999995</v>
      </c>
    </row>
    <row r="24" spans="1:5" x14ac:dyDescent="0.25">
      <c r="A24" s="20"/>
      <c r="B24" s="20" t="s">
        <v>23</v>
      </c>
      <c r="C24" s="20"/>
      <c r="D24" s="20">
        <v>29842.13</v>
      </c>
      <c r="E24" s="28">
        <f>D24*20.2%</f>
        <v>6028.1102599999995</v>
      </c>
    </row>
    <row r="25" spans="1:5" x14ac:dyDescent="0.25">
      <c r="A25" s="20"/>
      <c r="B25" s="20" t="s">
        <v>75</v>
      </c>
      <c r="C25" s="20"/>
      <c r="D25" s="20">
        <f>1194.6+574.67</f>
        <v>1769.27</v>
      </c>
      <c r="E25" s="28"/>
    </row>
    <row r="26" spans="1:5" x14ac:dyDescent="0.25">
      <c r="A26" s="20">
        <v>2</v>
      </c>
      <c r="B26" s="27" t="s">
        <v>26</v>
      </c>
      <c r="C26" s="20"/>
      <c r="D26" s="20">
        <f>44.43+1425.67</f>
        <v>1470.1000000000001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54918.58</v>
      </c>
      <c r="E27" s="26">
        <f>E28</f>
        <v>9659.1410599999999</v>
      </c>
    </row>
    <row r="28" spans="1:5" x14ac:dyDescent="0.25">
      <c r="A28" s="20">
        <v>1</v>
      </c>
      <c r="B28" s="31" t="s">
        <v>229</v>
      </c>
      <c r="C28" s="20"/>
      <c r="D28" s="31">
        <v>47817.53</v>
      </c>
      <c r="E28" s="28">
        <f>D28*20.2%</f>
        <v>9659.1410599999999</v>
      </c>
    </row>
    <row r="29" spans="1:5" x14ac:dyDescent="0.25">
      <c r="A29" s="20">
        <v>2</v>
      </c>
      <c r="B29" s="31" t="s">
        <v>26</v>
      </c>
      <c r="C29" s="20"/>
      <c r="D29" s="31">
        <v>2157.0500000000002</v>
      </c>
      <c r="E29" s="20"/>
    </row>
    <row r="30" spans="1:5" x14ac:dyDescent="0.25">
      <c r="A30" s="20">
        <v>3</v>
      </c>
      <c r="B30" s="31" t="s">
        <v>60</v>
      </c>
      <c r="C30" s="20"/>
      <c r="D30" s="31">
        <v>4944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</f>
        <v>47657.395389999998</v>
      </c>
      <c r="E31" s="20"/>
    </row>
    <row r="32" spans="1:5" x14ac:dyDescent="0.25">
      <c r="A32" s="20"/>
      <c r="B32" s="20" t="s">
        <v>31</v>
      </c>
      <c r="C32" s="20"/>
      <c r="D32" s="28">
        <f>D19*4.7%</f>
        <v>17107.735389999998</v>
      </c>
      <c r="E32" s="20"/>
    </row>
    <row r="33" spans="1:5" x14ac:dyDescent="0.25">
      <c r="A33" s="20"/>
      <c r="B33" s="20" t="s">
        <v>57</v>
      </c>
      <c r="C33" s="20"/>
      <c r="D33" s="20">
        <v>1526.43</v>
      </c>
      <c r="E33" s="20"/>
    </row>
    <row r="34" spans="1:5" x14ac:dyDescent="0.25">
      <c r="A34" s="20"/>
      <c r="B34" s="20" t="s">
        <v>33</v>
      </c>
      <c r="C34" s="20"/>
      <c r="D34" s="28">
        <v>6989.62</v>
      </c>
      <c r="E34" s="20"/>
    </row>
    <row r="35" spans="1:5" x14ac:dyDescent="0.25">
      <c r="A35" s="20"/>
      <c r="B35" s="27" t="s">
        <v>35</v>
      </c>
      <c r="C35" s="20"/>
      <c r="D35" s="20">
        <v>4404.3100000000004</v>
      </c>
      <c r="E35" s="20"/>
    </row>
    <row r="36" spans="1:5" x14ac:dyDescent="0.25">
      <c r="A36" s="20"/>
      <c r="B36" s="31" t="s">
        <v>168</v>
      </c>
      <c r="C36" s="20"/>
      <c r="D36" s="20">
        <v>14176.29</v>
      </c>
      <c r="E36" s="20"/>
    </row>
    <row r="37" spans="1:5" x14ac:dyDescent="0.25">
      <c r="A37" s="20"/>
      <c r="B37" s="31" t="s">
        <v>131</v>
      </c>
      <c r="C37" s="20"/>
      <c r="D37" s="20">
        <v>172</v>
      </c>
      <c r="E37" s="20"/>
    </row>
    <row r="38" spans="1:5" x14ac:dyDescent="0.25">
      <c r="A38" s="20"/>
      <c r="B38" s="20" t="s">
        <v>37</v>
      </c>
      <c r="C38" s="20"/>
      <c r="D38" s="20">
        <v>3281.01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45897.82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D22+E22+D27+E27+D31+D39</f>
        <v>197242.54671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D19*6%</f>
        <v>21839.662199999999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219082.20890999999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D16+D18-D42</f>
        <v>53109.231090000016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D10+D44</f>
        <v>38710.231090000016</v>
      </c>
      <c r="E45" s="20"/>
    </row>
    <row r="46" spans="1:5" x14ac:dyDescent="0.25">
      <c r="A46" s="34"/>
      <c r="B46" s="35" t="s">
        <v>16</v>
      </c>
      <c r="C46" s="34"/>
      <c r="D46" s="36">
        <f>D11+D17</f>
        <v>-3003.8300000000017</v>
      </c>
      <c r="E46" s="34"/>
    </row>
    <row r="47" spans="1:5" x14ac:dyDescent="0.25">
      <c r="A47" s="34"/>
      <c r="B47" s="35" t="s">
        <v>226</v>
      </c>
      <c r="C47" s="34"/>
      <c r="D47" s="36">
        <v>8195.9699999999993</v>
      </c>
      <c r="E47" s="34"/>
    </row>
    <row r="48" spans="1:5" x14ac:dyDescent="0.25">
      <c r="A48" s="34"/>
      <c r="B48" s="35" t="s">
        <v>115</v>
      </c>
      <c r="C48" s="34"/>
      <c r="D48" s="36">
        <f>D46-D47</f>
        <v>-11199.800000000001</v>
      </c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4">
    <mergeCell ref="A5:B5"/>
    <mergeCell ref="C5:D5"/>
    <mergeCell ref="D7:E7"/>
    <mergeCell ref="D8:E8"/>
  </mergeCells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8" workbookViewId="0">
      <selection activeCell="G24" sqref="G24:H24"/>
    </sheetView>
  </sheetViews>
  <sheetFormatPr defaultRowHeight="15" x14ac:dyDescent="0.25"/>
  <cols>
    <col min="1" max="1" width="7.7109375" customWidth="1"/>
    <col min="2" max="2" width="41.85546875" customWidth="1"/>
    <col min="4" max="4" width="10.85546875" customWidth="1"/>
    <col min="5" max="5" width="12.140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169</v>
      </c>
    </row>
    <row r="4" spans="1:5" x14ac:dyDescent="0.25">
      <c r="A4" s="597"/>
      <c r="B4" s="597"/>
      <c r="C4" s="597"/>
      <c r="D4" s="597"/>
      <c r="E4" s="57"/>
    </row>
    <row r="5" spans="1:5" ht="15.75" x14ac:dyDescent="0.25">
      <c r="A5" s="13"/>
      <c r="B5" s="16" t="s">
        <v>3</v>
      </c>
      <c r="C5" s="15" t="s">
        <v>4</v>
      </c>
      <c r="D5" s="600" t="s">
        <v>5</v>
      </c>
      <c r="E5" s="601"/>
    </row>
    <row r="6" spans="1:5" ht="15.75" x14ac:dyDescent="0.25">
      <c r="A6" s="8"/>
      <c r="B6" s="6" t="s">
        <v>6</v>
      </c>
      <c r="C6" s="7" t="s">
        <v>51</v>
      </c>
      <c r="D6" s="504" t="s">
        <v>152</v>
      </c>
      <c r="E6" s="505"/>
    </row>
    <row r="7" spans="1:5" x14ac:dyDescent="0.25">
      <c r="A7" s="13"/>
      <c r="B7" s="14" t="s">
        <v>113</v>
      </c>
      <c r="C7" s="13"/>
      <c r="D7" s="472">
        <v>-399277.51</v>
      </c>
      <c r="E7" s="381"/>
    </row>
    <row r="8" spans="1:5" x14ac:dyDescent="0.25">
      <c r="A8" s="9"/>
      <c r="B8" s="12" t="s">
        <v>101</v>
      </c>
      <c r="C8" s="9"/>
      <c r="D8" s="378">
        <v>8319.5499999999993</v>
      </c>
      <c r="E8" s="11"/>
    </row>
    <row r="9" spans="1:5" x14ac:dyDescent="0.25">
      <c r="A9" s="13"/>
      <c r="B9" s="14" t="s">
        <v>9</v>
      </c>
      <c r="C9" s="12" t="s">
        <v>52</v>
      </c>
      <c r="D9" s="13">
        <v>6474.6</v>
      </c>
      <c r="E9" s="13"/>
    </row>
    <row r="10" spans="1:5" x14ac:dyDescent="0.25">
      <c r="A10" s="13"/>
      <c r="B10" s="14" t="s">
        <v>11</v>
      </c>
      <c r="C10" s="12" t="s">
        <v>52</v>
      </c>
      <c r="D10" s="13">
        <v>3358.2</v>
      </c>
      <c r="E10" s="13"/>
    </row>
    <row r="11" spans="1:5" x14ac:dyDescent="0.25">
      <c r="A11" s="13"/>
      <c r="B11" s="15" t="s">
        <v>12</v>
      </c>
      <c r="C11" s="12" t="s">
        <v>13</v>
      </c>
      <c r="D11" s="19">
        <v>533525.77</v>
      </c>
      <c r="E11" s="13"/>
    </row>
    <row r="12" spans="1:5" ht="15.75" x14ac:dyDescent="0.25">
      <c r="A12" s="13"/>
      <c r="B12" s="16" t="s">
        <v>14</v>
      </c>
      <c r="C12" s="9"/>
      <c r="D12" s="13"/>
      <c r="E12" s="13"/>
    </row>
    <row r="13" spans="1:5" x14ac:dyDescent="0.25">
      <c r="A13" s="13">
        <v>1</v>
      </c>
      <c r="B13" s="13" t="s">
        <v>15</v>
      </c>
      <c r="C13" s="12" t="s">
        <v>13</v>
      </c>
      <c r="D13" s="13">
        <f>416450.35+8198.8</f>
        <v>424649.14999999997</v>
      </c>
      <c r="E13" s="13"/>
    </row>
    <row r="14" spans="1:5" x14ac:dyDescent="0.25">
      <c r="A14" s="13">
        <v>2</v>
      </c>
      <c r="B14" s="13" t="s">
        <v>16</v>
      </c>
      <c r="C14" s="12"/>
      <c r="D14" s="13">
        <v>116884.16</v>
      </c>
      <c r="E14" s="13"/>
    </row>
    <row r="15" spans="1:5" x14ac:dyDescent="0.25">
      <c r="A15" s="13">
        <v>2</v>
      </c>
      <c r="B15" s="13" t="s">
        <v>92</v>
      </c>
      <c r="C15" s="9"/>
      <c r="D15" s="13">
        <v>8400</v>
      </c>
      <c r="E15" s="13"/>
    </row>
    <row r="16" spans="1:5" ht="15.75" x14ac:dyDescent="0.25">
      <c r="A16" s="13"/>
      <c r="B16" s="16" t="s">
        <v>17</v>
      </c>
      <c r="C16" s="9"/>
      <c r="D16" s="19">
        <f>D13+D15+D14</f>
        <v>549933.30999999994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D20+D25+D24</f>
        <v>162654.22999999998</v>
      </c>
      <c r="E19" s="26">
        <f>E20</f>
        <v>30715.1201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152055.04999999999</v>
      </c>
      <c r="E20" s="26">
        <f>E21+E22+E23+E24</f>
        <v>30715.1201</v>
      </c>
    </row>
    <row r="21" spans="1:5" x14ac:dyDescent="0.25">
      <c r="A21" s="20"/>
      <c r="B21" s="20" t="s">
        <v>23</v>
      </c>
      <c r="C21" s="20"/>
      <c r="D21" s="20">
        <v>33641.72</v>
      </c>
      <c r="E21" s="28">
        <f>D21*20.2%</f>
        <v>6795.6274399999993</v>
      </c>
    </row>
    <row r="22" spans="1:5" x14ac:dyDescent="0.25">
      <c r="A22" s="20"/>
      <c r="B22" s="20" t="s">
        <v>24</v>
      </c>
      <c r="C22" s="20"/>
      <c r="D22" s="29">
        <v>64474.84</v>
      </c>
      <c r="E22" s="28">
        <f t="shared" ref="E22:E23" si="0">D22*20.2%</f>
        <v>13023.917679999999</v>
      </c>
    </row>
    <row r="23" spans="1:5" x14ac:dyDescent="0.25">
      <c r="A23" s="20"/>
      <c r="B23" s="20" t="s">
        <v>25</v>
      </c>
      <c r="C23" s="20"/>
      <c r="D23" s="20">
        <v>53938.49</v>
      </c>
      <c r="E23" s="28">
        <f t="shared" si="0"/>
        <v>10895.574979999999</v>
      </c>
    </row>
    <row r="24" spans="1:5" x14ac:dyDescent="0.25">
      <c r="A24" s="20"/>
      <c r="B24" s="31" t="s">
        <v>214</v>
      </c>
      <c r="C24" s="20"/>
      <c r="D24" s="20">
        <f>2221.52+1150</f>
        <v>3371.52</v>
      </c>
      <c r="E24" s="28"/>
    </row>
    <row r="25" spans="1:5" x14ac:dyDescent="0.25">
      <c r="A25" s="20">
        <v>2</v>
      </c>
      <c r="B25" s="27" t="s">
        <v>26</v>
      </c>
      <c r="C25" s="20"/>
      <c r="D25" s="20">
        <f>7172.19+55.47</f>
        <v>7227.66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68482.77</v>
      </c>
      <c r="E26" s="26">
        <f>E27</f>
        <v>12058.93338</v>
      </c>
    </row>
    <row r="27" spans="1:5" x14ac:dyDescent="0.25">
      <c r="A27" s="20">
        <v>1</v>
      </c>
      <c r="B27" s="31" t="s">
        <v>229</v>
      </c>
      <c r="C27" s="20"/>
      <c r="D27" s="31">
        <v>59697.69</v>
      </c>
      <c r="E27" s="28">
        <f>D27*20.2%</f>
        <v>12058.93338</v>
      </c>
    </row>
    <row r="28" spans="1:5" x14ac:dyDescent="0.25">
      <c r="A28" s="20">
        <v>2</v>
      </c>
      <c r="B28" s="31" t="s">
        <v>26</v>
      </c>
      <c r="C28" s="20"/>
      <c r="D28" s="31">
        <v>2309.08</v>
      </c>
      <c r="E28" s="20"/>
    </row>
    <row r="29" spans="1:5" x14ac:dyDescent="0.25">
      <c r="A29" s="20">
        <v>3</v>
      </c>
      <c r="B29" s="31" t="s">
        <v>60</v>
      </c>
      <c r="C29" s="20"/>
      <c r="D29" s="31">
        <v>6476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D31+D32+D33+D34+D35+D36+D37+D38</f>
        <v>79496.305500000002</v>
      </c>
      <c r="E30" s="20"/>
    </row>
    <row r="31" spans="1:5" x14ac:dyDescent="0.25">
      <c r="A31" s="20"/>
      <c r="B31" s="20" t="s">
        <v>31</v>
      </c>
      <c r="C31" s="20"/>
      <c r="D31" s="28">
        <f>D16*5%</f>
        <v>27496.665499999999</v>
      </c>
      <c r="E31" s="20"/>
    </row>
    <row r="32" spans="1:5" x14ac:dyDescent="0.25">
      <c r="A32" s="20"/>
      <c r="B32" s="20" t="s">
        <v>57</v>
      </c>
      <c r="C32" s="20"/>
      <c r="D32" s="20">
        <v>1103.4100000000001</v>
      </c>
      <c r="E32" s="20"/>
    </row>
    <row r="33" spans="1:5" x14ac:dyDescent="0.25">
      <c r="A33" s="20"/>
      <c r="B33" s="20" t="s">
        <v>33</v>
      </c>
      <c r="C33" s="20"/>
      <c r="D33" s="28">
        <v>8726.18</v>
      </c>
      <c r="E33" s="20"/>
    </row>
    <row r="34" spans="1:5" x14ac:dyDescent="0.25">
      <c r="A34" s="20"/>
      <c r="B34" s="27" t="s">
        <v>35</v>
      </c>
      <c r="C34" s="20"/>
      <c r="D34" s="20">
        <v>5498.55</v>
      </c>
      <c r="E34" s="20"/>
    </row>
    <row r="35" spans="1:5" x14ac:dyDescent="0.25">
      <c r="A35" s="20"/>
      <c r="B35" s="27" t="s">
        <v>168</v>
      </c>
      <c r="C35" s="20"/>
      <c r="D35" s="20">
        <v>30431.33</v>
      </c>
      <c r="E35" s="20"/>
    </row>
    <row r="36" spans="1:5" x14ac:dyDescent="0.25">
      <c r="A36" s="20"/>
      <c r="B36" s="27" t="s">
        <v>210</v>
      </c>
      <c r="C36" s="20"/>
      <c r="D36" s="20">
        <v>1800</v>
      </c>
      <c r="E36" s="20"/>
    </row>
    <row r="37" spans="1:5" x14ac:dyDescent="0.25">
      <c r="A37" s="20"/>
      <c r="B37" s="31" t="s">
        <v>170</v>
      </c>
      <c r="C37" s="20"/>
      <c r="D37" s="20">
        <v>344</v>
      </c>
      <c r="E37" s="20"/>
    </row>
    <row r="38" spans="1:5" x14ac:dyDescent="0.25">
      <c r="A38" s="20"/>
      <c r="B38" s="20" t="s">
        <v>37</v>
      </c>
      <c r="C38" s="20"/>
      <c r="D38" s="20">
        <v>4096.17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59356.28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D19+E19+D26+E26+D30+D39+E39</f>
        <v>412763.63898000005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D16*6%</f>
        <v>32995.998599999992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445759.63758000004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D13+D15-D42</f>
        <v>-12710.487580000074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D7+D44</f>
        <v>-411987.99758000008</v>
      </c>
      <c r="E45" s="20"/>
    </row>
    <row r="46" spans="1:5" x14ac:dyDescent="0.25">
      <c r="A46" s="34"/>
      <c r="B46" s="35" t="s">
        <v>16</v>
      </c>
      <c r="C46" s="34"/>
      <c r="D46" s="36">
        <f>D8+D14</f>
        <v>125203.71</v>
      </c>
      <c r="E46" s="34"/>
    </row>
    <row r="47" spans="1:5" x14ac:dyDescent="0.25">
      <c r="A47" s="34"/>
      <c r="B47" s="35" t="s">
        <v>226</v>
      </c>
      <c r="C47" s="34"/>
      <c r="D47" s="36">
        <f>19237.76+12506.61</f>
        <v>31744.37</v>
      </c>
      <c r="E47" s="34"/>
    </row>
    <row r="48" spans="1:5" x14ac:dyDescent="0.25">
      <c r="A48" s="34"/>
      <c r="B48" s="35" t="s">
        <v>115</v>
      </c>
      <c r="C48" s="34"/>
      <c r="D48" s="36">
        <f>D46-D47</f>
        <v>93459.340000000011</v>
      </c>
      <c r="E48" s="34"/>
    </row>
    <row r="49" spans="1:7" x14ac:dyDescent="0.25">
      <c r="A49" s="37"/>
      <c r="B49" s="37" t="s">
        <v>45</v>
      </c>
      <c r="C49" s="37"/>
      <c r="D49" s="37" t="s">
        <v>46</v>
      </c>
      <c r="E49" s="37"/>
    </row>
    <row r="50" spans="1:7" x14ac:dyDescent="0.25">
      <c r="A50" s="37"/>
      <c r="B50" s="37" t="s">
        <v>47</v>
      </c>
      <c r="C50" s="37"/>
      <c r="D50" s="37" t="s">
        <v>48</v>
      </c>
      <c r="E50" s="37"/>
    </row>
    <row r="51" spans="1:7" x14ac:dyDescent="0.25">
      <c r="G51" s="464"/>
    </row>
  </sheetData>
  <mergeCells count="4">
    <mergeCell ref="D5:E5"/>
    <mergeCell ref="D6:E6"/>
    <mergeCell ref="A4:B4"/>
    <mergeCell ref="C4:D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5" workbookViewId="0">
      <selection activeCell="G24" sqref="G24:H24"/>
    </sheetView>
  </sheetViews>
  <sheetFormatPr defaultRowHeight="15" x14ac:dyDescent="0.25"/>
  <cols>
    <col min="2" max="2" width="39.28515625" customWidth="1"/>
    <col min="4" max="4" width="10.42578125" customWidth="1"/>
    <col min="5" max="5" width="12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171</v>
      </c>
    </row>
    <row r="5" spans="1:5" x14ac:dyDescent="0.25">
      <c r="A5" s="597"/>
      <c r="B5" s="597"/>
      <c r="C5" s="597"/>
      <c r="D5" s="597"/>
      <c r="E5" s="57"/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51</v>
      </c>
      <c r="D7" s="504" t="s">
        <v>165</v>
      </c>
      <c r="E7" s="505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-381480.27</v>
      </c>
      <c r="E9" s="11"/>
    </row>
    <row r="10" spans="1:5" x14ac:dyDescent="0.25">
      <c r="A10" s="13"/>
      <c r="B10" s="14" t="s">
        <v>9</v>
      </c>
      <c r="C10" s="12" t="s">
        <v>52</v>
      </c>
      <c r="D10" s="13">
        <v>6784.41</v>
      </c>
      <c r="E10" s="13"/>
    </row>
    <row r="11" spans="1:5" x14ac:dyDescent="0.25">
      <c r="A11" s="13"/>
      <c r="B11" s="14" t="s">
        <v>11</v>
      </c>
      <c r="C11" s="12" t="s">
        <v>52</v>
      </c>
      <c r="D11" s="13">
        <v>5045.5200000000004</v>
      </c>
      <c r="E11" s="13"/>
    </row>
    <row r="12" spans="1:5" x14ac:dyDescent="0.25">
      <c r="A12" s="13"/>
      <c r="B12" s="15" t="s">
        <v>12</v>
      </c>
      <c r="C12" s="12" t="s">
        <v>13</v>
      </c>
      <c r="D12" s="19">
        <v>413347.29</v>
      </c>
      <c r="E12" s="13"/>
    </row>
    <row r="13" spans="1:5" ht="15.75" x14ac:dyDescent="0.25">
      <c r="A13" s="13"/>
      <c r="B13" s="16" t="s">
        <v>14</v>
      </c>
      <c r="C13" s="9"/>
      <c r="D13" s="13"/>
      <c r="E13" s="13"/>
    </row>
    <row r="14" spans="1:5" x14ac:dyDescent="0.25">
      <c r="A14" s="13">
        <v>1</v>
      </c>
      <c r="B14" s="13" t="s">
        <v>15</v>
      </c>
      <c r="C14" s="12" t="s">
        <v>13</v>
      </c>
      <c r="D14" s="13">
        <v>429543.65</v>
      </c>
      <c r="E14" s="13"/>
    </row>
    <row r="15" spans="1:5" x14ac:dyDescent="0.25">
      <c r="A15" s="13">
        <v>2</v>
      </c>
      <c r="B15" s="13" t="s">
        <v>92</v>
      </c>
      <c r="C15" s="9"/>
      <c r="D15" s="13">
        <v>3600</v>
      </c>
      <c r="E15" s="13"/>
    </row>
    <row r="16" spans="1:5" ht="15.75" x14ac:dyDescent="0.25">
      <c r="A16" s="13"/>
      <c r="B16" s="16" t="s">
        <v>17</v>
      </c>
      <c r="C16" s="9"/>
      <c r="D16" s="19">
        <f>D14+D15</f>
        <v>433143.65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D20+D25+D24+D26</f>
        <v>185287.58999999997</v>
      </c>
      <c r="E19" s="26">
        <f>E20</f>
        <v>45114.809659999999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172193.93</v>
      </c>
      <c r="E20" s="26">
        <f>E21+E22+E23</f>
        <v>45114.809659999999</v>
      </c>
    </row>
    <row r="21" spans="1:5" x14ac:dyDescent="0.25">
      <c r="A21" s="20"/>
      <c r="B21" s="20" t="s">
        <v>23</v>
      </c>
      <c r="C21" s="20"/>
      <c r="D21" s="20">
        <v>28810.55</v>
      </c>
      <c r="E21" s="28">
        <f>D21*26.2%</f>
        <v>7548.3640999999998</v>
      </c>
    </row>
    <row r="22" spans="1:5" x14ac:dyDescent="0.25">
      <c r="A22" s="20"/>
      <c r="B22" s="20" t="s">
        <v>24</v>
      </c>
      <c r="C22" s="20"/>
      <c r="D22" s="29">
        <v>77214.98</v>
      </c>
      <c r="E22" s="28">
        <f>D22*26.2%</f>
        <v>20230.32476</v>
      </c>
    </row>
    <row r="23" spans="1:5" x14ac:dyDescent="0.25">
      <c r="A23" s="20"/>
      <c r="B23" s="20" t="s">
        <v>25</v>
      </c>
      <c r="C23" s="20"/>
      <c r="D23" s="20">
        <v>66168.399999999994</v>
      </c>
      <c r="E23" s="28">
        <f>D23*26.2%</f>
        <v>17336.120800000001</v>
      </c>
    </row>
    <row r="24" spans="1:5" x14ac:dyDescent="0.25">
      <c r="A24" s="20"/>
      <c r="B24" s="31" t="s">
        <v>145</v>
      </c>
      <c r="C24" s="20"/>
      <c r="D24" s="20">
        <f>4966</f>
        <v>4966</v>
      </c>
      <c r="E24" s="28"/>
    </row>
    <row r="25" spans="1:5" x14ac:dyDescent="0.25">
      <c r="A25" s="20">
        <v>2</v>
      </c>
      <c r="B25" s="27" t="s">
        <v>26</v>
      </c>
      <c r="C25" s="20"/>
      <c r="D25" s="20">
        <f>83.34+7854.02</f>
        <v>7937.3600000000006</v>
      </c>
      <c r="E25" s="28"/>
    </row>
    <row r="26" spans="1:5" x14ac:dyDescent="0.25">
      <c r="A26" s="20">
        <v>3</v>
      </c>
      <c r="B26" s="31" t="s">
        <v>213</v>
      </c>
      <c r="C26" s="20"/>
      <c r="D26" s="20">
        <v>190.3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109295.73000000001</v>
      </c>
      <c r="E27" s="26">
        <f>E28</f>
        <v>18117.91732</v>
      </c>
    </row>
    <row r="28" spans="1:5" x14ac:dyDescent="0.25">
      <c r="A28" s="20">
        <v>1</v>
      </c>
      <c r="B28" s="31" t="s">
        <v>229</v>
      </c>
      <c r="C28" s="20"/>
      <c r="D28" s="31">
        <v>89692.66</v>
      </c>
      <c r="E28" s="28">
        <f>D28*20.2%</f>
        <v>18117.91732</v>
      </c>
    </row>
    <row r="29" spans="1:5" x14ac:dyDescent="0.25">
      <c r="A29" s="20">
        <v>2</v>
      </c>
      <c r="B29" s="31" t="s">
        <v>26</v>
      </c>
      <c r="C29" s="20"/>
      <c r="D29" s="31">
        <v>11477.07</v>
      </c>
      <c r="E29" s="20"/>
    </row>
    <row r="30" spans="1:5" x14ac:dyDescent="0.25">
      <c r="A30" s="20">
        <v>3</v>
      </c>
      <c r="B30" s="31" t="s">
        <v>60</v>
      </c>
      <c r="C30" s="20"/>
      <c r="D30" s="20">
        <v>8126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D32+D33+D34+D35+D36+D37+D38+D39</f>
        <v>51724.561549999999</v>
      </c>
      <c r="E31" s="20"/>
    </row>
    <row r="32" spans="1:5" x14ac:dyDescent="0.25">
      <c r="A32" s="20"/>
      <c r="B32" s="20" t="s">
        <v>31</v>
      </c>
      <c r="C32" s="20"/>
      <c r="D32" s="28">
        <f>D16*4.7%</f>
        <v>20357.751550000001</v>
      </c>
      <c r="E32" s="20"/>
    </row>
    <row r="33" spans="1:5" x14ac:dyDescent="0.25">
      <c r="A33" s="20"/>
      <c r="B33" s="20" t="s">
        <v>57</v>
      </c>
      <c r="C33" s="20"/>
      <c r="D33" s="20">
        <v>1868.61</v>
      </c>
      <c r="E33" s="20"/>
    </row>
    <row r="34" spans="1:5" x14ac:dyDescent="0.25">
      <c r="A34" s="20"/>
      <c r="B34" s="20" t="s">
        <v>33</v>
      </c>
      <c r="C34" s="20"/>
      <c r="D34" s="28">
        <v>13110.63</v>
      </c>
      <c r="E34" s="20"/>
    </row>
    <row r="35" spans="1:5" x14ac:dyDescent="0.25">
      <c r="A35" s="20"/>
      <c r="B35" s="31" t="s">
        <v>210</v>
      </c>
      <c r="C35" s="20"/>
      <c r="D35" s="20">
        <v>1800</v>
      </c>
      <c r="E35" s="20"/>
    </row>
    <row r="36" spans="1:5" x14ac:dyDescent="0.25">
      <c r="A36" s="20"/>
      <c r="B36" s="27" t="s">
        <v>35</v>
      </c>
      <c r="C36" s="20"/>
      <c r="D36" s="20">
        <v>8261.2900000000009</v>
      </c>
      <c r="E36" s="20"/>
    </row>
    <row r="37" spans="1:5" x14ac:dyDescent="0.25">
      <c r="A37" s="20"/>
      <c r="B37" s="13" t="s">
        <v>106</v>
      </c>
      <c r="C37" s="20"/>
      <c r="D37" s="20">
        <v>0</v>
      </c>
      <c r="E37" s="20"/>
    </row>
    <row r="38" spans="1:5" x14ac:dyDescent="0.25">
      <c r="A38" s="20"/>
      <c r="B38" s="31" t="s">
        <v>131</v>
      </c>
      <c r="C38" s="20"/>
      <c r="D38" s="20">
        <v>172</v>
      </c>
      <c r="E38" s="20"/>
    </row>
    <row r="39" spans="1:5" x14ac:dyDescent="0.25">
      <c r="A39" s="20"/>
      <c r="B39" s="20" t="s">
        <v>37</v>
      </c>
      <c r="C39" s="20"/>
      <c r="D39" s="20">
        <v>6154.28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84895.23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D19+E19+D27+E27+D31+D40+E40</f>
        <v>494435.83852999995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D16*6%</f>
        <v>25988.618999999999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520424.45752999996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135</v>
      </c>
      <c r="C45" s="20"/>
      <c r="D45" s="26">
        <f>D16-D43</f>
        <v>-87280.807529999933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D9+D45</f>
        <v>-468761.07752999995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4">
    <mergeCell ref="A5:B5"/>
    <mergeCell ref="C5:D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4" workbookViewId="0">
      <selection activeCell="H25" sqref="H25:I40"/>
    </sheetView>
  </sheetViews>
  <sheetFormatPr defaultRowHeight="15" x14ac:dyDescent="0.25"/>
  <cols>
    <col min="1" max="1" width="7.28515625" customWidth="1"/>
    <col min="2" max="2" width="40" customWidth="1"/>
    <col min="4" max="4" width="11.5703125" customWidth="1"/>
    <col min="5" max="5" width="11.7109375" customWidth="1"/>
  </cols>
  <sheetData>
    <row r="1" spans="1:5" ht="15.75" x14ac:dyDescent="0.25">
      <c r="A1" s="37"/>
      <c r="B1" s="60" t="s">
        <v>0</v>
      </c>
      <c r="C1" s="37"/>
      <c r="D1" s="37"/>
      <c r="E1" s="37"/>
    </row>
    <row r="2" spans="1:5" x14ac:dyDescent="0.25">
      <c r="A2" s="37"/>
      <c r="B2" s="37"/>
      <c r="C2" s="37"/>
      <c r="D2" s="37"/>
      <c r="E2" s="37"/>
    </row>
    <row r="3" spans="1:5" x14ac:dyDescent="0.25">
      <c r="A3" s="37"/>
      <c r="B3" s="37" t="s">
        <v>65</v>
      </c>
      <c r="C3" s="37"/>
      <c r="D3" s="37"/>
      <c r="E3" s="37"/>
    </row>
    <row r="4" spans="1:5" x14ac:dyDescent="0.25">
      <c r="A4" s="37"/>
      <c r="B4" s="61" t="s">
        <v>133</v>
      </c>
      <c r="C4" s="37"/>
      <c r="D4" s="37"/>
      <c r="E4" s="37"/>
    </row>
    <row r="5" spans="1:5" x14ac:dyDescent="0.25">
      <c r="A5" s="496"/>
      <c r="B5" s="496"/>
      <c r="C5" s="496"/>
      <c r="D5" s="387"/>
      <c r="E5" s="62"/>
    </row>
    <row r="6" spans="1:5" x14ac:dyDescent="0.25">
      <c r="A6" s="63"/>
      <c r="B6" s="63"/>
      <c r="C6" s="63"/>
      <c r="D6" s="34"/>
      <c r="E6" s="64"/>
    </row>
    <row r="7" spans="1:5" ht="15.75" x14ac:dyDescent="0.25">
      <c r="A7" s="65"/>
      <c r="B7" s="66" t="s">
        <v>3</v>
      </c>
      <c r="C7" s="67" t="s">
        <v>4</v>
      </c>
      <c r="D7" s="497" t="s">
        <v>5</v>
      </c>
      <c r="E7" s="498"/>
    </row>
    <row r="8" spans="1:5" ht="15.75" x14ac:dyDescent="0.25">
      <c r="A8" s="68"/>
      <c r="B8" s="66" t="s">
        <v>6</v>
      </c>
      <c r="C8" s="67" t="s">
        <v>7</v>
      </c>
      <c r="D8" s="499" t="s">
        <v>128</v>
      </c>
      <c r="E8" s="500"/>
    </row>
    <row r="9" spans="1:5" x14ac:dyDescent="0.25">
      <c r="A9" s="69"/>
      <c r="B9" s="69"/>
      <c r="C9" s="69"/>
      <c r="D9" s="70"/>
      <c r="E9" s="71"/>
    </row>
    <row r="10" spans="1:5" x14ac:dyDescent="0.25">
      <c r="A10" s="69"/>
      <c r="B10" s="72" t="s">
        <v>56</v>
      </c>
      <c r="C10" s="69"/>
      <c r="D10" s="20">
        <v>-8076.05</v>
      </c>
      <c r="E10" s="71"/>
    </row>
    <row r="11" spans="1:5" x14ac:dyDescent="0.25">
      <c r="A11" s="20"/>
      <c r="B11" s="73" t="s">
        <v>9</v>
      </c>
      <c r="C11" s="20" t="s">
        <v>10</v>
      </c>
      <c r="D11" s="20">
        <v>8417.7000000000007</v>
      </c>
      <c r="E11" s="20"/>
    </row>
    <row r="12" spans="1:5" x14ac:dyDescent="0.25">
      <c r="A12" s="20"/>
      <c r="B12" s="73" t="s">
        <v>11</v>
      </c>
      <c r="C12" s="20" t="s">
        <v>10</v>
      </c>
      <c r="D12" s="20">
        <v>6057.7</v>
      </c>
      <c r="E12" s="20"/>
    </row>
    <row r="13" spans="1:5" x14ac:dyDescent="0.25">
      <c r="A13" s="20"/>
      <c r="B13" s="25" t="s">
        <v>12</v>
      </c>
      <c r="C13" s="20" t="s">
        <v>13</v>
      </c>
      <c r="D13" s="22">
        <v>473444.34</v>
      </c>
      <c r="E13" s="20"/>
    </row>
    <row r="14" spans="1:5" x14ac:dyDescent="0.25">
      <c r="A14" s="20"/>
      <c r="B14" s="20"/>
      <c r="C14" s="20"/>
      <c r="D14" s="20"/>
      <c r="E14" s="20"/>
    </row>
    <row r="15" spans="1:5" ht="15.75" x14ac:dyDescent="0.25">
      <c r="A15" s="20"/>
      <c r="B15" s="21" t="s">
        <v>14</v>
      </c>
      <c r="C15" s="20"/>
      <c r="D15" s="20"/>
      <c r="E15" s="20"/>
    </row>
    <row r="16" spans="1:5" x14ac:dyDescent="0.25">
      <c r="A16" s="20">
        <v>1</v>
      </c>
      <c r="B16" s="20" t="s">
        <v>15</v>
      </c>
      <c r="C16" s="20" t="s">
        <v>13</v>
      </c>
      <c r="D16" s="22">
        <v>474397.64</v>
      </c>
      <c r="E16" s="20"/>
    </row>
    <row r="17" spans="1:5" x14ac:dyDescent="0.25">
      <c r="A17" s="20">
        <v>2</v>
      </c>
      <c r="B17" s="20" t="s">
        <v>92</v>
      </c>
      <c r="C17" s="20"/>
      <c r="D17" s="22">
        <v>2400</v>
      </c>
      <c r="E17" s="20"/>
    </row>
    <row r="18" spans="1:5" ht="15.75" x14ac:dyDescent="0.25">
      <c r="A18" s="20"/>
      <c r="B18" s="21" t="s">
        <v>17</v>
      </c>
      <c r="C18" s="20"/>
      <c r="D18" s="26">
        <f>D16+D17</f>
        <v>476797.64</v>
      </c>
      <c r="E18" s="20"/>
    </row>
    <row r="19" spans="1:5" ht="15.75" x14ac:dyDescent="0.25">
      <c r="A19" s="20"/>
      <c r="B19" s="21"/>
      <c r="C19" s="20"/>
      <c r="D19" s="26"/>
      <c r="E19" s="20"/>
    </row>
    <row r="20" spans="1:5" ht="15.75" x14ac:dyDescent="0.25">
      <c r="A20" s="20"/>
      <c r="B20" s="21" t="s">
        <v>18</v>
      </c>
      <c r="C20" s="20"/>
      <c r="D20" s="22"/>
      <c r="E20" s="31" t="s">
        <v>58</v>
      </c>
    </row>
    <row r="21" spans="1:5" x14ac:dyDescent="0.25">
      <c r="A21" s="24" t="s">
        <v>20</v>
      </c>
      <c r="B21" s="25" t="s">
        <v>21</v>
      </c>
      <c r="C21" s="20"/>
      <c r="D21" s="26">
        <f>D22+D26+D25</f>
        <v>46989.99</v>
      </c>
      <c r="E21" s="26">
        <f>E22</f>
        <v>8083.2622999999985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</f>
        <v>40016.15</v>
      </c>
      <c r="E22" s="26">
        <f>E23+E24</f>
        <v>8083.2622999999985</v>
      </c>
    </row>
    <row r="23" spans="1:5" x14ac:dyDescent="0.25">
      <c r="A23" s="20"/>
      <c r="B23" s="20" t="s">
        <v>23</v>
      </c>
      <c r="C23" s="20"/>
      <c r="D23" s="400">
        <v>33351.279999999999</v>
      </c>
      <c r="E23" s="28">
        <f>D23*20.2%</f>
        <v>6736.9585599999991</v>
      </c>
    </row>
    <row r="24" spans="1:5" x14ac:dyDescent="0.25">
      <c r="A24" s="20"/>
      <c r="B24" s="31" t="s">
        <v>75</v>
      </c>
      <c r="C24" s="20"/>
      <c r="D24" s="400">
        <v>6664.87</v>
      </c>
      <c r="E24" s="28">
        <f t="shared" ref="E24" si="0">D24*20.2%</f>
        <v>1346.3037399999998</v>
      </c>
    </row>
    <row r="25" spans="1:5" x14ac:dyDescent="0.25">
      <c r="A25" s="20"/>
      <c r="B25" s="31" t="s">
        <v>145</v>
      </c>
      <c r="C25" s="20"/>
      <c r="D25" s="400">
        <v>3127</v>
      </c>
      <c r="E25" s="28"/>
    </row>
    <row r="26" spans="1:5" x14ac:dyDescent="0.25">
      <c r="A26" s="20">
        <v>2</v>
      </c>
      <c r="B26" s="27" t="s">
        <v>26</v>
      </c>
      <c r="C26" s="20"/>
      <c r="D26" s="400">
        <f>114.45+3732.39</f>
        <v>3846.8399999999997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128501.40999999999</v>
      </c>
      <c r="E27" s="26">
        <f>E28</f>
        <v>22291.897859999997</v>
      </c>
    </row>
    <row r="28" spans="1:5" x14ac:dyDescent="0.25">
      <c r="A28" s="20">
        <v>1</v>
      </c>
      <c r="B28" s="31" t="s">
        <v>229</v>
      </c>
      <c r="C28" s="20"/>
      <c r="D28" s="31">
        <v>110355.93</v>
      </c>
      <c r="E28" s="33">
        <f>D28*20.2%</f>
        <v>22291.897859999997</v>
      </c>
    </row>
    <row r="29" spans="1:5" x14ac:dyDescent="0.25">
      <c r="A29" s="20">
        <v>2</v>
      </c>
      <c r="B29" s="31" t="s">
        <v>26</v>
      </c>
      <c r="C29" s="20"/>
      <c r="D29" s="31">
        <v>7021.48</v>
      </c>
      <c r="E29" s="20"/>
    </row>
    <row r="30" spans="1:5" x14ac:dyDescent="0.25">
      <c r="A30" s="20">
        <v>3</v>
      </c>
      <c r="B30" s="31" t="s">
        <v>211</v>
      </c>
      <c r="C30" s="20"/>
      <c r="D30" s="31">
        <v>11124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</f>
        <v>62847.322000000007</v>
      </c>
      <c r="E31" s="20"/>
    </row>
    <row r="32" spans="1:5" x14ac:dyDescent="0.25">
      <c r="A32" s="20"/>
      <c r="B32" s="20" t="s">
        <v>31</v>
      </c>
      <c r="C32" s="20"/>
      <c r="D32" s="28">
        <f>D18*5%</f>
        <v>23839.882000000001</v>
      </c>
      <c r="E32" s="20"/>
    </row>
    <row r="33" spans="1:5" x14ac:dyDescent="0.25">
      <c r="A33" s="20"/>
      <c r="B33" s="20" t="s">
        <v>33</v>
      </c>
      <c r="C33" s="20"/>
      <c r="D33" s="28">
        <v>16131.03</v>
      </c>
      <c r="E33" s="20"/>
    </row>
    <row r="34" spans="1:5" x14ac:dyDescent="0.25">
      <c r="A34" s="400"/>
      <c r="B34" s="20" t="s">
        <v>57</v>
      </c>
      <c r="C34" s="400"/>
      <c r="D34" s="401">
        <v>1517.8</v>
      </c>
      <c r="E34" s="400"/>
    </row>
    <row r="35" spans="1:5" x14ac:dyDescent="0.25">
      <c r="A35" s="20"/>
      <c r="B35" s="27" t="s">
        <v>131</v>
      </c>
      <c r="C35" s="20"/>
      <c r="D35" s="20">
        <v>172</v>
      </c>
      <c r="E35" s="20"/>
    </row>
    <row r="36" spans="1:5" x14ac:dyDescent="0.25">
      <c r="A36" s="20"/>
      <c r="B36" s="27" t="s">
        <v>35</v>
      </c>
      <c r="C36" s="20"/>
      <c r="D36" s="20">
        <v>10164.51</v>
      </c>
      <c r="E36" s="20"/>
    </row>
    <row r="37" spans="1:5" x14ac:dyDescent="0.25">
      <c r="A37" s="20"/>
      <c r="B37" s="27" t="s">
        <v>236</v>
      </c>
      <c r="C37" s="20"/>
      <c r="D37" s="28">
        <v>3450</v>
      </c>
      <c r="E37" s="20"/>
    </row>
    <row r="38" spans="1:5" x14ac:dyDescent="0.25">
      <c r="A38" s="20"/>
      <c r="B38" s="20" t="s">
        <v>37</v>
      </c>
      <c r="C38" s="20"/>
      <c r="D38" s="20">
        <v>7572.1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115155.3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D21+E21+D27+E27+D31+D39</f>
        <v>383869.18215999997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D18*6%</f>
        <v>28607.858400000001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412477.04055999999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D18-D42</f>
        <v>64320.59944000002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D10+D44</f>
        <v>56244.549440000017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7"/>
      <c r="B47" s="37" t="s">
        <v>45</v>
      </c>
      <c r="C47" s="37"/>
      <c r="D47" s="37" t="s">
        <v>46</v>
      </c>
      <c r="E47" s="37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5" workbookViewId="0">
      <selection activeCell="H31" sqref="H31:I45"/>
    </sheetView>
  </sheetViews>
  <sheetFormatPr defaultRowHeight="15" x14ac:dyDescent="0.25"/>
  <cols>
    <col min="1" max="1" width="7.7109375" customWidth="1"/>
    <col min="2" max="2" width="41" customWidth="1"/>
    <col min="4" max="4" width="10.85546875" customWidth="1"/>
    <col min="5" max="5" width="10.71093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172</v>
      </c>
      <c r="D3" s="13"/>
    </row>
    <row r="4" spans="1:5" x14ac:dyDescent="0.25">
      <c r="A4" s="597"/>
      <c r="B4" s="597"/>
      <c r="C4" s="597"/>
      <c r="D4" s="597"/>
      <c r="E4" s="57"/>
    </row>
    <row r="5" spans="1:5" ht="15.75" x14ac:dyDescent="0.25">
      <c r="A5" s="13"/>
      <c r="B5" s="16" t="s">
        <v>3</v>
      </c>
      <c r="C5" s="15" t="s">
        <v>4</v>
      </c>
      <c r="D5" s="600" t="s">
        <v>5</v>
      </c>
      <c r="E5" s="601"/>
    </row>
    <row r="6" spans="1:5" ht="15.75" x14ac:dyDescent="0.25">
      <c r="A6" s="8"/>
      <c r="B6" s="6" t="s">
        <v>6</v>
      </c>
      <c r="C6" s="7" t="s">
        <v>51</v>
      </c>
      <c r="D6" s="504" t="s">
        <v>152</v>
      </c>
      <c r="E6" s="505"/>
    </row>
    <row r="7" spans="1:5" x14ac:dyDescent="0.25">
      <c r="A7" s="13"/>
      <c r="B7" s="14" t="s">
        <v>8</v>
      </c>
      <c r="C7" s="13"/>
      <c r="D7" s="429">
        <v>-444486.09</v>
      </c>
      <c r="E7" s="381"/>
    </row>
    <row r="8" spans="1:5" x14ac:dyDescent="0.25">
      <c r="A8" s="13"/>
      <c r="B8" s="14" t="s">
        <v>9</v>
      </c>
      <c r="C8" s="12" t="s">
        <v>52</v>
      </c>
      <c r="D8" s="13">
        <v>7643.96</v>
      </c>
      <c r="E8" s="13"/>
    </row>
    <row r="9" spans="1:5" x14ac:dyDescent="0.25">
      <c r="A9" s="13"/>
      <c r="B9" s="14" t="s">
        <v>11</v>
      </c>
      <c r="C9" s="12" t="s">
        <v>52</v>
      </c>
      <c r="D9" s="13">
        <v>5799.3</v>
      </c>
      <c r="E9" s="13"/>
    </row>
    <row r="10" spans="1:5" x14ac:dyDescent="0.25">
      <c r="A10" s="13"/>
      <c r="B10" s="15" t="s">
        <v>12</v>
      </c>
      <c r="C10" s="12" t="s">
        <v>13</v>
      </c>
      <c r="D10" s="462">
        <v>538699.66</v>
      </c>
      <c r="E10" s="13"/>
    </row>
    <row r="11" spans="1:5" ht="15.75" x14ac:dyDescent="0.25">
      <c r="A11" s="13"/>
      <c r="B11" s="16" t="s">
        <v>14</v>
      </c>
      <c r="C11" s="9"/>
      <c r="D11" s="13"/>
      <c r="E11" s="13"/>
    </row>
    <row r="12" spans="1:5" x14ac:dyDescent="0.25">
      <c r="A12" s="13">
        <v>1</v>
      </c>
      <c r="B12" s="13" t="s">
        <v>15</v>
      </c>
      <c r="C12" s="12" t="s">
        <v>13</v>
      </c>
      <c r="D12" s="13">
        <v>512490.51</v>
      </c>
      <c r="E12" s="13"/>
    </row>
    <row r="13" spans="1:5" x14ac:dyDescent="0.25">
      <c r="A13" s="13">
        <v>2</v>
      </c>
      <c r="B13" s="13" t="s">
        <v>16</v>
      </c>
      <c r="C13" s="12"/>
      <c r="D13" s="13">
        <v>7509.51</v>
      </c>
      <c r="E13" s="13"/>
    </row>
    <row r="14" spans="1:5" x14ac:dyDescent="0.25">
      <c r="A14" s="13">
        <v>3</v>
      </c>
      <c r="B14" s="13" t="s">
        <v>92</v>
      </c>
      <c r="C14" s="9"/>
      <c r="D14" s="13">
        <v>15600</v>
      </c>
      <c r="E14" s="13"/>
    </row>
    <row r="15" spans="1:5" x14ac:dyDescent="0.25">
      <c r="A15" s="13">
        <v>4</v>
      </c>
      <c r="B15" s="13" t="s">
        <v>242</v>
      </c>
      <c r="C15" s="9"/>
      <c r="D15" s="13">
        <v>6900</v>
      </c>
      <c r="E15" s="13"/>
    </row>
    <row r="16" spans="1:5" ht="15.75" x14ac:dyDescent="0.25">
      <c r="A16" s="13"/>
      <c r="B16" s="16" t="s">
        <v>17</v>
      </c>
      <c r="C16" s="9"/>
      <c r="D16" s="19">
        <f>D12+D13+D14+D15</f>
        <v>542500.02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D20+D26+D24+D27+D25</f>
        <v>235059.50999999998</v>
      </c>
      <c r="E19" s="26">
        <f>E20</f>
        <v>44269.774600000004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</f>
        <v>219157.3</v>
      </c>
      <c r="E20" s="26">
        <f>E21+E22+E24+E23</f>
        <v>44269.774600000004</v>
      </c>
    </row>
    <row r="21" spans="1:5" x14ac:dyDescent="0.25">
      <c r="A21" s="20"/>
      <c r="B21" s="20" t="s">
        <v>23</v>
      </c>
      <c r="C21" s="20"/>
      <c r="D21" s="20">
        <v>24373.31</v>
      </c>
      <c r="E21" s="28">
        <f>D21*20.2%</f>
        <v>4923.4086200000002</v>
      </c>
    </row>
    <row r="22" spans="1:5" x14ac:dyDescent="0.25">
      <c r="A22" s="20"/>
      <c r="B22" s="20" t="s">
        <v>24</v>
      </c>
      <c r="C22" s="20"/>
      <c r="D22" s="29">
        <v>100268.83</v>
      </c>
      <c r="E22" s="28">
        <f t="shared" ref="E22:E23" si="0">D22*20.2%</f>
        <v>20254.303659999998</v>
      </c>
    </row>
    <row r="23" spans="1:5" x14ac:dyDescent="0.25">
      <c r="A23" s="20"/>
      <c r="B23" s="20" t="s">
        <v>25</v>
      </c>
      <c r="C23" s="20"/>
      <c r="D23" s="20">
        <f>25799.13+68716.03</f>
        <v>94515.16</v>
      </c>
      <c r="E23" s="28">
        <f t="shared" si="0"/>
        <v>19092.062320000001</v>
      </c>
    </row>
    <row r="24" spans="1:5" x14ac:dyDescent="0.25">
      <c r="A24" s="20">
        <v>2</v>
      </c>
      <c r="B24" s="31" t="s">
        <v>216</v>
      </c>
      <c r="C24" s="20"/>
      <c r="D24" s="20">
        <f>2300+1150</f>
        <v>3450</v>
      </c>
      <c r="E24" s="28"/>
    </row>
    <row r="25" spans="1:5" x14ac:dyDescent="0.25">
      <c r="A25" s="20">
        <v>3</v>
      </c>
      <c r="B25" s="31" t="s">
        <v>145</v>
      </c>
      <c r="C25" s="20"/>
      <c r="D25" s="20">
        <v>2225</v>
      </c>
      <c r="E25" s="28"/>
    </row>
    <row r="26" spans="1:5" x14ac:dyDescent="0.25">
      <c r="A26" s="20">
        <v>4</v>
      </c>
      <c r="B26" s="27" t="s">
        <v>26</v>
      </c>
      <c r="C26" s="20"/>
      <c r="D26" s="20">
        <f>95.72+8315.28</f>
        <v>8411</v>
      </c>
      <c r="E26" s="28"/>
    </row>
    <row r="27" spans="1:5" x14ac:dyDescent="0.25">
      <c r="A27" s="20">
        <v>5</v>
      </c>
      <c r="B27" s="27" t="s">
        <v>213</v>
      </c>
      <c r="C27" s="20"/>
      <c r="D27" s="20">
        <v>1816.21</v>
      </c>
      <c r="E27" s="28"/>
    </row>
    <row r="28" spans="1:5" x14ac:dyDescent="0.25">
      <c r="A28" s="24" t="s">
        <v>27</v>
      </c>
      <c r="B28" s="30" t="s">
        <v>28</v>
      </c>
      <c r="C28" s="20"/>
      <c r="D28" s="22">
        <f>D29+D30+D31</f>
        <v>121247.05</v>
      </c>
      <c r="E28" s="26">
        <f>E29</f>
        <v>20807.96142</v>
      </c>
    </row>
    <row r="29" spans="1:5" x14ac:dyDescent="0.25">
      <c r="A29" s="20">
        <v>1</v>
      </c>
      <c r="B29" s="31" t="s">
        <v>229</v>
      </c>
      <c r="C29" s="20"/>
      <c r="D29" s="31">
        <v>103009.71</v>
      </c>
      <c r="E29" s="28">
        <f>D29*20.2%</f>
        <v>20807.96142</v>
      </c>
    </row>
    <row r="30" spans="1:5" x14ac:dyDescent="0.25">
      <c r="A30" s="20">
        <v>2</v>
      </c>
      <c r="B30" s="31" t="s">
        <v>26</v>
      </c>
      <c r="C30" s="20"/>
      <c r="D30" s="31">
        <v>8523.34</v>
      </c>
      <c r="E30" s="20"/>
    </row>
    <row r="31" spans="1:5" x14ac:dyDescent="0.25">
      <c r="A31" s="20">
        <v>3</v>
      </c>
      <c r="B31" s="31" t="s">
        <v>60</v>
      </c>
      <c r="C31" s="20"/>
      <c r="D31" s="31">
        <v>9714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D33+D34+D35+D36+D37+D38</f>
        <v>61479.611000000004</v>
      </c>
      <c r="E32" s="20"/>
    </row>
    <row r="33" spans="1:5" x14ac:dyDescent="0.25">
      <c r="A33" s="20"/>
      <c r="B33" s="20" t="s">
        <v>31</v>
      </c>
      <c r="C33" s="20"/>
      <c r="D33" s="28">
        <f>D16*5%</f>
        <v>27125.001000000004</v>
      </c>
      <c r="E33" s="20"/>
    </row>
    <row r="34" spans="1:5" x14ac:dyDescent="0.25">
      <c r="A34" s="20"/>
      <c r="B34" s="20" t="s">
        <v>57</v>
      </c>
      <c r="C34" s="20"/>
      <c r="D34" s="20">
        <v>2569.4699999999998</v>
      </c>
      <c r="E34" s="20"/>
    </row>
    <row r="35" spans="1:5" x14ac:dyDescent="0.25">
      <c r="A35" s="20"/>
      <c r="B35" s="20" t="s">
        <v>33</v>
      </c>
      <c r="C35" s="20"/>
      <c r="D35" s="28">
        <v>15057.22</v>
      </c>
      <c r="E35" s="20"/>
    </row>
    <row r="36" spans="1:5" x14ac:dyDescent="0.25">
      <c r="A36" s="20"/>
      <c r="B36" s="27" t="s">
        <v>35</v>
      </c>
      <c r="C36" s="20"/>
      <c r="D36" s="20">
        <v>9487.8799999999992</v>
      </c>
      <c r="E36" s="20"/>
    </row>
    <row r="37" spans="1:5" x14ac:dyDescent="0.25">
      <c r="A37" s="20"/>
      <c r="B37" s="31" t="s">
        <v>131</v>
      </c>
      <c r="C37" s="20"/>
      <c r="D37" s="20">
        <v>172</v>
      </c>
      <c r="E37" s="20"/>
    </row>
    <row r="38" spans="1:5" x14ac:dyDescent="0.25">
      <c r="A38" s="20"/>
      <c r="B38" s="20" t="s">
        <v>37</v>
      </c>
      <c r="C38" s="20"/>
      <c r="D38" s="20">
        <v>7068.04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97762.06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D19+E19+D28+E28+D32+D39+E39</f>
        <v>580625.9670200001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D16*6%</f>
        <v>32550.001199999999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613175.96822000016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D16-D42</f>
        <v>-70675.948220000137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D7+D44</f>
        <v>-515162.03822000016</v>
      </c>
      <c r="E45" s="20"/>
    </row>
    <row r="46" spans="1:5" x14ac:dyDescent="0.25">
      <c r="A46" s="447"/>
      <c r="B46" s="35" t="s">
        <v>16</v>
      </c>
      <c r="C46" s="34"/>
      <c r="D46" s="36">
        <f>D13</f>
        <v>7509.51</v>
      </c>
      <c r="E46" s="34"/>
    </row>
    <row r="47" spans="1:5" x14ac:dyDescent="0.25">
      <c r="A47" s="447"/>
      <c r="B47" s="35" t="s">
        <v>226</v>
      </c>
      <c r="C47" s="34"/>
      <c r="D47" s="36">
        <v>14095.35</v>
      </c>
      <c r="E47" s="34"/>
    </row>
    <row r="48" spans="1:5" x14ac:dyDescent="0.25">
      <c r="A48" s="447"/>
      <c r="B48" s="35" t="s">
        <v>115</v>
      </c>
      <c r="C48" s="34"/>
      <c r="D48" s="36">
        <f>D46-D47</f>
        <v>-6585.84</v>
      </c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4">
    <mergeCell ref="A4:B4"/>
    <mergeCell ref="C4:D4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8" workbookViewId="0">
      <selection activeCell="D54" sqref="D54"/>
    </sheetView>
  </sheetViews>
  <sheetFormatPr defaultRowHeight="15" x14ac:dyDescent="0.25"/>
  <cols>
    <col min="1" max="1" width="7.5703125" customWidth="1"/>
    <col min="2" max="2" width="45.140625" customWidth="1"/>
    <col min="4" max="4" width="12.42578125" customWidth="1"/>
    <col min="5" max="5" width="11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173</v>
      </c>
    </row>
    <row r="5" spans="1:5" x14ac:dyDescent="0.25">
      <c r="A5" s="501"/>
      <c r="B5" s="501"/>
      <c r="C5" s="501"/>
      <c r="D5" s="501"/>
      <c r="E5" s="58"/>
    </row>
    <row r="6" spans="1:5" x14ac:dyDescent="0.25">
      <c r="A6" s="5"/>
      <c r="B6" s="5"/>
      <c r="C6" s="2"/>
      <c r="D6" s="3"/>
      <c r="E6" s="59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51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100</v>
      </c>
      <c r="C10" s="9"/>
      <c r="D10" s="10">
        <v>-537087.38</v>
      </c>
      <c r="E10" s="11"/>
    </row>
    <row r="11" spans="1:5" x14ac:dyDescent="0.25">
      <c r="A11" s="9"/>
      <c r="B11" s="12" t="s">
        <v>101</v>
      </c>
      <c r="C11" s="9"/>
      <c r="D11" s="10">
        <v>241024.27</v>
      </c>
      <c r="E11" s="11"/>
    </row>
    <row r="12" spans="1:5" x14ac:dyDescent="0.25">
      <c r="A12" s="13"/>
      <c r="B12" s="14" t="s">
        <v>9</v>
      </c>
      <c r="C12" s="12" t="s">
        <v>52</v>
      </c>
      <c r="D12" s="13">
        <v>8218.36</v>
      </c>
      <c r="E12" s="13"/>
    </row>
    <row r="13" spans="1:5" x14ac:dyDescent="0.25">
      <c r="A13" s="13"/>
      <c r="B13" s="14" t="s">
        <v>11</v>
      </c>
      <c r="C13" s="12" t="s">
        <v>52</v>
      </c>
      <c r="D13" s="17">
        <v>5705.6</v>
      </c>
      <c r="E13" s="13"/>
    </row>
    <row r="14" spans="1:5" x14ac:dyDescent="0.25">
      <c r="A14" s="13"/>
      <c r="B14" s="15" t="s">
        <v>12</v>
      </c>
      <c r="C14" s="12" t="s">
        <v>13</v>
      </c>
      <c r="D14" s="13">
        <v>983794.56</v>
      </c>
      <c r="E14" s="13"/>
    </row>
    <row r="15" spans="1:5" ht="15.75" x14ac:dyDescent="0.25">
      <c r="A15" s="13"/>
      <c r="B15" s="16" t="s">
        <v>14</v>
      </c>
      <c r="C15" s="9"/>
      <c r="D15" s="13"/>
      <c r="E15" s="13"/>
    </row>
    <row r="16" spans="1:5" x14ac:dyDescent="0.25">
      <c r="A16" s="13">
        <v>1</v>
      </c>
      <c r="B16" s="13" t="s">
        <v>15</v>
      </c>
      <c r="C16" s="12" t="s">
        <v>13</v>
      </c>
      <c r="D16" s="17">
        <f>771228.75+8679.37</f>
        <v>779908.12</v>
      </c>
      <c r="E16" s="13"/>
    </row>
    <row r="17" spans="1:5" x14ac:dyDescent="0.25">
      <c r="A17" s="13">
        <v>2</v>
      </c>
      <c r="B17" s="13" t="s">
        <v>16</v>
      </c>
      <c r="C17" s="9"/>
      <c r="D17" s="13">
        <v>194910.83</v>
      </c>
      <c r="E17" s="13"/>
    </row>
    <row r="18" spans="1:5" x14ac:dyDescent="0.25">
      <c r="A18" s="13">
        <v>3</v>
      </c>
      <c r="B18" s="13" t="s">
        <v>92</v>
      </c>
      <c r="C18" s="9"/>
      <c r="D18" s="13">
        <v>2400</v>
      </c>
      <c r="E18" s="13"/>
    </row>
    <row r="19" spans="1:5" ht="15.75" x14ac:dyDescent="0.25">
      <c r="A19" s="13"/>
      <c r="B19" s="16" t="s">
        <v>17</v>
      </c>
      <c r="C19" s="9"/>
      <c r="D19" s="18">
        <f>D16+D17+D18</f>
        <v>977218.95</v>
      </c>
      <c r="E19" s="13"/>
    </row>
    <row r="20" spans="1:5" ht="15.75" x14ac:dyDescent="0.25">
      <c r="A20" s="13"/>
      <c r="B20" s="16"/>
      <c r="C20" s="9"/>
      <c r="D20" s="19"/>
      <c r="E20" s="13"/>
    </row>
    <row r="21" spans="1:5" ht="15.75" x14ac:dyDescent="0.25">
      <c r="A21" s="20"/>
      <c r="B21" s="21" t="s">
        <v>18</v>
      </c>
      <c r="C21" s="20"/>
      <c r="D21" s="22"/>
      <c r="E21" s="23" t="s">
        <v>19</v>
      </c>
    </row>
    <row r="22" spans="1:5" x14ac:dyDescent="0.25">
      <c r="A22" s="24" t="s">
        <v>20</v>
      </c>
      <c r="B22" s="25" t="s">
        <v>21</v>
      </c>
      <c r="C22" s="20"/>
      <c r="D22" s="26">
        <f>D23+D30+D27+D28+D29</f>
        <v>325966.88</v>
      </c>
      <c r="E22" s="26">
        <f>E23+E30</f>
        <v>73167.655319999991</v>
      </c>
    </row>
    <row r="23" spans="1:5" x14ac:dyDescent="0.25">
      <c r="A23" s="20">
        <v>1</v>
      </c>
      <c r="B23" s="22" t="s">
        <v>22</v>
      </c>
      <c r="C23" s="27" t="s">
        <v>13</v>
      </c>
      <c r="D23" s="26">
        <f>D24+D25+D26</f>
        <v>279265.86</v>
      </c>
      <c r="E23" s="26">
        <f>E24+E25+E26</f>
        <v>73167.655319999991</v>
      </c>
    </row>
    <row r="24" spans="1:5" x14ac:dyDescent="0.25">
      <c r="A24" s="20"/>
      <c r="B24" s="20" t="s">
        <v>23</v>
      </c>
      <c r="C24" s="20"/>
      <c r="D24" s="28">
        <v>71524.37</v>
      </c>
      <c r="E24" s="28">
        <f>D24*26.2%</f>
        <v>18739.38494</v>
      </c>
    </row>
    <row r="25" spans="1:5" x14ac:dyDescent="0.25">
      <c r="A25" s="20"/>
      <c r="B25" s="20" t="s">
        <v>24</v>
      </c>
      <c r="C25" s="20"/>
      <c r="D25" s="29">
        <v>122817.23</v>
      </c>
      <c r="E25" s="28">
        <f>D25*26.2%</f>
        <v>32178.114259999998</v>
      </c>
    </row>
    <row r="26" spans="1:5" x14ac:dyDescent="0.25">
      <c r="A26" s="20"/>
      <c r="B26" s="20" t="s">
        <v>25</v>
      </c>
      <c r="C26" s="20"/>
      <c r="D26" s="20">
        <v>84924.26</v>
      </c>
      <c r="E26" s="28">
        <f>D26*26.2%</f>
        <v>22250.15612</v>
      </c>
    </row>
    <row r="27" spans="1:5" x14ac:dyDescent="0.25">
      <c r="A27" s="20">
        <v>2</v>
      </c>
      <c r="B27" s="31" t="s">
        <v>75</v>
      </c>
      <c r="C27" s="20"/>
      <c r="D27" s="20">
        <f>3253.82+1150</f>
        <v>4403.82</v>
      </c>
      <c r="E27" s="28"/>
    </row>
    <row r="28" spans="1:5" x14ac:dyDescent="0.25">
      <c r="A28" s="20">
        <v>3</v>
      </c>
      <c r="B28" s="31" t="s">
        <v>145</v>
      </c>
      <c r="C28" s="20"/>
      <c r="D28" s="20">
        <f>15397+11000+1724+5741</f>
        <v>33862</v>
      </c>
      <c r="E28" s="28"/>
    </row>
    <row r="29" spans="1:5" x14ac:dyDescent="0.25">
      <c r="A29" s="20">
        <v>4</v>
      </c>
      <c r="B29" s="31" t="s">
        <v>212</v>
      </c>
      <c r="C29" s="20"/>
      <c r="D29" s="20">
        <v>1144.0899999999999</v>
      </c>
      <c r="E29" s="28"/>
    </row>
    <row r="30" spans="1:5" x14ac:dyDescent="0.25">
      <c r="A30" s="20">
        <v>5</v>
      </c>
      <c r="B30" s="27" t="s">
        <v>26</v>
      </c>
      <c r="C30" s="20"/>
      <c r="D30" s="20">
        <f>94.12+7196.99</f>
        <v>7291.11</v>
      </c>
      <c r="E30" s="28"/>
    </row>
    <row r="31" spans="1:5" x14ac:dyDescent="0.25">
      <c r="A31" s="24" t="s">
        <v>27</v>
      </c>
      <c r="B31" s="30" t="s">
        <v>28</v>
      </c>
      <c r="C31" s="20"/>
      <c r="D31" s="22">
        <f>D32+D33</f>
        <v>112629.06</v>
      </c>
      <c r="E31" s="26">
        <f>E32</f>
        <v>20204.118779999997</v>
      </c>
    </row>
    <row r="32" spans="1:5" x14ac:dyDescent="0.25">
      <c r="A32" s="20">
        <v>1</v>
      </c>
      <c r="B32" s="31" t="s">
        <v>229</v>
      </c>
      <c r="C32" s="20"/>
      <c r="D32" s="31">
        <v>100020.39</v>
      </c>
      <c r="E32" s="28">
        <f>D32*20.2%</f>
        <v>20204.118779999997</v>
      </c>
    </row>
    <row r="33" spans="1:5" x14ac:dyDescent="0.25">
      <c r="A33" s="20">
        <v>2</v>
      </c>
      <c r="B33" s="31" t="s">
        <v>26</v>
      </c>
      <c r="C33" s="20"/>
      <c r="D33" s="31">
        <v>12608.67</v>
      </c>
      <c r="E33" s="20"/>
    </row>
    <row r="34" spans="1:5" x14ac:dyDescent="0.25">
      <c r="A34" s="24" t="s">
        <v>29</v>
      </c>
      <c r="B34" s="22" t="s">
        <v>30</v>
      </c>
      <c r="C34" s="20"/>
      <c r="D34" s="26">
        <f>D35+D36+D37+D38+D39+D40+D41+D42</f>
        <v>98352.120649999997</v>
      </c>
      <c r="E34" s="20"/>
    </row>
    <row r="35" spans="1:5" x14ac:dyDescent="0.25">
      <c r="A35" s="20"/>
      <c r="B35" s="20" t="s">
        <v>31</v>
      </c>
      <c r="C35" s="20"/>
      <c r="D35" s="28">
        <f>D19*4.7%</f>
        <v>45929.290649999995</v>
      </c>
      <c r="E35" s="20"/>
    </row>
    <row r="36" spans="1:5" x14ac:dyDescent="0.25">
      <c r="A36" s="20"/>
      <c r="B36" s="20" t="s">
        <v>57</v>
      </c>
      <c r="C36" s="20"/>
      <c r="D36" s="20">
        <v>2572.5300000000002</v>
      </c>
      <c r="E36" s="20"/>
    </row>
    <row r="37" spans="1:5" x14ac:dyDescent="0.25">
      <c r="A37" s="20"/>
      <c r="B37" s="20" t="s">
        <v>32</v>
      </c>
      <c r="C37" s="20"/>
      <c r="D37" s="20">
        <v>13793</v>
      </c>
      <c r="E37" s="20"/>
    </row>
    <row r="38" spans="1:5" x14ac:dyDescent="0.25">
      <c r="A38" s="20"/>
      <c r="B38" s="20" t="s">
        <v>33</v>
      </c>
      <c r="C38" s="20"/>
      <c r="D38" s="28">
        <v>12805.82</v>
      </c>
      <c r="E38" s="20"/>
    </row>
    <row r="39" spans="1:5" x14ac:dyDescent="0.25">
      <c r="A39" s="20"/>
      <c r="B39" s="31" t="s">
        <v>91</v>
      </c>
      <c r="C39" s="20"/>
      <c r="D39" s="20">
        <v>9800</v>
      </c>
      <c r="E39" s="20"/>
    </row>
    <row r="40" spans="1:5" x14ac:dyDescent="0.25">
      <c r="A40" s="20"/>
      <c r="B40" s="27" t="s">
        <v>35</v>
      </c>
      <c r="C40" s="20"/>
      <c r="D40" s="20">
        <v>7329.46</v>
      </c>
      <c r="E40" s="20"/>
    </row>
    <row r="41" spans="1:5" x14ac:dyDescent="0.25">
      <c r="A41" s="20"/>
      <c r="B41" s="31" t="s">
        <v>131</v>
      </c>
      <c r="C41" s="20"/>
      <c r="D41" s="20">
        <v>172</v>
      </c>
      <c r="E41" s="20"/>
    </row>
    <row r="42" spans="1:5" x14ac:dyDescent="0.25">
      <c r="A42" s="20"/>
      <c r="B42" s="20" t="s">
        <v>37</v>
      </c>
      <c r="C42" s="20"/>
      <c r="D42" s="20">
        <v>5950.02</v>
      </c>
      <c r="E42" s="20"/>
    </row>
    <row r="43" spans="1:5" x14ac:dyDescent="0.25">
      <c r="A43" s="73" t="s">
        <v>82</v>
      </c>
      <c r="B43" s="22" t="s">
        <v>38</v>
      </c>
      <c r="C43" s="20"/>
      <c r="D43" s="26">
        <v>95070.22</v>
      </c>
      <c r="E43" s="26"/>
    </row>
    <row r="44" spans="1:5" x14ac:dyDescent="0.25">
      <c r="A44" s="73" t="s">
        <v>83</v>
      </c>
      <c r="B44" s="22" t="s">
        <v>41</v>
      </c>
      <c r="C44" s="20"/>
      <c r="D44" s="26">
        <f>D22+E22+D31+E31+D34+D43+E43</f>
        <v>725390.05474999989</v>
      </c>
      <c r="E44" s="20"/>
    </row>
    <row r="45" spans="1:5" x14ac:dyDescent="0.25">
      <c r="A45" s="73" t="s">
        <v>84</v>
      </c>
      <c r="B45" s="20" t="s">
        <v>42</v>
      </c>
      <c r="C45" s="20"/>
      <c r="D45" s="26">
        <f>D19*6%</f>
        <v>58633.136999999995</v>
      </c>
      <c r="E45" s="20"/>
    </row>
    <row r="46" spans="1:5" x14ac:dyDescent="0.25">
      <c r="A46" s="73" t="s">
        <v>85</v>
      </c>
      <c r="B46" s="22" t="s">
        <v>43</v>
      </c>
      <c r="C46" s="20"/>
      <c r="D46" s="26">
        <f>D44+D45</f>
        <v>784023.19174999988</v>
      </c>
      <c r="E46" s="20"/>
    </row>
    <row r="47" spans="1:5" x14ac:dyDescent="0.25">
      <c r="A47" s="73"/>
      <c r="B47" s="20"/>
      <c r="C47" s="20"/>
      <c r="D47" s="20"/>
      <c r="E47" s="20"/>
    </row>
    <row r="48" spans="1:5" x14ac:dyDescent="0.25">
      <c r="A48" s="73" t="s">
        <v>86</v>
      </c>
      <c r="B48" s="22" t="s">
        <v>135</v>
      </c>
      <c r="C48" s="20"/>
      <c r="D48" s="26">
        <f>D16+D18-D46</f>
        <v>-1715.0717499998864</v>
      </c>
      <c r="E48" s="20"/>
    </row>
    <row r="49" spans="1:5" x14ac:dyDescent="0.25">
      <c r="A49" s="73" t="s">
        <v>87</v>
      </c>
      <c r="B49" s="22" t="s">
        <v>44</v>
      </c>
      <c r="C49" s="20"/>
      <c r="D49" s="26">
        <f>D10+D48</f>
        <v>-538802.45174999989</v>
      </c>
      <c r="E49" s="20"/>
    </row>
    <row r="50" spans="1:5" x14ac:dyDescent="0.25">
      <c r="A50" s="447"/>
      <c r="B50" s="35"/>
      <c r="C50" s="34"/>
      <c r="D50" s="36"/>
      <c r="E50" s="34"/>
    </row>
    <row r="51" spans="1:5" x14ac:dyDescent="0.25">
      <c r="A51" s="447"/>
      <c r="B51" s="35"/>
      <c r="C51" s="34"/>
      <c r="D51" s="36"/>
      <c r="E51" s="34"/>
    </row>
    <row r="52" spans="1:5" x14ac:dyDescent="0.25">
      <c r="A52" s="34"/>
      <c r="B52" s="35" t="s">
        <v>16</v>
      </c>
      <c r="C52" s="34"/>
      <c r="D52" s="36">
        <f>D11+D17</f>
        <v>435935.1</v>
      </c>
      <c r="E52" s="34"/>
    </row>
    <row r="53" spans="1:5" x14ac:dyDescent="0.25">
      <c r="A53" s="34"/>
      <c r="B53" s="35" t="s">
        <v>226</v>
      </c>
      <c r="C53" s="34"/>
      <c r="D53" s="36">
        <v>610276.22</v>
      </c>
      <c r="E53" s="34"/>
    </row>
    <row r="54" spans="1:5" x14ac:dyDescent="0.25">
      <c r="A54" s="34"/>
      <c r="B54" s="35" t="s">
        <v>115</v>
      </c>
      <c r="C54" s="34"/>
      <c r="D54" s="36">
        <f>D52-D53</f>
        <v>-174341.12</v>
      </c>
      <c r="E54" s="34"/>
    </row>
    <row r="55" spans="1:5" x14ac:dyDescent="0.25">
      <c r="A55" s="34"/>
      <c r="B55" s="35"/>
      <c r="C55" s="34"/>
      <c r="D55" s="36"/>
      <c r="E55" s="34"/>
    </row>
    <row r="56" spans="1:5" x14ac:dyDescent="0.25">
      <c r="A56" s="34"/>
      <c r="B56" s="35"/>
      <c r="C56" s="34"/>
      <c r="D56" s="36"/>
      <c r="E56" s="34"/>
    </row>
    <row r="57" spans="1:5" x14ac:dyDescent="0.25">
      <c r="A57" s="37"/>
      <c r="B57" s="37" t="s">
        <v>45</v>
      </c>
      <c r="C57" s="37"/>
      <c r="D57" s="37" t="s">
        <v>46</v>
      </c>
      <c r="E57" s="37"/>
    </row>
    <row r="58" spans="1:5" x14ac:dyDescent="0.25">
      <c r="A58" s="37"/>
      <c r="B58" s="37" t="s">
        <v>47</v>
      </c>
      <c r="C58" s="37"/>
      <c r="D58" s="37" t="s">
        <v>48</v>
      </c>
      <c r="E58" s="37"/>
    </row>
  </sheetData>
  <mergeCells count="4">
    <mergeCell ref="D7:E7"/>
    <mergeCell ref="D8:E8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3" workbookViewId="0">
      <selection activeCell="G30" sqref="G30:H49"/>
    </sheetView>
  </sheetViews>
  <sheetFormatPr defaultRowHeight="15" x14ac:dyDescent="0.25"/>
  <cols>
    <col min="2" max="2" width="43.7109375" customWidth="1"/>
    <col min="4" max="4" width="10.8554687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54</v>
      </c>
    </row>
    <row r="4" spans="1:5" x14ac:dyDescent="0.25">
      <c r="B4" t="s">
        <v>174</v>
      </c>
    </row>
    <row r="5" spans="1:5" x14ac:dyDescent="0.25">
      <c r="A5" s="597"/>
      <c r="B5" s="597"/>
      <c r="C5" s="597"/>
      <c r="D5" s="597"/>
      <c r="E5" s="57"/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51</v>
      </c>
      <c r="D7" s="504" t="s">
        <v>152</v>
      </c>
      <c r="E7" s="505"/>
    </row>
    <row r="8" spans="1:5" x14ac:dyDescent="0.25">
      <c r="A8" s="13"/>
      <c r="B8" s="14" t="s">
        <v>8</v>
      </c>
      <c r="C8" s="13"/>
      <c r="D8" s="472">
        <v>-64464.73</v>
      </c>
      <c r="E8" s="381"/>
    </row>
    <row r="9" spans="1:5" x14ac:dyDescent="0.25">
      <c r="A9" s="13"/>
      <c r="B9" s="14" t="s">
        <v>9</v>
      </c>
      <c r="C9" s="12" t="s">
        <v>52</v>
      </c>
      <c r="D9" s="13">
        <v>7083</v>
      </c>
      <c r="E9" s="13"/>
    </row>
    <row r="10" spans="1:5" x14ac:dyDescent="0.25">
      <c r="A10" s="13"/>
      <c r="B10" s="14" t="s">
        <v>11</v>
      </c>
      <c r="C10" s="12" t="s">
        <v>52</v>
      </c>
      <c r="D10" s="13">
        <v>5084.0200000000004</v>
      </c>
      <c r="E10" s="13"/>
    </row>
    <row r="11" spans="1:5" x14ac:dyDescent="0.25">
      <c r="A11" s="13"/>
      <c r="B11" s="15" t="s">
        <v>12</v>
      </c>
      <c r="C11" s="12" t="s">
        <v>13</v>
      </c>
      <c r="D11" s="17">
        <v>672626.08</v>
      </c>
      <c r="E11" s="13"/>
    </row>
    <row r="12" spans="1:5" ht="15.75" x14ac:dyDescent="0.25">
      <c r="A12" s="13"/>
      <c r="B12" s="16" t="s">
        <v>14</v>
      </c>
      <c r="C12" s="9"/>
      <c r="D12" s="13"/>
      <c r="E12" s="13"/>
    </row>
    <row r="13" spans="1:5" x14ac:dyDescent="0.25">
      <c r="A13" s="13">
        <v>1</v>
      </c>
      <c r="B13" s="13" t="s">
        <v>15</v>
      </c>
      <c r="C13" s="12" t="s">
        <v>13</v>
      </c>
      <c r="D13" s="17">
        <v>545462.59</v>
      </c>
      <c r="E13" s="13"/>
    </row>
    <row r="14" spans="1:5" x14ac:dyDescent="0.25">
      <c r="A14" s="13">
        <v>2</v>
      </c>
      <c r="B14" s="13" t="s">
        <v>16</v>
      </c>
      <c r="C14" s="9"/>
      <c r="D14" s="13">
        <v>124231.12</v>
      </c>
      <c r="E14" s="13"/>
    </row>
    <row r="15" spans="1:5" x14ac:dyDescent="0.25">
      <c r="A15" s="13">
        <v>3</v>
      </c>
      <c r="B15" s="13" t="s">
        <v>92</v>
      </c>
      <c r="C15" s="9"/>
      <c r="D15" s="13">
        <v>2400</v>
      </c>
      <c r="E15" s="13"/>
    </row>
    <row r="16" spans="1:5" ht="15.75" x14ac:dyDescent="0.25">
      <c r="A16" s="13"/>
      <c r="B16" s="16" t="s">
        <v>17</v>
      </c>
      <c r="C16" s="9"/>
      <c r="D16" s="18">
        <f>D13+D14+D15</f>
        <v>672093.71</v>
      </c>
      <c r="E16" s="13"/>
    </row>
    <row r="17" spans="1:5" ht="15.75" x14ac:dyDescent="0.25">
      <c r="A17" s="13"/>
      <c r="B17" s="16" t="s">
        <v>107</v>
      </c>
      <c r="C17" s="9"/>
      <c r="D17" s="19"/>
      <c r="E17" s="13" t="s">
        <v>19</v>
      </c>
    </row>
    <row r="18" spans="1:5" ht="15.75" x14ac:dyDescent="0.25">
      <c r="A18" s="13"/>
      <c r="B18" s="16" t="s">
        <v>108</v>
      </c>
      <c r="C18" s="9"/>
      <c r="D18" s="19">
        <f>D19+D25</f>
        <v>130031.03</v>
      </c>
      <c r="E18" s="379">
        <f>E19</f>
        <v>24501.890979999996</v>
      </c>
    </row>
    <row r="19" spans="1:5" x14ac:dyDescent="0.25">
      <c r="A19" s="13">
        <v>1</v>
      </c>
      <c r="B19" s="19" t="s">
        <v>22</v>
      </c>
      <c r="C19" s="9"/>
      <c r="D19" s="18">
        <f>D20+D21+D24+D22</f>
        <v>122352.75</v>
      </c>
      <c r="E19" s="18">
        <f>SUM(E20:E24)</f>
        <v>24501.890979999996</v>
      </c>
    </row>
    <row r="20" spans="1:5" x14ac:dyDescent="0.25">
      <c r="A20" s="13"/>
      <c r="B20" s="13" t="s">
        <v>23</v>
      </c>
      <c r="C20" s="9"/>
      <c r="D20" s="13">
        <v>15235.98</v>
      </c>
      <c r="E20" s="17">
        <f>D20*20.2%</f>
        <v>3077.6679599999998</v>
      </c>
    </row>
    <row r="21" spans="1:5" x14ac:dyDescent="0.25">
      <c r="A21" s="13"/>
      <c r="B21" s="13" t="s">
        <v>24</v>
      </c>
      <c r="C21" s="9"/>
      <c r="D21" s="17">
        <v>47030.559999999998</v>
      </c>
      <c r="E21" s="17">
        <f t="shared" ref="E21:E22" si="0">D21*20.2%</f>
        <v>9500.1731199999995</v>
      </c>
    </row>
    <row r="22" spans="1:5" x14ac:dyDescent="0.25">
      <c r="A22" s="13"/>
      <c r="B22" s="13" t="s">
        <v>25</v>
      </c>
      <c r="C22" s="9"/>
      <c r="D22" s="13">
        <v>59029.95</v>
      </c>
      <c r="E22" s="17">
        <f t="shared" si="0"/>
        <v>11924.049899999998</v>
      </c>
    </row>
    <row r="23" spans="1:5" x14ac:dyDescent="0.25">
      <c r="A23" s="13"/>
      <c r="B23" s="13" t="s">
        <v>232</v>
      </c>
      <c r="C23" s="9"/>
      <c r="D23" s="13">
        <f>1150+1150</f>
        <v>2300</v>
      </c>
      <c r="E23" s="17"/>
    </row>
    <row r="24" spans="1:5" x14ac:dyDescent="0.25">
      <c r="A24" s="13"/>
      <c r="B24" s="13" t="s">
        <v>75</v>
      </c>
      <c r="C24" s="9"/>
      <c r="D24" s="13">
        <v>1056.26</v>
      </c>
      <c r="E24" s="17"/>
    </row>
    <row r="25" spans="1:5" x14ac:dyDescent="0.25">
      <c r="A25" s="13">
        <v>2</v>
      </c>
      <c r="B25" s="13" t="s">
        <v>26</v>
      </c>
      <c r="C25" s="9"/>
      <c r="D25" s="13">
        <f>84.16+7594.12</f>
        <v>7678.28</v>
      </c>
      <c r="E25" s="17"/>
    </row>
    <row r="26" spans="1:5" x14ac:dyDescent="0.25">
      <c r="A26" s="13"/>
      <c r="B26" s="426" t="s">
        <v>28</v>
      </c>
      <c r="C26" s="9"/>
      <c r="D26" s="426">
        <f>D27+D28+D29</f>
        <v>113625.72</v>
      </c>
      <c r="E26" s="379">
        <f>E27</f>
        <v>18361.739399999999</v>
      </c>
    </row>
    <row r="27" spans="1:5" x14ac:dyDescent="0.25">
      <c r="A27" s="13">
        <v>1</v>
      </c>
      <c r="B27" s="31" t="s">
        <v>229</v>
      </c>
      <c r="C27" s="9"/>
      <c r="D27" s="13">
        <v>90899.7</v>
      </c>
      <c r="E27" s="17">
        <f>D27*20.2%</f>
        <v>18361.739399999999</v>
      </c>
    </row>
    <row r="28" spans="1:5" x14ac:dyDescent="0.25">
      <c r="A28" s="13">
        <v>2</v>
      </c>
      <c r="B28" s="427" t="s">
        <v>26</v>
      </c>
      <c r="C28" s="9"/>
      <c r="D28" s="13">
        <v>1042.02</v>
      </c>
      <c r="E28" s="17"/>
    </row>
    <row r="29" spans="1:5" x14ac:dyDescent="0.25">
      <c r="A29" s="13">
        <v>3</v>
      </c>
      <c r="B29" s="427" t="s">
        <v>60</v>
      </c>
      <c r="C29" s="428"/>
      <c r="D29" s="427">
        <v>21684</v>
      </c>
      <c r="E29" s="13"/>
    </row>
    <row r="30" spans="1:5" x14ac:dyDescent="0.25">
      <c r="A30" s="13">
        <v>3</v>
      </c>
      <c r="B30" s="19" t="s">
        <v>30</v>
      </c>
      <c r="C30" s="9"/>
      <c r="D30" s="18">
        <f>SUM(D31:D37)</f>
        <v>65051.044369999989</v>
      </c>
      <c r="E30" s="13"/>
    </row>
    <row r="31" spans="1:5" x14ac:dyDescent="0.25">
      <c r="A31" s="13"/>
      <c r="B31" s="13" t="s">
        <v>31</v>
      </c>
      <c r="C31" s="9"/>
      <c r="D31" s="17">
        <f>D16*4.7%</f>
        <v>31588.404369999997</v>
      </c>
      <c r="E31" s="13"/>
    </row>
    <row r="32" spans="1:5" x14ac:dyDescent="0.25">
      <c r="A32" s="13"/>
      <c r="B32" s="13" t="s">
        <v>57</v>
      </c>
      <c r="C32" s="9"/>
      <c r="D32" s="13">
        <v>1622.02</v>
      </c>
      <c r="E32" s="13"/>
    </row>
    <row r="33" spans="1:5" x14ac:dyDescent="0.25">
      <c r="A33" s="13"/>
      <c r="B33" s="13" t="s">
        <v>131</v>
      </c>
      <c r="C33" s="9"/>
      <c r="D33" s="13">
        <v>344</v>
      </c>
      <c r="E33" s="13"/>
    </row>
    <row r="34" spans="1:5" x14ac:dyDescent="0.25">
      <c r="A34" s="13"/>
      <c r="B34" s="13" t="s">
        <v>33</v>
      </c>
      <c r="C34" s="9"/>
      <c r="D34" s="13">
        <v>13287.06</v>
      </c>
      <c r="E34" s="13"/>
    </row>
    <row r="35" spans="1:5" x14ac:dyDescent="0.25">
      <c r="A35" s="13"/>
      <c r="B35" s="13" t="s">
        <v>35</v>
      </c>
      <c r="C35" s="9"/>
      <c r="D35" s="13">
        <v>8372.4599999999991</v>
      </c>
      <c r="E35" s="13"/>
    </row>
    <row r="36" spans="1:5" x14ac:dyDescent="0.25">
      <c r="A36" s="13"/>
      <c r="B36" s="13" t="s">
        <v>210</v>
      </c>
      <c r="C36" s="9"/>
      <c r="D36" s="13">
        <v>3600</v>
      </c>
      <c r="E36" s="13"/>
    </row>
    <row r="37" spans="1:5" x14ac:dyDescent="0.25">
      <c r="A37" s="13"/>
      <c r="B37" s="13" t="s">
        <v>37</v>
      </c>
      <c r="C37" s="9"/>
      <c r="D37" s="13">
        <v>6237.1</v>
      </c>
      <c r="E37" s="13"/>
    </row>
    <row r="38" spans="1:5" x14ac:dyDescent="0.25">
      <c r="A38" s="14" t="s">
        <v>82</v>
      </c>
      <c r="B38" s="19" t="s">
        <v>38</v>
      </c>
      <c r="C38" s="9"/>
      <c r="D38" s="18">
        <v>85929.62</v>
      </c>
      <c r="E38" s="379"/>
    </row>
    <row r="39" spans="1:5" x14ac:dyDescent="0.25">
      <c r="A39" s="14" t="s">
        <v>83</v>
      </c>
      <c r="B39" s="19" t="s">
        <v>41</v>
      </c>
      <c r="C39" s="9"/>
      <c r="D39" s="18">
        <f>D18+E18+D26+E26+D30+D38</f>
        <v>437501.04475</v>
      </c>
      <c r="E39" s="13"/>
    </row>
    <row r="40" spans="1:5" x14ac:dyDescent="0.25">
      <c r="A40" s="14" t="s">
        <v>84</v>
      </c>
      <c r="B40" s="19" t="s">
        <v>42</v>
      </c>
      <c r="C40" s="9"/>
      <c r="D40" s="18">
        <f>D16*6%</f>
        <v>40325.622599999995</v>
      </c>
      <c r="E40" s="13"/>
    </row>
    <row r="41" spans="1:5" x14ac:dyDescent="0.25">
      <c r="A41" s="14" t="s">
        <v>85</v>
      </c>
      <c r="B41" s="19" t="s">
        <v>43</v>
      </c>
      <c r="C41" s="9"/>
      <c r="D41" s="18">
        <f>D39+D40</f>
        <v>477826.66735</v>
      </c>
      <c r="E41" s="13"/>
    </row>
    <row r="42" spans="1:5" x14ac:dyDescent="0.25">
      <c r="A42" s="14"/>
      <c r="B42" s="19"/>
      <c r="C42" s="9"/>
      <c r="D42" s="18"/>
      <c r="E42" s="13"/>
    </row>
    <row r="43" spans="1:5" x14ac:dyDescent="0.25">
      <c r="A43" s="14" t="s">
        <v>86</v>
      </c>
      <c r="B43" s="19" t="s">
        <v>135</v>
      </c>
      <c r="C43" s="13"/>
      <c r="D43" s="18">
        <f>D13+D15-D41</f>
        <v>70035.922649999964</v>
      </c>
      <c r="E43" s="13"/>
    </row>
    <row r="44" spans="1:5" x14ac:dyDescent="0.25">
      <c r="A44" s="451" t="s">
        <v>87</v>
      </c>
      <c r="B44" s="380" t="s">
        <v>76</v>
      </c>
      <c r="C44" s="13"/>
      <c r="D44" s="18">
        <f>D8+D43</f>
        <v>5571.1926499999608</v>
      </c>
      <c r="E44" s="381"/>
    </row>
    <row r="45" spans="1:5" x14ac:dyDescent="0.25">
      <c r="A45" s="57"/>
      <c r="B45" s="431" t="s">
        <v>16</v>
      </c>
      <c r="C45" s="57"/>
      <c r="D45" s="383">
        <f>D14</f>
        <v>124231.12</v>
      </c>
      <c r="E45" s="57"/>
    </row>
    <row r="46" spans="1:5" x14ac:dyDescent="0.25">
      <c r="A46" s="57"/>
      <c r="B46" s="35" t="s">
        <v>226</v>
      </c>
      <c r="C46" s="57"/>
      <c r="D46" s="383">
        <v>124928.02</v>
      </c>
      <c r="E46" s="57"/>
    </row>
    <row r="47" spans="1:5" x14ac:dyDescent="0.25">
      <c r="A47" s="57"/>
      <c r="B47" s="35" t="s">
        <v>115</v>
      </c>
      <c r="C47" s="57"/>
      <c r="D47" s="383">
        <f>D45-D46</f>
        <v>-696.90000000000873</v>
      </c>
      <c r="E47" s="57"/>
    </row>
    <row r="48" spans="1:5" x14ac:dyDescent="0.25">
      <c r="B48" t="s">
        <v>109</v>
      </c>
    </row>
    <row r="49" spans="2:2" x14ac:dyDescent="0.25">
      <c r="B49" t="s">
        <v>110</v>
      </c>
    </row>
  </sheetData>
  <mergeCells count="4">
    <mergeCell ref="A5:B5"/>
    <mergeCell ref="C5:D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6" workbookViewId="0">
      <selection activeCell="H31" sqref="H31:I45"/>
    </sheetView>
  </sheetViews>
  <sheetFormatPr defaultRowHeight="15" x14ac:dyDescent="0.25"/>
  <cols>
    <col min="2" max="2" width="40.7109375" customWidth="1"/>
    <col min="4" max="4" width="10.42578125" customWidth="1"/>
    <col min="5" max="5" width="10.140625" customWidth="1"/>
  </cols>
  <sheetData>
    <row r="1" spans="1:5" ht="15.75" x14ac:dyDescent="0.25">
      <c r="B1" s="1" t="s">
        <v>0</v>
      </c>
    </row>
    <row r="3" spans="1:5" x14ac:dyDescent="0.25">
      <c r="B3" t="s">
        <v>54</v>
      </c>
    </row>
    <row r="4" spans="1:5" x14ac:dyDescent="0.25">
      <c r="B4" t="s">
        <v>176</v>
      </c>
    </row>
    <row r="5" spans="1:5" x14ac:dyDescent="0.25">
      <c r="A5" s="501"/>
      <c r="B5" s="501"/>
      <c r="C5" s="501"/>
      <c r="D5" s="501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51</v>
      </c>
      <c r="D7" s="504" t="s">
        <v>152</v>
      </c>
      <c r="E7" s="505"/>
    </row>
    <row r="8" spans="1:5" x14ac:dyDescent="0.25">
      <c r="A8" s="13"/>
      <c r="B8" s="14" t="s">
        <v>100</v>
      </c>
      <c r="C8" s="13"/>
      <c r="D8" s="429">
        <v>294945.08</v>
      </c>
      <c r="E8" s="381"/>
    </row>
    <row r="9" spans="1:5" x14ac:dyDescent="0.25">
      <c r="A9" s="9"/>
      <c r="B9" s="12" t="s">
        <v>101</v>
      </c>
      <c r="C9" s="9"/>
      <c r="D9" s="10">
        <v>-405744.96</v>
      </c>
      <c r="E9" s="11"/>
    </row>
    <row r="10" spans="1:5" x14ac:dyDescent="0.25">
      <c r="A10" s="13"/>
      <c r="B10" s="14" t="s">
        <v>9</v>
      </c>
      <c r="C10" s="12" t="s">
        <v>52</v>
      </c>
      <c r="D10" s="17">
        <v>9546.7999999999993</v>
      </c>
      <c r="E10" s="13"/>
    </row>
    <row r="11" spans="1:5" x14ac:dyDescent="0.25">
      <c r="A11" s="13"/>
      <c r="B11" s="14" t="s">
        <v>11</v>
      </c>
      <c r="C11" s="12" t="s">
        <v>52</v>
      </c>
      <c r="D11" s="17">
        <v>5841.2</v>
      </c>
      <c r="E11" s="13"/>
    </row>
    <row r="12" spans="1:5" x14ac:dyDescent="0.25">
      <c r="A12" s="13"/>
      <c r="B12" s="15" t="s">
        <v>12</v>
      </c>
      <c r="C12" s="12" t="s">
        <v>13</v>
      </c>
      <c r="D12" s="463">
        <v>663232.38</v>
      </c>
      <c r="E12" s="13"/>
    </row>
    <row r="13" spans="1:5" ht="15.75" x14ac:dyDescent="0.25">
      <c r="A13" s="13"/>
      <c r="B13" s="16" t="s">
        <v>14</v>
      </c>
      <c r="C13" s="9"/>
      <c r="D13" s="13"/>
      <c r="E13" s="13"/>
    </row>
    <row r="14" spans="1:5" x14ac:dyDescent="0.25">
      <c r="A14" s="13">
        <v>1</v>
      </c>
      <c r="B14" s="13" t="s">
        <v>15</v>
      </c>
      <c r="C14" s="12" t="s">
        <v>13</v>
      </c>
      <c r="D14" s="17">
        <v>474720.62</v>
      </c>
      <c r="E14" s="13"/>
    </row>
    <row r="15" spans="1:5" x14ac:dyDescent="0.25">
      <c r="A15" s="13">
        <v>2</v>
      </c>
      <c r="B15" s="13" t="s">
        <v>16</v>
      </c>
      <c r="C15" s="9"/>
      <c r="D15" s="17">
        <v>148827.84</v>
      </c>
      <c r="E15" s="13"/>
    </row>
    <row r="16" spans="1:5" x14ac:dyDescent="0.25">
      <c r="A16" s="13">
        <v>3</v>
      </c>
      <c r="B16" s="13" t="s">
        <v>92</v>
      </c>
      <c r="C16" s="9"/>
      <c r="D16" s="17">
        <v>7722.88</v>
      </c>
      <c r="E16" s="13"/>
    </row>
    <row r="17" spans="1:5" ht="15.75" x14ac:dyDescent="0.25">
      <c r="A17" s="13"/>
      <c r="B17" s="16" t="s">
        <v>17</v>
      </c>
      <c r="C17" s="9"/>
      <c r="D17" s="18">
        <f>D14+D15+D16</f>
        <v>631271.34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D21+D25+D24</f>
        <v>64131.839999999997</v>
      </c>
      <c r="E20" s="26">
        <f>E21</f>
        <v>15317.709480000001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D22+D23</f>
        <v>61413.37</v>
      </c>
      <c r="E21" s="26">
        <f>E22+E23</f>
        <v>15317.709480000001</v>
      </c>
    </row>
    <row r="22" spans="1:5" x14ac:dyDescent="0.25">
      <c r="A22" s="20"/>
      <c r="B22" s="20" t="s">
        <v>23</v>
      </c>
      <c r="C22" s="20"/>
      <c r="D22" s="20">
        <v>58464.54</v>
      </c>
      <c r="E22" s="28">
        <f>D22*26.2%</f>
        <v>15317.709480000001</v>
      </c>
    </row>
    <row r="23" spans="1:5" x14ac:dyDescent="0.25">
      <c r="A23" s="20"/>
      <c r="B23" s="20" t="s">
        <v>75</v>
      </c>
      <c r="C23" s="20"/>
      <c r="D23" s="20">
        <f>1798.83+1150</f>
        <v>2948.83</v>
      </c>
      <c r="E23" s="28"/>
    </row>
    <row r="24" spans="1:5" x14ac:dyDescent="0.25">
      <c r="A24" s="20">
        <v>2</v>
      </c>
      <c r="B24" s="20" t="s">
        <v>212</v>
      </c>
      <c r="C24" s="20"/>
      <c r="D24" s="20">
        <v>453.56</v>
      </c>
      <c r="E24" s="28"/>
    </row>
    <row r="25" spans="1:5" x14ac:dyDescent="0.25">
      <c r="A25" s="20">
        <v>3</v>
      </c>
      <c r="B25" s="27" t="s">
        <v>26</v>
      </c>
      <c r="C25" s="20"/>
      <c r="D25" s="20">
        <v>2264.91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116065.8</v>
      </c>
      <c r="E26" s="26">
        <f>E27</f>
        <v>20975.118439999998</v>
      </c>
    </row>
    <row r="27" spans="1:5" x14ac:dyDescent="0.25">
      <c r="A27" s="20">
        <v>1</v>
      </c>
      <c r="B27" s="31" t="s">
        <v>229</v>
      </c>
      <c r="C27" s="20"/>
      <c r="D27" s="31">
        <v>103837.22</v>
      </c>
      <c r="E27" s="28">
        <f>D27*20.2%</f>
        <v>20975.118439999998</v>
      </c>
    </row>
    <row r="28" spans="1:5" x14ac:dyDescent="0.25">
      <c r="A28" s="20">
        <v>2</v>
      </c>
      <c r="B28" s="31" t="s">
        <v>26</v>
      </c>
      <c r="C28" s="20"/>
      <c r="D28" s="31">
        <v>2340.58</v>
      </c>
      <c r="E28" s="20"/>
    </row>
    <row r="29" spans="1:5" x14ac:dyDescent="0.25">
      <c r="A29" s="20">
        <v>3</v>
      </c>
      <c r="B29" s="31" t="s">
        <v>60</v>
      </c>
      <c r="C29" s="20"/>
      <c r="D29" s="31">
        <v>9888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D31+D32+D33+D34+D35+D36+D37+D38+D39</f>
        <v>105072.90298</v>
      </c>
      <c r="E30" s="20"/>
    </row>
    <row r="31" spans="1:5" x14ac:dyDescent="0.25">
      <c r="A31" s="20"/>
      <c r="B31" s="20" t="s">
        <v>31</v>
      </c>
      <c r="C31" s="20"/>
      <c r="D31" s="28">
        <f>D17*4.7%</f>
        <v>29669.752979999997</v>
      </c>
      <c r="E31" s="20"/>
    </row>
    <row r="32" spans="1:5" x14ac:dyDescent="0.25">
      <c r="A32" s="20"/>
      <c r="B32" s="20" t="s">
        <v>57</v>
      </c>
      <c r="C32" s="20"/>
      <c r="D32" s="20">
        <v>3147.86</v>
      </c>
      <c r="E32" s="20"/>
    </row>
    <row r="33" spans="1:5" x14ac:dyDescent="0.25">
      <c r="A33" s="20"/>
      <c r="B33" s="20" t="s">
        <v>33</v>
      </c>
      <c r="C33" s="20"/>
      <c r="D33" s="28">
        <v>13178.18</v>
      </c>
      <c r="E33" s="20"/>
    </row>
    <row r="34" spans="1:5" x14ac:dyDescent="0.25">
      <c r="A34" s="20"/>
      <c r="B34" s="31" t="s">
        <v>32</v>
      </c>
      <c r="C34" s="20"/>
      <c r="D34" s="28">
        <v>12687.09</v>
      </c>
      <c r="E34" s="20"/>
    </row>
    <row r="35" spans="1:5" x14ac:dyDescent="0.25">
      <c r="A35" s="20"/>
      <c r="B35" s="27" t="s">
        <v>35</v>
      </c>
      <c r="C35" s="20"/>
      <c r="D35" s="20">
        <v>7564.09</v>
      </c>
      <c r="E35" s="20"/>
    </row>
    <row r="36" spans="1:5" x14ac:dyDescent="0.25">
      <c r="A36" s="20"/>
      <c r="B36" s="27" t="s">
        <v>61</v>
      </c>
      <c r="C36" s="20"/>
      <c r="D36" s="20">
        <v>27929.16</v>
      </c>
      <c r="E36" s="20"/>
    </row>
    <row r="37" spans="1:5" x14ac:dyDescent="0.25">
      <c r="A37" s="20"/>
      <c r="B37" s="27" t="s">
        <v>210</v>
      </c>
      <c r="C37" s="20"/>
      <c r="D37" s="20">
        <v>3600</v>
      </c>
      <c r="E37" s="20"/>
    </row>
    <row r="38" spans="1:5" x14ac:dyDescent="0.25">
      <c r="A38" s="20"/>
      <c r="B38" s="31" t="s">
        <v>131</v>
      </c>
      <c r="C38" s="20"/>
      <c r="D38" s="20">
        <v>172</v>
      </c>
      <c r="E38" s="20"/>
    </row>
    <row r="39" spans="1:5" x14ac:dyDescent="0.25">
      <c r="A39" s="20"/>
      <c r="B39" s="20" t="s">
        <v>37</v>
      </c>
      <c r="C39" s="20"/>
      <c r="D39" s="20">
        <v>7124.77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98541.32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D20+E20+D26+E26+D30+D40+E40</f>
        <v>420104.69089999999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D17*6%</f>
        <v>37876.280399999996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457980.97129999998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175</v>
      </c>
      <c r="C45" s="20"/>
      <c r="D45" s="26">
        <f>D14+D16-D43</f>
        <v>24462.528700000024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D8+D45</f>
        <v>319407.60870000004</v>
      </c>
      <c r="E46" s="20"/>
    </row>
    <row r="47" spans="1:5" x14ac:dyDescent="0.25">
      <c r="A47" s="447"/>
      <c r="B47" s="35"/>
      <c r="C47" s="34"/>
      <c r="D47" s="36"/>
      <c r="E47" s="34"/>
    </row>
    <row r="48" spans="1:5" x14ac:dyDescent="0.25">
      <c r="A48" s="447"/>
      <c r="B48" s="35"/>
      <c r="C48" s="34"/>
      <c r="D48" s="36"/>
      <c r="E48" s="34"/>
    </row>
    <row r="49" spans="1:5" x14ac:dyDescent="0.25">
      <c r="A49" s="34"/>
      <c r="B49" s="35" t="s">
        <v>16</v>
      </c>
      <c r="C49" s="34"/>
      <c r="D49" s="36">
        <f>D15+D9</f>
        <v>-256917.12000000002</v>
      </c>
      <c r="E49" s="34"/>
    </row>
    <row r="50" spans="1:5" x14ac:dyDescent="0.25">
      <c r="A50" s="34"/>
      <c r="B50" s="35" t="s">
        <v>226</v>
      </c>
      <c r="C50" s="34"/>
      <c r="D50" s="36">
        <v>17100.36</v>
      </c>
      <c r="E50" s="34"/>
    </row>
    <row r="51" spans="1:5" x14ac:dyDescent="0.25">
      <c r="A51" s="34"/>
      <c r="B51" s="35"/>
      <c r="C51" s="34"/>
      <c r="D51" s="36"/>
      <c r="E51" s="34"/>
    </row>
    <row r="52" spans="1:5" x14ac:dyDescent="0.25">
      <c r="A52" s="34"/>
      <c r="B52" s="35" t="s">
        <v>115</v>
      </c>
      <c r="C52" s="34"/>
      <c r="D52" s="36">
        <f>D49-D50</f>
        <v>-274017.48000000004</v>
      </c>
      <c r="E52" s="34"/>
    </row>
    <row r="53" spans="1:5" x14ac:dyDescent="0.25">
      <c r="A53" s="34"/>
      <c r="B53" s="35" t="s">
        <v>243</v>
      </c>
      <c r="C53" s="34"/>
      <c r="D53" s="36">
        <f>D46+D52</f>
        <v>45390.128700000001</v>
      </c>
      <c r="E53" s="34"/>
    </row>
    <row r="54" spans="1:5" x14ac:dyDescent="0.25">
      <c r="A54" s="34"/>
      <c r="B54" s="35"/>
      <c r="C54" s="34"/>
      <c r="D54" s="36"/>
      <c r="E54" s="34"/>
    </row>
    <row r="55" spans="1:5" x14ac:dyDescent="0.25">
      <c r="A55" s="34"/>
      <c r="B55" s="35"/>
      <c r="C55" s="34"/>
      <c r="D55" s="36"/>
      <c r="E55" s="34"/>
    </row>
    <row r="56" spans="1:5" x14ac:dyDescent="0.25">
      <c r="A56" s="37"/>
      <c r="B56" s="37" t="s">
        <v>45</v>
      </c>
      <c r="C56" s="37"/>
      <c r="D56" s="37" t="s">
        <v>46</v>
      </c>
      <c r="E56" s="37"/>
    </row>
    <row r="57" spans="1:5" x14ac:dyDescent="0.25">
      <c r="A57" s="37"/>
      <c r="B57" s="37" t="s">
        <v>47</v>
      </c>
      <c r="C57" s="37"/>
      <c r="D57" s="37" t="s">
        <v>48</v>
      </c>
      <c r="E57" s="37"/>
    </row>
  </sheetData>
  <mergeCells count="4">
    <mergeCell ref="D7:E7"/>
    <mergeCell ref="D6:E6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3" workbookViewId="0">
      <selection activeCell="D40" sqref="D40"/>
    </sheetView>
  </sheetViews>
  <sheetFormatPr defaultRowHeight="15" x14ac:dyDescent="0.25"/>
  <cols>
    <col min="2" max="2" width="40.7109375" customWidth="1"/>
    <col min="4" max="4" width="10.42578125" customWidth="1"/>
    <col min="5" max="5" width="10.140625" customWidth="1"/>
  </cols>
  <sheetData>
    <row r="1" spans="1:5" ht="15.75" x14ac:dyDescent="0.25">
      <c r="B1" s="1" t="s">
        <v>0</v>
      </c>
    </row>
    <row r="3" spans="1:5" x14ac:dyDescent="0.25">
      <c r="B3" t="s">
        <v>54</v>
      </c>
    </row>
    <row r="4" spans="1:5" x14ac:dyDescent="0.25">
      <c r="B4" t="s">
        <v>176</v>
      </c>
    </row>
    <row r="5" spans="1:5" x14ac:dyDescent="0.25">
      <c r="A5" s="501"/>
      <c r="B5" s="501"/>
      <c r="C5" s="501"/>
      <c r="D5" s="501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51</v>
      </c>
      <c r="D7" s="504" t="s">
        <v>152</v>
      </c>
      <c r="E7" s="505"/>
    </row>
    <row r="8" spans="1:5" x14ac:dyDescent="0.25">
      <c r="A8" s="13"/>
      <c r="B8" s="14" t="s">
        <v>8</v>
      </c>
      <c r="C8" s="13"/>
      <c r="D8" s="429">
        <v>-110799.88</v>
      </c>
      <c r="E8" s="381"/>
    </row>
    <row r="9" spans="1:5" x14ac:dyDescent="0.25">
      <c r="A9" s="9"/>
      <c r="B9" s="14" t="s">
        <v>9</v>
      </c>
      <c r="C9" s="12" t="s">
        <v>52</v>
      </c>
      <c r="D9" s="17">
        <v>9546.7999999999993</v>
      </c>
      <c r="E9" s="13"/>
    </row>
    <row r="10" spans="1:5" x14ac:dyDescent="0.25">
      <c r="A10" s="13"/>
      <c r="B10" s="14" t="s">
        <v>11</v>
      </c>
      <c r="C10" s="12" t="s">
        <v>52</v>
      </c>
      <c r="D10" s="17">
        <v>5841.2</v>
      </c>
      <c r="E10" s="13"/>
    </row>
    <row r="11" spans="1:5" x14ac:dyDescent="0.25">
      <c r="A11" s="13"/>
      <c r="B11" s="15" t="s">
        <v>12</v>
      </c>
      <c r="C11" s="12" t="s">
        <v>13</v>
      </c>
      <c r="D11" s="463">
        <v>663232.38</v>
      </c>
      <c r="E11" s="13"/>
    </row>
    <row r="12" spans="1:5" ht="15.75" x14ac:dyDescent="0.25">
      <c r="A12" s="13"/>
      <c r="B12" s="16" t="s">
        <v>14</v>
      </c>
      <c r="C12" s="9"/>
      <c r="D12" s="13"/>
      <c r="E12" s="13"/>
    </row>
    <row r="13" spans="1:5" x14ac:dyDescent="0.25">
      <c r="A13" s="13">
        <v>1</v>
      </c>
      <c r="B13" s="13" t="s">
        <v>15</v>
      </c>
      <c r="C13" s="12" t="s">
        <v>13</v>
      </c>
      <c r="D13" s="17">
        <v>533871.73</v>
      </c>
      <c r="E13" s="13"/>
    </row>
    <row r="14" spans="1:5" x14ac:dyDescent="0.25">
      <c r="A14" s="13">
        <v>2</v>
      </c>
      <c r="B14" s="13" t="s">
        <v>16</v>
      </c>
      <c r="C14" s="9"/>
      <c r="D14" s="17">
        <v>89676.73</v>
      </c>
      <c r="E14" s="13"/>
    </row>
    <row r="15" spans="1:5" x14ac:dyDescent="0.25">
      <c r="A15" s="13">
        <v>3</v>
      </c>
      <c r="B15" s="13" t="s">
        <v>92</v>
      </c>
      <c r="C15" s="9"/>
      <c r="D15" s="17">
        <v>7722.88</v>
      </c>
      <c r="E15" s="13"/>
    </row>
    <row r="16" spans="1:5" ht="15.75" x14ac:dyDescent="0.25">
      <c r="A16" s="13"/>
      <c r="B16" s="16" t="s">
        <v>17</v>
      </c>
      <c r="C16" s="9"/>
      <c r="D16" s="18">
        <f>D13+D14+D15</f>
        <v>631271.34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13"/>
      <c r="B18" s="21" t="s">
        <v>18</v>
      </c>
      <c r="C18" s="20"/>
      <c r="D18" s="22"/>
      <c r="E18" s="23" t="s">
        <v>19</v>
      </c>
    </row>
    <row r="19" spans="1:5" x14ac:dyDescent="0.25">
      <c r="A19" s="20"/>
      <c r="B19" s="25" t="s">
        <v>21</v>
      </c>
      <c r="C19" s="20"/>
      <c r="D19" s="22">
        <f>D20+D24+D23+D22</f>
        <v>64131.839999999997</v>
      </c>
      <c r="E19" s="26">
        <f>E20</f>
        <v>15317.709480000001</v>
      </c>
    </row>
    <row r="20" spans="1:5" x14ac:dyDescent="0.25">
      <c r="A20" s="24" t="s">
        <v>20</v>
      </c>
      <c r="B20" s="22" t="s">
        <v>22</v>
      </c>
      <c r="C20" s="27" t="s">
        <v>13</v>
      </c>
      <c r="D20" s="22">
        <f>D21</f>
        <v>58464.54</v>
      </c>
      <c r="E20" s="26">
        <f>E21+E22</f>
        <v>15317.709480000001</v>
      </c>
    </row>
    <row r="21" spans="1:5" x14ac:dyDescent="0.25">
      <c r="A21" s="20">
        <v>1</v>
      </c>
      <c r="B21" s="20" t="s">
        <v>23</v>
      </c>
      <c r="C21" s="20"/>
      <c r="D21" s="20">
        <v>58464.54</v>
      </c>
      <c r="E21" s="28">
        <f>D21*26.2%</f>
        <v>15317.709480000001</v>
      </c>
    </row>
    <row r="22" spans="1:5" x14ac:dyDescent="0.25">
      <c r="A22" s="20"/>
      <c r="B22" s="20" t="s">
        <v>75</v>
      </c>
      <c r="C22" s="20"/>
      <c r="D22" s="20">
        <f>1798.83+1150</f>
        <v>2948.83</v>
      </c>
      <c r="E22" s="28"/>
    </row>
    <row r="23" spans="1:5" x14ac:dyDescent="0.25">
      <c r="A23" s="20"/>
      <c r="B23" s="20" t="s">
        <v>212</v>
      </c>
      <c r="C23" s="20"/>
      <c r="D23" s="20">
        <v>453.56</v>
      </c>
      <c r="E23" s="28"/>
    </row>
    <row r="24" spans="1:5" x14ac:dyDescent="0.25">
      <c r="A24" s="20">
        <v>2</v>
      </c>
      <c r="B24" s="27" t="s">
        <v>26</v>
      </c>
      <c r="C24" s="20"/>
      <c r="D24" s="20">
        <v>2264.91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D26+D27+D28</f>
        <v>116065.8</v>
      </c>
      <c r="E25" s="26">
        <f>E26</f>
        <v>20975.118439999998</v>
      </c>
    </row>
    <row r="26" spans="1:5" x14ac:dyDescent="0.25">
      <c r="A26" s="24"/>
      <c r="B26" s="31" t="s">
        <v>229</v>
      </c>
      <c r="C26" s="20"/>
      <c r="D26" s="31">
        <v>103837.22</v>
      </c>
      <c r="E26" s="28">
        <f>D26*20.2%</f>
        <v>20975.118439999998</v>
      </c>
    </row>
    <row r="27" spans="1:5" x14ac:dyDescent="0.25">
      <c r="A27" s="20">
        <v>1</v>
      </c>
      <c r="B27" s="31" t="s">
        <v>26</v>
      </c>
      <c r="C27" s="20"/>
      <c r="D27" s="31">
        <v>2340.58</v>
      </c>
      <c r="E27" s="20"/>
    </row>
    <row r="28" spans="1:5" x14ac:dyDescent="0.25">
      <c r="A28" s="20">
        <v>2</v>
      </c>
      <c r="B28" s="31" t="s">
        <v>60</v>
      </c>
      <c r="C28" s="20"/>
      <c r="D28" s="31">
        <v>9888</v>
      </c>
      <c r="E28" s="20"/>
    </row>
    <row r="29" spans="1:5" x14ac:dyDescent="0.25">
      <c r="A29" s="24" t="s">
        <v>29</v>
      </c>
      <c r="B29" s="22" t="s">
        <v>30</v>
      </c>
      <c r="C29" s="20"/>
      <c r="D29" s="26">
        <f>D30+D31+D32+D33+D34+D35+D36+D37+D38+D39</f>
        <v>122173.26298</v>
      </c>
      <c r="E29" s="20"/>
    </row>
    <row r="30" spans="1:5" x14ac:dyDescent="0.25">
      <c r="A30" s="24"/>
      <c r="B30" s="20" t="s">
        <v>31</v>
      </c>
      <c r="C30" s="20"/>
      <c r="D30" s="28">
        <f>D16*4.7%</f>
        <v>29669.752979999997</v>
      </c>
      <c r="E30" s="20"/>
    </row>
    <row r="31" spans="1:5" x14ac:dyDescent="0.25">
      <c r="A31" s="20"/>
      <c r="B31" s="20" t="s">
        <v>57</v>
      </c>
      <c r="C31" s="20"/>
      <c r="D31" s="20">
        <v>3147.86</v>
      </c>
      <c r="E31" s="20"/>
    </row>
    <row r="32" spans="1:5" x14ac:dyDescent="0.25">
      <c r="A32" s="20"/>
      <c r="B32" s="20" t="s">
        <v>33</v>
      </c>
      <c r="C32" s="20"/>
      <c r="D32" s="28">
        <v>13178.18</v>
      </c>
      <c r="E32" s="20"/>
    </row>
    <row r="33" spans="1:5" x14ac:dyDescent="0.25">
      <c r="A33" s="20"/>
      <c r="B33" s="31" t="s">
        <v>32</v>
      </c>
      <c r="C33" s="20"/>
      <c r="D33" s="28">
        <v>12687.09</v>
      </c>
      <c r="E33" s="20"/>
    </row>
    <row r="34" spans="1:5" x14ac:dyDescent="0.25">
      <c r="A34" s="20"/>
      <c r="B34" s="27" t="s">
        <v>35</v>
      </c>
      <c r="C34" s="20"/>
      <c r="D34" s="20">
        <v>7564.09</v>
      </c>
      <c r="E34" s="20"/>
    </row>
    <row r="35" spans="1:5" x14ac:dyDescent="0.25">
      <c r="A35" s="20"/>
      <c r="B35" s="27" t="s">
        <v>61</v>
      </c>
      <c r="C35" s="20"/>
      <c r="D35" s="20">
        <v>27929.16</v>
      </c>
      <c r="E35" s="20"/>
    </row>
    <row r="36" spans="1:5" x14ac:dyDescent="0.25">
      <c r="A36" s="20"/>
      <c r="B36" s="27" t="s">
        <v>210</v>
      </c>
      <c r="C36" s="20"/>
      <c r="D36" s="20">
        <v>3600</v>
      </c>
      <c r="E36" s="20"/>
    </row>
    <row r="37" spans="1:5" x14ac:dyDescent="0.25">
      <c r="A37" s="20"/>
      <c r="B37" s="31" t="s">
        <v>131</v>
      </c>
      <c r="C37" s="20"/>
      <c r="D37" s="20">
        <v>172</v>
      </c>
      <c r="E37" s="20"/>
    </row>
    <row r="38" spans="1:5" x14ac:dyDescent="0.25">
      <c r="A38" s="20"/>
      <c r="B38" s="20" t="s">
        <v>37</v>
      </c>
      <c r="C38" s="20"/>
      <c r="D38" s="20">
        <v>7124.77</v>
      </c>
      <c r="E38" s="20"/>
    </row>
    <row r="39" spans="1:5" x14ac:dyDescent="0.25">
      <c r="A39" s="20"/>
      <c r="B39" s="20" t="s">
        <v>196</v>
      </c>
      <c r="C39" s="20"/>
      <c r="D39" s="20">
        <v>17100.36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98541.32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D19+E19+D25+E25+D29+D40+E40</f>
        <v>437205.05089999997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D16*6%</f>
        <v>37876.280399999996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475081.33129999996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175</v>
      </c>
      <c r="C45" s="20"/>
      <c r="D45" s="26">
        <f>D16-D43</f>
        <v>156190.00870000001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D8+D45</f>
        <v>45390.128700000001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7" t="s">
        <v>45</v>
      </c>
      <c r="C48" s="37"/>
      <c r="D48" s="37" t="s">
        <v>46</v>
      </c>
      <c r="E48" s="37"/>
    </row>
    <row r="49" spans="1:5" x14ac:dyDescent="0.25">
      <c r="A49" s="37"/>
      <c r="B49" s="37" t="s">
        <v>47</v>
      </c>
      <c r="C49" s="37"/>
      <c r="D49" s="37" t="s">
        <v>48</v>
      </c>
      <c r="E49" s="37"/>
    </row>
    <row r="50" spans="1:5" x14ac:dyDescent="0.25">
      <c r="A50" s="37"/>
    </row>
  </sheetData>
  <mergeCells count="4">
    <mergeCell ref="A5:B5"/>
    <mergeCell ref="C5:D5"/>
    <mergeCell ref="D6:E6"/>
    <mergeCell ref="D7:E7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7" workbookViewId="0">
      <selection activeCell="H32" sqref="H32:I48"/>
    </sheetView>
  </sheetViews>
  <sheetFormatPr defaultRowHeight="15" x14ac:dyDescent="0.25"/>
  <cols>
    <col min="2" max="2" width="38.85546875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178</v>
      </c>
    </row>
    <row r="5" spans="1:5" x14ac:dyDescent="0.25">
      <c r="A5" s="597"/>
      <c r="B5" s="597"/>
      <c r="C5" s="597"/>
      <c r="D5" s="501"/>
      <c r="E5" s="58"/>
    </row>
    <row r="6" spans="1:5" ht="15.75" x14ac:dyDescent="0.25">
      <c r="A6" s="2"/>
      <c r="B6" s="445" t="s">
        <v>3</v>
      </c>
      <c r="C6" s="446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51</v>
      </c>
      <c r="D7" s="504" t="s">
        <v>152</v>
      </c>
      <c r="E7" s="505"/>
    </row>
    <row r="8" spans="1:5" x14ac:dyDescent="0.25">
      <c r="A8" s="13"/>
      <c r="B8" s="14" t="s">
        <v>100</v>
      </c>
      <c r="C8" s="13"/>
      <c r="D8" s="429">
        <v>223716.63</v>
      </c>
      <c r="E8" s="381"/>
    </row>
    <row r="9" spans="1:5" x14ac:dyDescent="0.25">
      <c r="A9" s="9"/>
      <c r="B9" s="12" t="s">
        <v>101</v>
      </c>
      <c r="C9" s="9"/>
      <c r="D9" s="10">
        <v>-256667.93</v>
      </c>
      <c r="E9" s="11"/>
    </row>
    <row r="10" spans="1:5" x14ac:dyDescent="0.25">
      <c r="A10" s="13"/>
      <c r="B10" s="14" t="s">
        <v>9</v>
      </c>
      <c r="C10" s="12" t="s">
        <v>52</v>
      </c>
      <c r="D10" s="17">
        <v>9568.5</v>
      </c>
      <c r="E10" s="13"/>
    </row>
    <row r="11" spans="1:5" x14ac:dyDescent="0.25">
      <c r="A11" s="13"/>
      <c r="B11" s="14" t="s">
        <v>11</v>
      </c>
      <c r="C11" s="12" t="s">
        <v>52</v>
      </c>
      <c r="D11" s="17">
        <v>5924.6</v>
      </c>
      <c r="E11" s="13"/>
    </row>
    <row r="12" spans="1:5" x14ac:dyDescent="0.25">
      <c r="A12" s="13"/>
      <c r="B12" s="15" t="s">
        <v>12</v>
      </c>
      <c r="C12" s="12" t="s">
        <v>13</v>
      </c>
      <c r="D12" s="463">
        <v>577345.03</v>
      </c>
      <c r="E12" s="13"/>
    </row>
    <row r="13" spans="1:5" ht="15.75" x14ac:dyDescent="0.25">
      <c r="A13" s="13"/>
      <c r="B13" s="16" t="s">
        <v>14</v>
      </c>
      <c r="C13" s="9"/>
      <c r="D13" s="17"/>
      <c r="E13" s="13"/>
    </row>
    <row r="14" spans="1:5" x14ac:dyDescent="0.25">
      <c r="A14" s="13">
        <v>1</v>
      </c>
      <c r="B14" s="13" t="s">
        <v>15</v>
      </c>
      <c r="C14" s="12" t="s">
        <v>13</v>
      </c>
      <c r="D14" s="17">
        <v>450515.93</v>
      </c>
      <c r="E14" s="13"/>
    </row>
    <row r="15" spans="1:5" x14ac:dyDescent="0.25">
      <c r="A15" s="13">
        <v>2</v>
      </c>
      <c r="B15" s="13" t="s">
        <v>69</v>
      </c>
      <c r="C15" s="14" t="s">
        <v>13</v>
      </c>
      <c r="D15" s="13">
        <f>2400+286000</f>
        <v>288400</v>
      </c>
      <c r="E15" s="13"/>
    </row>
    <row r="16" spans="1:5" x14ac:dyDescent="0.25">
      <c r="A16" s="13">
        <v>3</v>
      </c>
      <c r="B16" s="13" t="s">
        <v>16</v>
      </c>
      <c r="C16" s="12"/>
      <c r="D16" s="13">
        <v>135776.19</v>
      </c>
      <c r="E16" s="13"/>
    </row>
    <row r="17" spans="1:5" ht="15.75" x14ac:dyDescent="0.25">
      <c r="A17" s="13"/>
      <c r="B17" s="16" t="s">
        <v>17</v>
      </c>
      <c r="C17" s="9"/>
      <c r="D17" s="18">
        <f>D14+D15+D16</f>
        <v>874692.11999999988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D21+D26+D25</f>
        <v>110961.91</v>
      </c>
      <c r="E20" s="26">
        <f>E21</f>
        <v>18294.208780000001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90565.39</v>
      </c>
      <c r="E21" s="26">
        <f>E22+E24</f>
        <v>18294.208780000001</v>
      </c>
    </row>
    <row r="22" spans="1:5" x14ac:dyDescent="0.25">
      <c r="A22" s="20"/>
      <c r="B22" s="20" t="s">
        <v>23</v>
      </c>
      <c r="C22" s="20"/>
      <c r="D22" s="20">
        <v>79936.88</v>
      </c>
      <c r="E22" s="28">
        <f>D22*20.2%</f>
        <v>16147.249760000001</v>
      </c>
    </row>
    <row r="23" spans="1:5" x14ac:dyDescent="0.25">
      <c r="A23" s="20"/>
      <c r="B23" s="20" t="s">
        <v>24</v>
      </c>
      <c r="C23" s="20"/>
      <c r="D23" s="29">
        <v>0</v>
      </c>
      <c r="E23" s="28">
        <f t="shared" ref="E23:E24" si="0">D23*20.2%</f>
        <v>0</v>
      </c>
    </row>
    <row r="24" spans="1:5" x14ac:dyDescent="0.25">
      <c r="A24" s="20"/>
      <c r="B24" s="31" t="s">
        <v>75</v>
      </c>
      <c r="C24" s="20"/>
      <c r="D24" s="20">
        <v>10628.51</v>
      </c>
      <c r="E24" s="28">
        <f t="shared" si="0"/>
        <v>2146.9590199999998</v>
      </c>
    </row>
    <row r="25" spans="1:5" x14ac:dyDescent="0.25">
      <c r="A25" s="20">
        <v>2</v>
      </c>
      <c r="B25" s="31" t="s">
        <v>177</v>
      </c>
      <c r="C25" s="20"/>
      <c r="D25" s="20">
        <f>12000+1000+998.08+4000</f>
        <v>17998.080000000002</v>
      </c>
      <c r="E25" s="28"/>
    </row>
    <row r="26" spans="1:5" x14ac:dyDescent="0.25">
      <c r="A26" s="20">
        <v>3</v>
      </c>
      <c r="B26" s="27" t="s">
        <v>26</v>
      </c>
      <c r="C26" s="20"/>
      <c r="D26" s="20">
        <f>97.86+2300.58</f>
        <v>2398.44</v>
      </c>
      <c r="E26" s="28"/>
    </row>
    <row r="27" spans="1:5" x14ac:dyDescent="0.25">
      <c r="A27" s="24" t="s">
        <v>27</v>
      </c>
      <c r="B27" s="30" t="s">
        <v>28</v>
      </c>
      <c r="C27" s="20"/>
      <c r="D27" s="26">
        <f>D28+D29+D30</f>
        <v>147787.26999999999</v>
      </c>
      <c r="E27" s="26">
        <f>E28</f>
        <v>21274.597579999998</v>
      </c>
    </row>
    <row r="28" spans="1:5" x14ac:dyDescent="0.25">
      <c r="A28" s="20">
        <v>1</v>
      </c>
      <c r="B28" s="31" t="s">
        <v>229</v>
      </c>
      <c r="C28" s="20"/>
      <c r="D28" s="31">
        <v>105319.79</v>
      </c>
      <c r="E28" s="28">
        <f>D28*20.2%</f>
        <v>21274.597579999998</v>
      </c>
    </row>
    <row r="29" spans="1:5" x14ac:dyDescent="0.25">
      <c r="A29" s="20">
        <v>2</v>
      </c>
      <c r="B29" s="31" t="s">
        <v>26</v>
      </c>
      <c r="C29" s="20"/>
      <c r="D29" s="31">
        <v>32579.48</v>
      </c>
      <c r="E29" s="20"/>
    </row>
    <row r="30" spans="1:5" x14ac:dyDescent="0.25">
      <c r="A30" s="20">
        <v>3</v>
      </c>
      <c r="B30" s="31" t="s">
        <v>60</v>
      </c>
      <c r="C30" s="20"/>
      <c r="D30" s="31">
        <v>9888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D32+D33+D34+D35+D36+D37+D38+D39</f>
        <v>103247.26964</v>
      </c>
      <c r="E31" s="20"/>
    </row>
    <row r="32" spans="1:5" x14ac:dyDescent="0.25">
      <c r="A32" s="20"/>
      <c r="B32" s="20" t="s">
        <v>31</v>
      </c>
      <c r="C32" s="20"/>
      <c r="D32" s="28">
        <f>D17*4.7%</f>
        <v>41110.529639999993</v>
      </c>
      <c r="E32" s="20"/>
    </row>
    <row r="33" spans="1:5" x14ac:dyDescent="0.25">
      <c r="A33" s="20"/>
      <c r="B33" s="20" t="s">
        <v>57</v>
      </c>
      <c r="C33" s="20"/>
      <c r="D33" s="20">
        <v>2950.07</v>
      </c>
      <c r="E33" s="20"/>
    </row>
    <row r="34" spans="1:5" x14ac:dyDescent="0.25">
      <c r="A34" s="20"/>
      <c r="B34" s="20" t="s">
        <v>33</v>
      </c>
      <c r="C34" s="20"/>
      <c r="D34" s="28">
        <v>15394.89</v>
      </c>
      <c r="E34" s="20"/>
    </row>
    <row r="35" spans="1:5" x14ac:dyDescent="0.25">
      <c r="A35" s="20"/>
      <c r="B35" s="27" t="s">
        <v>32</v>
      </c>
      <c r="C35" s="20"/>
      <c r="D35" s="20">
        <v>4060</v>
      </c>
      <c r="E35" s="20"/>
    </row>
    <row r="36" spans="1:5" x14ac:dyDescent="0.25">
      <c r="A36" s="20"/>
      <c r="B36" s="27" t="s">
        <v>35</v>
      </c>
      <c r="C36" s="20"/>
      <c r="D36" s="20">
        <v>9700.65</v>
      </c>
      <c r="E36" s="20"/>
    </row>
    <row r="37" spans="1:5" x14ac:dyDescent="0.25">
      <c r="A37" s="20"/>
      <c r="B37" s="27" t="s">
        <v>61</v>
      </c>
      <c r="C37" s="20"/>
      <c r="D37" s="20">
        <v>25898.13</v>
      </c>
      <c r="E37" s="20"/>
    </row>
    <row r="38" spans="1:5" x14ac:dyDescent="0.25">
      <c r="A38" s="20"/>
      <c r="B38" s="31" t="s">
        <v>131</v>
      </c>
      <c r="C38" s="20"/>
      <c r="D38" s="20">
        <v>344</v>
      </c>
      <c r="E38" s="20"/>
    </row>
    <row r="39" spans="1:5" x14ac:dyDescent="0.25">
      <c r="A39" s="20"/>
      <c r="B39" s="20" t="s">
        <v>37</v>
      </c>
      <c r="C39" s="20"/>
      <c r="D39" s="20">
        <v>3789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100349.7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D20+E20+D27+E27+D31+D40+E40</f>
        <v>501914.95600000001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D17*6%</f>
        <v>52481.52719999999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554396.48320000002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135</v>
      </c>
      <c r="C45" s="20"/>
      <c r="D45" s="26">
        <f>D14+D15-D43</f>
        <v>184519.44679999992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D8+D45</f>
        <v>408236.07679999992</v>
      </c>
      <c r="E46" s="20"/>
    </row>
    <row r="47" spans="1:5" x14ac:dyDescent="0.25">
      <c r="A47" s="447"/>
      <c r="B47" s="35"/>
      <c r="C47" s="34"/>
      <c r="D47" s="36"/>
      <c r="E47" s="34"/>
    </row>
    <row r="48" spans="1:5" x14ac:dyDescent="0.25">
      <c r="A48" s="447"/>
      <c r="B48" s="431" t="s">
        <v>16</v>
      </c>
      <c r="C48" s="34"/>
      <c r="D48" s="36">
        <f>D9+D16</f>
        <v>-120891.73999999999</v>
      </c>
      <c r="E48" s="34"/>
    </row>
    <row r="49" spans="1:5" x14ac:dyDescent="0.25">
      <c r="A49" s="447"/>
      <c r="B49" s="431"/>
      <c r="C49" s="34"/>
      <c r="D49" s="36"/>
      <c r="E49" s="34"/>
    </row>
    <row r="50" spans="1:5" x14ac:dyDescent="0.25">
      <c r="A50" s="447"/>
      <c r="B50" s="35" t="s">
        <v>226</v>
      </c>
      <c r="C50" s="34"/>
      <c r="D50" s="36">
        <v>60259.5</v>
      </c>
      <c r="E50" s="34"/>
    </row>
    <row r="51" spans="1:5" x14ac:dyDescent="0.25">
      <c r="A51" s="447"/>
      <c r="B51" s="35"/>
      <c r="C51" s="34"/>
      <c r="D51" s="36"/>
      <c r="E51" s="34"/>
    </row>
    <row r="52" spans="1:5" x14ac:dyDescent="0.25">
      <c r="A52" s="447"/>
      <c r="B52" s="35" t="s">
        <v>115</v>
      </c>
      <c r="C52" s="34"/>
      <c r="D52" s="36">
        <f>D48-D50</f>
        <v>-181151.24</v>
      </c>
      <c r="E52" s="34"/>
    </row>
    <row r="53" spans="1:5" x14ac:dyDescent="0.25">
      <c r="A53" s="447"/>
      <c r="B53" s="35"/>
      <c r="C53" s="34"/>
      <c r="D53" s="36"/>
      <c r="E53" s="34"/>
    </row>
    <row r="54" spans="1:5" x14ac:dyDescent="0.25">
      <c r="A54" s="447"/>
      <c r="B54" s="35" t="s">
        <v>227</v>
      </c>
      <c r="C54" s="34"/>
      <c r="D54" s="36">
        <f>D46+D52</f>
        <v>227084.83679999993</v>
      </c>
      <c r="E54" s="34"/>
    </row>
    <row r="55" spans="1:5" x14ac:dyDescent="0.25">
      <c r="A55" s="447"/>
      <c r="B55" s="35"/>
      <c r="C55" s="34"/>
      <c r="D55" s="36"/>
      <c r="E55" s="34"/>
    </row>
    <row r="56" spans="1:5" x14ac:dyDescent="0.25">
      <c r="A56" s="447"/>
      <c r="B56" s="35"/>
      <c r="C56" s="34"/>
      <c r="D56" s="36"/>
      <c r="E56" s="34"/>
    </row>
    <row r="57" spans="1:5" x14ac:dyDescent="0.25">
      <c r="A57" s="37"/>
      <c r="B57" s="37" t="s">
        <v>45</v>
      </c>
      <c r="C57" s="37"/>
      <c r="D57" s="37" t="s">
        <v>46</v>
      </c>
      <c r="E57" s="34"/>
    </row>
    <row r="58" spans="1:5" x14ac:dyDescent="0.25">
      <c r="A58" s="37"/>
      <c r="B58" s="37" t="s">
        <v>47</v>
      </c>
      <c r="C58" s="37"/>
      <c r="D58" s="37" t="s">
        <v>48</v>
      </c>
      <c r="E58" s="34"/>
    </row>
    <row r="59" spans="1:5" x14ac:dyDescent="0.25">
      <c r="E59" s="34"/>
    </row>
    <row r="60" spans="1:5" x14ac:dyDescent="0.25">
      <c r="E60" s="37"/>
    </row>
    <row r="61" spans="1:5" x14ac:dyDescent="0.25">
      <c r="E61" s="37"/>
    </row>
  </sheetData>
  <mergeCells count="4">
    <mergeCell ref="D6:E6"/>
    <mergeCell ref="D7:E7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0" workbookViewId="0">
      <selection activeCell="D48" sqref="D48"/>
    </sheetView>
  </sheetViews>
  <sheetFormatPr defaultRowHeight="15" x14ac:dyDescent="0.25"/>
  <cols>
    <col min="2" max="2" width="42.85546875" customWidth="1"/>
    <col min="4" max="4" width="11.7109375" customWidth="1"/>
    <col min="5" max="5" width="10.855468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179</v>
      </c>
    </row>
    <row r="4" spans="1:5" x14ac:dyDescent="0.25">
      <c r="A4" s="597"/>
      <c r="B4" s="597"/>
      <c r="C4" s="597"/>
      <c r="D4" s="597"/>
      <c r="E4" s="57"/>
    </row>
    <row r="5" spans="1:5" ht="15.75" x14ac:dyDescent="0.25">
      <c r="A5" s="2"/>
      <c r="B5" s="445" t="s">
        <v>3</v>
      </c>
      <c r="C5" s="446" t="s">
        <v>4</v>
      </c>
      <c r="D5" s="598" t="s">
        <v>5</v>
      </c>
      <c r="E5" s="599"/>
    </row>
    <row r="6" spans="1:5" ht="15.75" x14ac:dyDescent="0.25">
      <c r="A6" s="8"/>
      <c r="B6" s="6" t="s">
        <v>6</v>
      </c>
      <c r="C6" s="7" t="s">
        <v>51</v>
      </c>
      <c r="D6" s="504" t="s">
        <v>152</v>
      </c>
      <c r="E6" s="505"/>
    </row>
    <row r="7" spans="1:5" x14ac:dyDescent="0.25">
      <c r="A7" s="13"/>
      <c r="B7" s="14" t="s">
        <v>113</v>
      </c>
      <c r="C7" s="13"/>
      <c r="D7" s="429">
        <v>-316224.90999999997</v>
      </c>
      <c r="E7" s="381"/>
    </row>
    <row r="8" spans="1:5" x14ac:dyDescent="0.25">
      <c r="A8" s="9"/>
      <c r="B8" s="12" t="s">
        <v>101</v>
      </c>
      <c r="C8" s="9"/>
      <c r="D8" s="10">
        <v>-51739.92</v>
      </c>
      <c r="E8" s="11"/>
    </row>
    <row r="9" spans="1:5" x14ac:dyDescent="0.25">
      <c r="A9" s="13"/>
      <c r="B9" s="14" t="s">
        <v>9</v>
      </c>
      <c r="C9" s="12" t="s">
        <v>52</v>
      </c>
      <c r="D9" s="17">
        <v>6474.6</v>
      </c>
      <c r="E9" s="13"/>
    </row>
    <row r="10" spans="1:5" x14ac:dyDescent="0.25">
      <c r="A10" s="13"/>
      <c r="B10" s="14" t="s">
        <v>11</v>
      </c>
      <c r="C10" s="12" t="s">
        <v>52</v>
      </c>
      <c r="D10" s="17">
        <v>4985.3</v>
      </c>
      <c r="E10" s="13"/>
    </row>
    <row r="11" spans="1:5" x14ac:dyDescent="0.25">
      <c r="A11" s="13"/>
      <c r="B11" s="12" t="s">
        <v>8</v>
      </c>
      <c r="C11" s="12" t="s">
        <v>13</v>
      </c>
      <c r="D11" s="462">
        <v>795801</v>
      </c>
      <c r="E11" s="13"/>
    </row>
    <row r="12" spans="1:5" ht="15.75" x14ac:dyDescent="0.25">
      <c r="A12" s="13"/>
      <c r="B12" s="16" t="s">
        <v>14</v>
      </c>
      <c r="C12" s="9"/>
      <c r="D12" s="13"/>
      <c r="E12" s="13"/>
    </row>
    <row r="13" spans="1:5" x14ac:dyDescent="0.25">
      <c r="A13" s="13">
        <v>1</v>
      </c>
      <c r="B13" s="13" t="s">
        <v>15</v>
      </c>
      <c r="C13" s="12" t="s">
        <v>13</v>
      </c>
      <c r="D13" s="13">
        <v>632957.65</v>
      </c>
      <c r="E13" s="13"/>
    </row>
    <row r="14" spans="1:5" x14ac:dyDescent="0.25">
      <c r="A14" s="13">
        <v>2</v>
      </c>
      <c r="B14" s="13" t="s">
        <v>16</v>
      </c>
      <c r="C14" s="12"/>
      <c r="D14" s="13">
        <v>165450.46</v>
      </c>
      <c r="E14" s="13"/>
    </row>
    <row r="15" spans="1:5" x14ac:dyDescent="0.25">
      <c r="A15" s="13">
        <v>3</v>
      </c>
      <c r="B15" s="13" t="s">
        <v>92</v>
      </c>
      <c r="C15" s="9"/>
      <c r="D15" s="13">
        <v>2400</v>
      </c>
      <c r="E15" s="13"/>
    </row>
    <row r="16" spans="1:5" ht="15.75" x14ac:dyDescent="0.25">
      <c r="A16" s="13"/>
      <c r="B16" s="16" t="s">
        <v>17</v>
      </c>
      <c r="C16" s="9"/>
      <c r="D16" s="19">
        <f>D13+D14+D15</f>
        <v>800808.11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D20+D26+D25</f>
        <v>184024.37999999998</v>
      </c>
      <c r="E19" s="26">
        <f>E20</f>
        <v>33373.557260000001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D21+D22+D23+D24</f>
        <v>167568.21</v>
      </c>
      <c r="E20" s="26">
        <f>E21+E22+E23+E24</f>
        <v>33373.557260000001</v>
      </c>
    </row>
    <row r="21" spans="1:5" x14ac:dyDescent="0.25">
      <c r="A21" s="20"/>
      <c r="B21" s="20" t="s">
        <v>23</v>
      </c>
      <c r="C21" s="20"/>
      <c r="D21" s="20">
        <v>47993.57</v>
      </c>
      <c r="E21" s="28">
        <f>D21*20.2%</f>
        <v>9694.7011399999992</v>
      </c>
    </row>
    <row r="22" spans="1:5" x14ac:dyDescent="0.25">
      <c r="A22" s="20"/>
      <c r="B22" s="20" t="s">
        <v>24</v>
      </c>
      <c r="C22" s="20"/>
      <c r="D22" s="29">
        <v>49728.99</v>
      </c>
      <c r="E22" s="28">
        <f t="shared" ref="E22:E23" si="0">D22*20.2%</f>
        <v>10045.255979999998</v>
      </c>
    </row>
    <row r="23" spans="1:5" x14ac:dyDescent="0.25">
      <c r="A23" s="20"/>
      <c r="B23" s="20" t="s">
        <v>25</v>
      </c>
      <c r="C23" s="20"/>
      <c r="D23" s="20">
        <v>67493.070000000007</v>
      </c>
      <c r="E23" s="28">
        <f t="shared" si="0"/>
        <v>13633.60014</v>
      </c>
    </row>
    <row r="24" spans="1:5" x14ac:dyDescent="0.25">
      <c r="A24" s="20"/>
      <c r="B24" s="20" t="s">
        <v>75</v>
      </c>
      <c r="C24" s="20"/>
      <c r="D24" s="20">
        <v>2352.58</v>
      </c>
      <c r="E24" s="28">
        <v>0</v>
      </c>
    </row>
    <row r="25" spans="1:5" x14ac:dyDescent="0.25">
      <c r="A25" s="20">
        <v>2</v>
      </c>
      <c r="B25" s="31" t="s">
        <v>215</v>
      </c>
      <c r="C25" s="20"/>
      <c r="D25" s="20">
        <f>2911.09+4990.4</f>
        <v>7901.49</v>
      </c>
      <c r="E25" s="28"/>
    </row>
    <row r="26" spans="1:5" x14ac:dyDescent="0.25">
      <c r="A26" s="20">
        <v>3</v>
      </c>
      <c r="B26" s="27" t="s">
        <v>26</v>
      </c>
      <c r="C26" s="20"/>
      <c r="D26" s="20">
        <f>82.35+8472.33</f>
        <v>8554.68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114137.51</v>
      </c>
      <c r="E27" s="26">
        <f>E28</f>
        <v>17901.674299999999</v>
      </c>
    </row>
    <row r="28" spans="1:5" x14ac:dyDescent="0.25">
      <c r="A28" s="20">
        <v>1</v>
      </c>
      <c r="B28" s="31" t="s">
        <v>229</v>
      </c>
      <c r="C28" s="20"/>
      <c r="D28" s="31">
        <v>88622.15</v>
      </c>
      <c r="E28" s="28">
        <f>D28*20.2%</f>
        <v>17901.674299999999</v>
      </c>
    </row>
    <row r="29" spans="1:5" x14ac:dyDescent="0.25">
      <c r="A29" s="20">
        <v>2</v>
      </c>
      <c r="B29" s="31" t="s">
        <v>26</v>
      </c>
      <c r="C29" s="20"/>
      <c r="D29" s="31">
        <v>3831.36</v>
      </c>
      <c r="E29" s="20"/>
    </row>
    <row r="30" spans="1:5" x14ac:dyDescent="0.25">
      <c r="A30" s="20">
        <v>3</v>
      </c>
      <c r="B30" s="31" t="s">
        <v>60</v>
      </c>
      <c r="C30" s="20"/>
      <c r="D30" s="31">
        <v>21684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</f>
        <v>77663.801170000006</v>
      </c>
      <c r="E31" s="20"/>
    </row>
    <row r="32" spans="1:5" x14ac:dyDescent="0.25">
      <c r="A32" s="20"/>
      <c r="B32" s="20" t="s">
        <v>31</v>
      </c>
      <c r="C32" s="20"/>
      <c r="D32" s="28">
        <f>D16*4.7%</f>
        <v>37637.981169999999</v>
      </c>
      <c r="E32" s="20"/>
    </row>
    <row r="33" spans="1:5" x14ac:dyDescent="0.25">
      <c r="A33" s="20"/>
      <c r="B33" s="20" t="s">
        <v>57</v>
      </c>
      <c r="C33" s="20"/>
      <c r="D33" s="20">
        <v>1645.06</v>
      </c>
      <c r="E33" s="20"/>
    </row>
    <row r="34" spans="1:5" x14ac:dyDescent="0.25">
      <c r="A34" s="20"/>
      <c r="B34" s="20" t="s">
        <v>33</v>
      </c>
      <c r="C34" s="20"/>
      <c r="D34" s="28">
        <v>12954.15</v>
      </c>
      <c r="E34" s="20"/>
    </row>
    <row r="35" spans="1:5" x14ac:dyDescent="0.25">
      <c r="A35" s="20"/>
      <c r="B35" s="31" t="s">
        <v>32</v>
      </c>
      <c r="C35" s="20"/>
      <c r="D35" s="20">
        <v>10839.09</v>
      </c>
      <c r="E35" s="20"/>
    </row>
    <row r="36" spans="1:5" x14ac:dyDescent="0.25">
      <c r="A36" s="20"/>
      <c r="B36" s="27" t="s">
        <v>35</v>
      </c>
      <c r="C36" s="20"/>
      <c r="D36" s="20">
        <v>8162.69</v>
      </c>
      <c r="E36" s="20"/>
    </row>
    <row r="37" spans="1:5" x14ac:dyDescent="0.25">
      <c r="A37" s="20"/>
      <c r="B37" s="31" t="s">
        <v>131</v>
      </c>
      <c r="C37" s="20"/>
      <c r="D37" s="20">
        <v>344</v>
      </c>
      <c r="E37" s="20"/>
    </row>
    <row r="38" spans="1:5" x14ac:dyDescent="0.25">
      <c r="A38" s="20"/>
      <c r="B38" s="20" t="s">
        <v>37</v>
      </c>
      <c r="C38" s="20"/>
      <c r="D38" s="20">
        <v>6080.83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86116.63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D19+E19+D27+E27+D31+D39</f>
        <v>513217.55273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D16*6%</f>
        <v>48048.486599999997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561266.03932999994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85</v>
      </c>
      <c r="B44" s="22" t="s">
        <v>135</v>
      </c>
      <c r="C44" s="20"/>
      <c r="D44" s="26">
        <f>D13+D15-D42</f>
        <v>74091.610670000082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D7+D44+17703.2</f>
        <v>-224430.09932999988</v>
      </c>
      <c r="E45" s="20"/>
    </row>
    <row r="46" spans="1:5" x14ac:dyDescent="0.25">
      <c r="A46" s="34"/>
      <c r="B46" s="431" t="s">
        <v>16</v>
      </c>
      <c r="C46" s="34"/>
      <c r="D46" s="36">
        <f>D8+D14</f>
        <v>113710.54</v>
      </c>
      <c r="E46" s="34"/>
    </row>
    <row r="47" spans="1:5" x14ac:dyDescent="0.25">
      <c r="A47" s="34"/>
      <c r="B47" s="35" t="s">
        <v>226</v>
      </c>
      <c r="C47" s="34"/>
      <c r="D47" s="36">
        <v>99265.45</v>
      </c>
      <c r="E47" s="34"/>
    </row>
    <row r="48" spans="1:5" x14ac:dyDescent="0.25">
      <c r="A48" s="34"/>
      <c r="B48" s="35" t="s">
        <v>115</v>
      </c>
      <c r="C48" s="34"/>
      <c r="D48" s="36">
        <f>D46-D47</f>
        <v>14445.089999999997</v>
      </c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4">
    <mergeCell ref="D5:E5"/>
    <mergeCell ref="D6:E6"/>
    <mergeCell ref="A4:B4"/>
    <mergeCell ref="C4:D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3" workbookViewId="0">
      <selection activeCell="H30" sqref="H30:I44"/>
    </sheetView>
  </sheetViews>
  <sheetFormatPr defaultRowHeight="15" x14ac:dyDescent="0.25"/>
  <cols>
    <col min="2" max="2" width="40.5703125" customWidth="1"/>
    <col min="4" max="4" width="10.425781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180</v>
      </c>
    </row>
    <row r="5" spans="1:5" x14ac:dyDescent="0.25">
      <c r="B5" t="s">
        <v>78</v>
      </c>
    </row>
    <row r="6" spans="1:5" x14ac:dyDescent="0.25">
      <c r="A6" s="501"/>
      <c r="B6" s="501"/>
      <c r="C6" s="501"/>
      <c r="D6" s="397"/>
      <c r="E6" s="58"/>
    </row>
    <row r="7" spans="1:5" x14ac:dyDescent="0.25">
      <c r="A7" s="5"/>
      <c r="B7" s="5"/>
      <c r="C7" s="5"/>
      <c r="D7" s="385"/>
      <c r="E7" s="59"/>
    </row>
    <row r="8" spans="1:5" ht="15.75" x14ac:dyDescent="0.25">
      <c r="A8" s="5"/>
      <c r="B8" s="6" t="s">
        <v>3</v>
      </c>
      <c r="C8" s="7" t="s">
        <v>4</v>
      </c>
      <c r="D8" s="502" t="s">
        <v>5</v>
      </c>
      <c r="E8" s="503"/>
    </row>
    <row r="9" spans="1:5" ht="15.75" x14ac:dyDescent="0.25">
      <c r="A9" s="8"/>
      <c r="B9" s="6" t="s">
        <v>6</v>
      </c>
      <c r="C9" s="7" t="s">
        <v>7</v>
      </c>
      <c r="D9" s="504" t="s">
        <v>152</v>
      </c>
      <c r="E9" s="505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8</v>
      </c>
      <c r="C11" s="9"/>
      <c r="D11" s="10">
        <v>-9398.61</v>
      </c>
      <c r="E11" s="11"/>
    </row>
    <row r="12" spans="1:5" x14ac:dyDescent="0.25">
      <c r="A12" s="13"/>
      <c r="B12" s="14" t="s">
        <v>9</v>
      </c>
      <c r="C12" s="13" t="s">
        <v>10</v>
      </c>
      <c r="D12" s="13">
        <v>1285.6199999999999</v>
      </c>
      <c r="E12" s="13"/>
    </row>
    <row r="13" spans="1:5" x14ac:dyDescent="0.25">
      <c r="A13" s="13"/>
      <c r="B13" s="14" t="s">
        <v>11</v>
      </c>
      <c r="C13" s="13" t="s">
        <v>10</v>
      </c>
      <c r="D13" s="13">
        <v>901.3</v>
      </c>
      <c r="E13" s="13"/>
    </row>
    <row r="14" spans="1:5" x14ac:dyDescent="0.25">
      <c r="A14" s="13"/>
      <c r="B14" s="15" t="s">
        <v>12</v>
      </c>
      <c r="C14" s="13" t="s">
        <v>13</v>
      </c>
      <c r="D14" s="19">
        <v>63550.85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14</v>
      </c>
      <c r="C16" s="13"/>
      <c r="D16" s="13"/>
      <c r="E16" s="13"/>
    </row>
    <row r="17" spans="1:5" x14ac:dyDescent="0.25">
      <c r="A17" s="13">
        <v>1</v>
      </c>
      <c r="B17" s="13" t="s">
        <v>15</v>
      </c>
      <c r="C17" s="13" t="s">
        <v>13</v>
      </c>
      <c r="D17" s="13">
        <v>56413.97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17</v>
      </c>
      <c r="C19" s="13"/>
      <c r="D19" s="19">
        <f>D17</f>
        <v>56413.97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18</v>
      </c>
      <c r="C21" s="20"/>
      <c r="D21" s="22"/>
      <c r="E21" s="23" t="s">
        <v>19</v>
      </c>
    </row>
    <row r="22" spans="1:5" x14ac:dyDescent="0.25">
      <c r="A22" s="24" t="s">
        <v>20</v>
      </c>
      <c r="B22" s="25" t="s">
        <v>21</v>
      </c>
      <c r="C22" s="20"/>
      <c r="D22" s="22">
        <f>D23+D28</f>
        <v>17558.77</v>
      </c>
      <c r="E22" s="26">
        <f>E23</f>
        <v>3399.4802199999999</v>
      </c>
    </row>
    <row r="23" spans="1:5" x14ac:dyDescent="0.25">
      <c r="A23" s="20">
        <v>1</v>
      </c>
      <c r="B23" s="22" t="s">
        <v>22</v>
      </c>
      <c r="C23" s="27" t="s">
        <v>13</v>
      </c>
      <c r="D23" s="22">
        <f>D24+D27</f>
        <v>16829.11</v>
      </c>
      <c r="E23" s="26">
        <f>E24+E27</f>
        <v>3399.4802199999999</v>
      </c>
    </row>
    <row r="24" spans="1:5" x14ac:dyDescent="0.25">
      <c r="A24" s="20"/>
      <c r="B24" s="20" t="s">
        <v>23</v>
      </c>
      <c r="C24" s="20"/>
      <c r="D24" s="20">
        <v>16829.11</v>
      </c>
      <c r="E24" s="28">
        <f>D24*20.2%</f>
        <v>3399.4802199999999</v>
      </c>
    </row>
    <row r="25" spans="1:5" x14ac:dyDescent="0.25">
      <c r="A25" s="20"/>
      <c r="B25" s="20" t="s">
        <v>24</v>
      </c>
      <c r="C25" s="20"/>
      <c r="D25" s="29">
        <v>0</v>
      </c>
      <c r="E25" s="28">
        <f>D25*26.2%</f>
        <v>0</v>
      </c>
    </row>
    <row r="26" spans="1:5" x14ac:dyDescent="0.25">
      <c r="A26" s="20"/>
      <c r="B26" s="20" t="s">
        <v>25</v>
      </c>
      <c r="C26" s="20"/>
      <c r="D26" s="20">
        <v>0</v>
      </c>
      <c r="E26" s="28">
        <f>D26*26.2%</f>
        <v>0</v>
      </c>
    </row>
    <row r="27" spans="1:5" x14ac:dyDescent="0.25">
      <c r="A27" s="20"/>
      <c r="B27" s="27" t="s">
        <v>75</v>
      </c>
      <c r="C27" s="20"/>
      <c r="D27" s="20">
        <v>0</v>
      </c>
      <c r="E27" s="28">
        <f>D27*26.2%</f>
        <v>0</v>
      </c>
    </row>
    <row r="28" spans="1:5" x14ac:dyDescent="0.25">
      <c r="A28" s="20">
        <v>2</v>
      </c>
      <c r="B28" s="27" t="s">
        <v>26</v>
      </c>
      <c r="C28" s="20"/>
      <c r="D28" s="20">
        <f>722.66+7</f>
        <v>729.66</v>
      </c>
      <c r="E28" s="28"/>
    </row>
    <row r="29" spans="1:5" x14ac:dyDescent="0.25">
      <c r="A29" s="24" t="s">
        <v>27</v>
      </c>
      <c r="B29" s="30" t="s">
        <v>28</v>
      </c>
      <c r="C29" s="20"/>
      <c r="D29" s="22">
        <f>D30+D31</f>
        <v>14704.65</v>
      </c>
      <c r="E29" s="26">
        <f>E30</f>
        <v>2945.9599199999998</v>
      </c>
    </row>
    <row r="30" spans="1:5" x14ac:dyDescent="0.25">
      <c r="A30" s="20">
        <v>1</v>
      </c>
      <c r="B30" s="31" t="s">
        <v>93</v>
      </c>
      <c r="C30" s="20"/>
      <c r="D30" s="31">
        <v>14583.96</v>
      </c>
      <c r="E30" s="28">
        <f>D30*20.2%</f>
        <v>2945.9599199999998</v>
      </c>
    </row>
    <row r="31" spans="1:5" x14ac:dyDescent="0.25">
      <c r="A31" s="20">
        <v>2</v>
      </c>
      <c r="B31" s="31" t="s">
        <v>26</v>
      </c>
      <c r="C31" s="20"/>
      <c r="D31" s="31">
        <v>120.69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</f>
        <v>7468.8285000000014</v>
      </c>
      <c r="E32" s="20"/>
    </row>
    <row r="33" spans="1:5" x14ac:dyDescent="0.25">
      <c r="A33" s="20"/>
      <c r="B33" s="20" t="s">
        <v>31</v>
      </c>
      <c r="C33" s="20"/>
      <c r="D33" s="28">
        <f>D19*5%</f>
        <v>2820.6985000000004</v>
      </c>
      <c r="E33" s="20"/>
    </row>
    <row r="34" spans="1:5" x14ac:dyDescent="0.25">
      <c r="A34" s="20"/>
      <c r="B34" s="31" t="s">
        <v>33</v>
      </c>
      <c r="C34" s="20"/>
      <c r="D34" s="28">
        <v>2153.67</v>
      </c>
      <c r="E34" s="20"/>
    </row>
    <row r="35" spans="1:5" x14ac:dyDescent="0.25">
      <c r="A35" s="20"/>
      <c r="B35" s="27" t="s">
        <v>35</v>
      </c>
      <c r="C35" s="20"/>
      <c r="D35" s="20">
        <v>1466.77</v>
      </c>
      <c r="E35" s="20"/>
    </row>
    <row r="36" spans="1:5" x14ac:dyDescent="0.25">
      <c r="A36" s="20"/>
      <c r="B36" s="31" t="s">
        <v>37</v>
      </c>
      <c r="C36" s="20"/>
      <c r="D36" s="20">
        <v>1027.69</v>
      </c>
      <c r="E36" s="20"/>
    </row>
    <row r="37" spans="1:5" x14ac:dyDescent="0.25">
      <c r="A37" s="73" t="s">
        <v>82</v>
      </c>
      <c r="B37" s="22" t="s">
        <v>38</v>
      </c>
      <c r="C37" s="20"/>
      <c r="D37" s="26">
        <v>14089.88</v>
      </c>
      <c r="E37" s="26"/>
    </row>
    <row r="38" spans="1:5" x14ac:dyDescent="0.25">
      <c r="A38" s="73" t="s">
        <v>83</v>
      </c>
      <c r="B38" s="22" t="s">
        <v>41</v>
      </c>
      <c r="C38" s="20"/>
      <c r="D38" s="26">
        <f>D22+E22+D29+E29+D32+D37</f>
        <v>60167.568640000005</v>
      </c>
      <c r="E38" s="20"/>
    </row>
    <row r="39" spans="1:5" x14ac:dyDescent="0.25">
      <c r="A39" s="73" t="s">
        <v>84</v>
      </c>
      <c r="B39" s="20" t="s">
        <v>42</v>
      </c>
      <c r="C39" s="20"/>
      <c r="D39" s="26">
        <f>D19*6%</f>
        <v>3384.8382000000001</v>
      </c>
      <c r="E39" s="20"/>
    </row>
    <row r="40" spans="1:5" x14ac:dyDescent="0.25">
      <c r="A40" s="73" t="s">
        <v>85</v>
      </c>
      <c r="B40" s="22" t="s">
        <v>43</v>
      </c>
      <c r="C40" s="20"/>
      <c r="D40" s="26">
        <f>D38+D39</f>
        <v>63552.406840000003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86</v>
      </c>
      <c r="B42" s="22" t="s">
        <v>135</v>
      </c>
      <c r="C42" s="20"/>
      <c r="D42" s="26">
        <f>D19-D40</f>
        <v>-7138.4368400000021</v>
      </c>
      <c r="E42" s="20"/>
    </row>
    <row r="43" spans="1:5" x14ac:dyDescent="0.25">
      <c r="A43" s="73" t="s">
        <v>87</v>
      </c>
      <c r="B43" s="22" t="s">
        <v>44</v>
      </c>
      <c r="C43" s="20"/>
      <c r="D43" s="26">
        <f>D11+D42</f>
        <v>-16537.046840000003</v>
      </c>
      <c r="E43" s="20"/>
    </row>
    <row r="44" spans="1:5" x14ac:dyDescent="0.25">
      <c r="A44" s="34"/>
      <c r="B44" s="35"/>
      <c r="C44" s="34"/>
      <c r="D44" s="36"/>
      <c r="E44" s="34"/>
    </row>
    <row r="45" spans="1:5" x14ac:dyDescent="0.25">
      <c r="A45" s="34"/>
      <c r="B45" s="35"/>
      <c r="C45" s="34"/>
      <c r="D45" s="36"/>
      <c r="E45" s="34"/>
    </row>
    <row r="46" spans="1:5" x14ac:dyDescent="0.25">
      <c r="A46" s="37"/>
      <c r="B46" s="37" t="s">
        <v>45</v>
      </c>
      <c r="C46" s="37"/>
      <c r="D46" s="37" t="s">
        <v>46</v>
      </c>
      <c r="E46" s="37"/>
    </row>
    <row r="47" spans="1:5" x14ac:dyDescent="0.25">
      <c r="A47" s="37"/>
      <c r="B47" s="37" t="s">
        <v>47</v>
      </c>
      <c r="C47" s="37"/>
      <c r="D47" s="37" t="s">
        <v>48</v>
      </c>
      <c r="E47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4" workbookViewId="0">
      <selection activeCell="G32" sqref="G32:I46"/>
    </sheetView>
  </sheetViews>
  <sheetFormatPr defaultRowHeight="15" x14ac:dyDescent="0.25"/>
  <cols>
    <col min="1" max="1" width="8.28515625" customWidth="1"/>
    <col min="2" max="2" width="40" customWidth="1"/>
    <col min="4" max="4" width="11.710937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181</v>
      </c>
    </row>
    <row r="5" spans="1:5" x14ac:dyDescent="0.25">
      <c r="B5" t="s">
        <v>2</v>
      </c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9"/>
      <c r="B8" s="12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26974.73</v>
      </c>
      <c r="E9" s="11"/>
    </row>
    <row r="10" spans="1:5" x14ac:dyDescent="0.25">
      <c r="A10" s="13"/>
      <c r="B10" s="14" t="s">
        <v>9</v>
      </c>
      <c r="C10" s="13" t="s">
        <v>10</v>
      </c>
      <c r="D10" s="17">
        <v>4710.8999999999996</v>
      </c>
      <c r="E10" s="13"/>
    </row>
    <row r="11" spans="1:5" x14ac:dyDescent="0.25">
      <c r="A11" s="13"/>
      <c r="B11" s="14" t="s">
        <v>11</v>
      </c>
      <c r="C11" s="13" t="s">
        <v>10</v>
      </c>
      <c r="D11" s="17">
        <v>2911.8</v>
      </c>
      <c r="E11" s="13"/>
    </row>
    <row r="12" spans="1:5" x14ac:dyDescent="0.25">
      <c r="A12" s="13"/>
      <c r="B12" s="15" t="s">
        <v>12</v>
      </c>
      <c r="C12" s="13" t="s">
        <v>13</v>
      </c>
      <c r="D12" s="18">
        <v>222137.59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218120.64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218120.64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D21+D26</f>
        <v>53231.240000000005</v>
      </c>
      <c r="E20" s="26">
        <f>E21</f>
        <v>10355.39466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D22+D25</f>
        <v>51264.33</v>
      </c>
      <c r="E21" s="26">
        <f>E22+E25</f>
        <v>10355.39466</v>
      </c>
    </row>
    <row r="22" spans="1:5" x14ac:dyDescent="0.25">
      <c r="A22" s="20"/>
      <c r="B22" s="20" t="s">
        <v>23</v>
      </c>
      <c r="C22" s="20"/>
      <c r="D22" s="20">
        <v>51264.33</v>
      </c>
      <c r="E22" s="28">
        <f>D22*20.2%</f>
        <v>10355.39466</v>
      </c>
    </row>
    <row r="23" spans="1:5" x14ac:dyDescent="0.25">
      <c r="A23" s="20"/>
      <c r="B23" s="20" t="s">
        <v>24</v>
      </c>
      <c r="C23" s="20"/>
      <c r="D23" s="29">
        <v>0</v>
      </c>
      <c r="E23" s="28">
        <f>D23*26.2%</f>
        <v>0</v>
      </c>
    </row>
    <row r="24" spans="1:5" x14ac:dyDescent="0.25">
      <c r="A24" s="20"/>
      <c r="B24" s="20" t="s">
        <v>25</v>
      </c>
      <c r="C24" s="20"/>
      <c r="D24" s="20">
        <v>0</v>
      </c>
      <c r="E24" s="28">
        <f>D24*26.2%</f>
        <v>0</v>
      </c>
    </row>
    <row r="25" spans="1:5" x14ac:dyDescent="0.25">
      <c r="A25" s="20"/>
      <c r="B25" s="31" t="s">
        <v>75</v>
      </c>
      <c r="C25" s="20"/>
      <c r="D25" s="20">
        <v>0</v>
      </c>
      <c r="E25" s="28">
        <f>D25*26.2%</f>
        <v>0</v>
      </c>
    </row>
    <row r="26" spans="1:5" x14ac:dyDescent="0.25">
      <c r="A26" s="20">
        <v>2</v>
      </c>
      <c r="B26" s="27" t="s">
        <v>26</v>
      </c>
      <c r="C26" s="20"/>
      <c r="D26" s="20">
        <f>1918.81+48.1</f>
        <v>1966.9099999999999</v>
      </c>
      <c r="E26" s="28"/>
    </row>
    <row r="27" spans="1:5" x14ac:dyDescent="0.25">
      <c r="A27" s="24" t="s">
        <v>27</v>
      </c>
      <c r="B27" s="30" t="s">
        <v>28</v>
      </c>
      <c r="C27" s="20"/>
      <c r="D27" s="26">
        <f>D28+D29+D30</f>
        <v>58803.7</v>
      </c>
      <c r="E27" s="26">
        <f>E28</f>
        <v>10455.958339999999</v>
      </c>
    </row>
    <row r="28" spans="1:5" x14ac:dyDescent="0.25">
      <c r="A28" s="20">
        <v>1</v>
      </c>
      <c r="B28" s="31" t="s">
        <v>229</v>
      </c>
      <c r="C28" s="20"/>
      <c r="D28" s="31">
        <v>51762.17</v>
      </c>
      <c r="E28" s="28">
        <f>D28*20.2%</f>
        <v>10455.958339999999</v>
      </c>
    </row>
    <row r="29" spans="1:5" x14ac:dyDescent="0.25">
      <c r="A29" s="20">
        <v>2</v>
      </c>
      <c r="B29" s="31" t="s">
        <v>26</v>
      </c>
      <c r="C29" s="20"/>
      <c r="D29" s="31">
        <f>616.85+6424.68</f>
        <v>7041.5300000000007</v>
      </c>
      <c r="E29" s="28"/>
    </row>
    <row r="30" spans="1:5" x14ac:dyDescent="0.25">
      <c r="A30" s="20">
        <v>3</v>
      </c>
      <c r="B30" s="31" t="s">
        <v>79</v>
      </c>
      <c r="C30" s="20"/>
      <c r="D30" s="33">
        <v>0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</f>
        <v>41728.601999999999</v>
      </c>
      <c r="E31" s="20"/>
    </row>
    <row r="32" spans="1:5" x14ac:dyDescent="0.25">
      <c r="A32" s="20"/>
      <c r="B32" s="20" t="s">
        <v>31</v>
      </c>
      <c r="C32" s="20"/>
      <c r="D32" s="28">
        <f>D17*5%</f>
        <v>10906.032000000001</v>
      </c>
      <c r="E32" s="20"/>
    </row>
    <row r="33" spans="1:5" x14ac:dyDescent="0.25">
      <c r="A33" s="20"/>
      <c r="B33" s="20" t="s">
        <v>57</v>
      </c>
      <c r="C33" s="20"/>
      <c r="D33" s="20">
        <v>0</v>
      </c>
      <c r="E33" s="20"/>
    </row>
    <row r="34" spans="1:5" x14ac:dyDescent="0.25">
      <c r="A34" s="20"/>
      <c r="B34" s="20" t="s">
        <v>33</v>
      </c>
      <c r="C34" s="20"/>
      <c r="D34" s="28">
        <v>7566.22</v>
      </c>
      <c r="E34" s="20"/>
    </row>
    <row r="35" spans="1:5" x14ac:dyDescent="0.25">
      <c r="A35" s="20"/>
      <c r="B35" s="31" t="s">
        <v>131</v>
      </c>
      <c r="C35" s="20"/>
      <c r="D35" s="20">
        <v>172</v>
      </c>
      <c r="E35" s="20"/>
    </row>
    <row r="36" spans="1:5" x14ac:dyDescent="0.25">
      <c r="A36" s="20"/>
      <c r="B36" s="27" t="s">
        <v>35</v>
      </c>
      <c r="C36" s="20"/>
      <c r="D36" s="20">
        <v>4767.6400000000003</v>
      </c>
      <c r="E36" s="20"/>
    </row>
    <row r="37" spans="1:5" x14ac:dyDescent="0.25">
      <c r="A37" s="20"/>
      <c r="B37" s="27" t="s">
        <v>61</v>
      </c>
      <c r="C37" s="20"/>
      <c r="D37" s="20">
        <v>14765.03</v>
      </c>
      <c r="E37" s="20"/>
    </row>
    <row r="38" spans="1:5" x14ac:dyDescent="0.25">
      <c r="A38" s="20"/>
      <c r="B38" s="31" t="s">
        <v>37</v>
      </c>
      <c r="C38" s="20"/>
      <c r="D38" s="20">
        <v>3551.68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48818.12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D20+E20+D27+E27+D31+D39+E39</f>
        <v>223393.01500000001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D17*6%</f>
        <v>13087.2384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236480.25340000002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D17-D42</f>
        <v>-18359.613400000002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D9+D44</f>
        <v>8615.1165999999976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t="s">
        <v>45</v>
      </c>
      <c r="D47" t="s">
        <v>46</v>
      </c>
      <c r="E47" s="34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3" workbookViewId="0">
      <selection activeCell="H31" sqref="H31:J45"/>
    </sheetView>
  </sheetViews>
  <sheetFormatPr defaultRowHeight="15" x14ac:dyDescent="0.25"/>
  <cols>
    <col min="1" max="1" width="7.85546875" customWidth="1"/>
    <col min="2" max="2" width="41.28515625" customWidth="1"/>
    <col min="4" max="5" width="11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182</v>
      </c>
    </row>
    <row r="5" spans="1:5" x14ac:dyDescent="0.25">
      <c r="A5" s="501"/>
      <c r="B5" s="501"/>
      <c r="C5" s="501"/>
      <c r="D5" s="397"/>
      <c r="E5" s="58"/>
    </row>
    <row r="6" spans="1:5" x14ac:dyDescent="0.25">
      <c r="A6" s="5"/>
      <c r="B6" s="5"/>
      <c r="C6" s="5"/>
      <c r="D6" s="3"/>
      <c r="E6" s="59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7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-32602.31</v>
      </c>
      <c r="E10" s="11"/>
    </row>
    <row r="11" spans="1:5" x14ac:dyDescent="0.25">
      <c r="A11" s="13"/>
      <c r="B11" s="14" t="s">
        <v>9</v>
      </c>
      <c r="C11" s="13" t="s">
        <v>10</v>
      </c>
      <c r="D11" s="17">
        <v>1084.9000000000001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604.88</v>
      </c>
      <c r="E12" s="13"/>
    </row>
    <row r="13" spans="1:5" x14ac:dyDescent="0.25">
      <c r="A13" s="13"/>
      <c r="B13" s="15" t="s">
        <v>12</v>
      </c>
      <c r="C13" s="13" t="s">
        <v>13</v>
      </c>
      <c r="D13" s="19">
        <v>42897.14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3">
        <v>40989.599999999999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17</v>
      </c>
      <c r="C18" s="13"/>
      <c r="D18" s="19">
        <f>D16</f>
        <v>40989.599999999999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D22+D27</f>
        <v>17441.84</v>
      </c>
      <c r="E21" s="26">
        <f>E22</f>
        <v>3399.4802199999999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D23+D26</f>
        <v>16829.11</v>
      </c>
      <c r="E22" s="26">
        <f>E23+E26</f>
        <v>3399.4802199999999</v>
      </c>
    </row>
    <row r="23" spans="1:5" x14ac:dyDescent="0.25">
      <c r="A23" s="20"/>
      <c r="B23" s="20" t="s">
        <v>23</v>
      </c>
      <c r="C23" s="20"/>
      <c r="D23" s="20">
        <v>16829.11</v>
      </c>
      <c r="E23" s="28">
        <f>D23*20.2%</f>
        <v>3399.4802199999999</v>
      </c>
    </row>
    <row r="24" spans="1:5" x14ac:dyDescent="0.25">
      <c r="A24" s="20"/>
      <c r="B24" s="20" t="s">
        <v>24</v>
      </c>
      <c r="C24" s="20"/>
      <c r="D24" s="29">
        <v>0</v>
      </c>
      <c r="E24" s="28">
        <f>D24*26.2%</f>
        <v>0</v>
      </c>
    </row>
    <row r="25" spans="1:5" x14ac:dyDescent="0.25">
      <c r="A25" s="20"/>
      <c r="B25" s="20" t="s">
        <v>25</v>
      </c>
      <c r="C25" s="20"/>
      <c r="D25" s="29">
        <v>0</v>
      </c>
      <c r="E25" s="28">
        <f>D25*26.2%</f>
        <v>0</v>
      </c>
    </row>
    <row r="26" spans="1:5" x14ac:dyDescent="0.25">
      <c r="A26" s="20"/>
      <c r="B26" s="27" t="s">
        <v>75</v>
      </c>
      <c r="C26" s="13"/>
      <c r="D26" s="13">
        <v>0</v>
      </c>
      <c r="E26" s="28">
        <f>D26*26.2%</f>
        <v>0</v>
      </c>
    </row>
    <row r="27" spans="1:5" x14ac:dyDescent="0.25">
      <c r="A27" s="20">
        <v>2</v>
      </c>
      <c r="B27" s="27" t="s">
        <v>26</v>
      </c>
      <c r="C27" s="20"/>
      <c r="D27" s="20">
        <f>608.03+4.7</f>
        <v>612.73</v>
      </c>
      <c r="E27" s="28"/>
    </row>
    <row r="28" spans="1:5" x14ac:dyDescent="0.25">
      <c r="A28" s="24" t="s">
        <v>27</v>
      </c>
      <c r="B28" s="30" t="s">
        <v>28</v>
      </c>
      <c r="C28" s="31" t="s">
        <v>13</v>
      </c>
      <c r="D28" s="22">
        <f>D29+D30</f>
        <v>9921.7999999999993</v>
      </c>
      <c r="E28" s="26">
        <f>E29</f>
        <v>2004.2035999999996</v>
      </c>
    </row>
    <row r="29" spans="1:5" x14ac:dyDescent="0.25">
      <c r="A29" s="20">
        <v>1</v>
      </c>
      <c r="B29" s="31" t="s">
        <v>229</v>
      </c>
      <c r="C29" s="20"/>
      <c r="D29" s="31">
        <v>9921.7999999999993</v>
      </c>
      <c r="E29" s="28">
        <f>D29*20.2%</f>
        <v>2004.2035999999996</v>
      </c>
    </row>
    <row r="30" spans="1:5" x14ac:dyDescent="0.25">
      <c r="A30" s="20">
        <v>2</v>
      </c>
      <c r="B30" s="31" t="s">
        <v>26</v>
      </c>
      <c r="C30" s="20"/>
      <c r="D30" s="31">
        <v>0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</f>
        <v>5168.9299999999994</v>
      </c>
      <c r="E31" s="20"/>
    </row>
    <row r="32" spans="1:5" x14ac:dyDescent="0.25">
      <c r="A32" s="20"/>
      <c r="B32" s="20" t="s">
        <v>31</v>
      </c>
      <c r="C32" s="20"/>
      <c r="D32" s="28">
        <f>D18*5%</f>
        <v>2049.48</v>
      </c>
      <c r="E32" s="20"/>
    </row>
    <row r="33" spans="1:5" x14ac:dyDescent="0.25">
      <c r="A33" s="20"/>
      <c r="B33" s="20" t="s">
        <v>57</v>
      </c>
      <c r="C33" s="20"/>
      <c r="D33" s="20">
        <v>0</v>
      </c>
      <c r="E33" s="20"/>
    </row>
    <row r="34" spans="1:5" x14ac:dyDescent="0.25">
      <c r="A34" s="20"/>
      <c r="B34" s="20" t="s">
        <v>33</v>
      </c>
      <c r="C34" s="20"/>
      <c r="D34" s="33">
        <v>1445.37</v>
      </c>
      <c r="E34" s="20"/>
    </row>
    <row r="35" spans="1:5" x14ac:dyDescent="0.25">
      <c r="A35" s="20"/>
      <c r="B35" s="31" t="s">
        <v>34</v>
      </c>
      <c r="C35" s="20"/>
      <c r="D35" s="20">
        <v>0</v>
      </c>
      <c r="E35" s="20"/>
    </row>
    <row r="36" spans="1:5" x14ac:dyDescent="0.25">
      <c r="A36" s="20"/>
      <c r="B36" s="27" t="s">
        <v>35</v>
      </c>
      <c r="C36" s="20"/>
      <c r="D36" s="20">
        <v>984.38</v>
      </c>
      <c r="E36" s="20"/>
    </row>
    <row r="37" spans="1:5" x14ac:dyDescent="0.25">
      <c r="A37" s="20"/>
      <c r="B37" s="31" t="s">
        <v>37</v>
      </c>
      <c r="C37" s="20"/>
      <c r="D37" s="20">
        <v>689.7</v>
      </c>
      <c r="E37" s="20"/>
    </row>
    <row r="38" spans="1:5" x14ac:dyDescent="0.25">
      <c r="A38" s="73" t="s">
        <v>82</v>
      </c>
      <c r="B38" s="22" t="s">
        <v>38</v>
      </c>
      <c r="C38" s="20"/>
      <c r="D38" s="26">
        <v>9321.7800000000007</v>
      </c>
      <c r="E38" s="26"/>
    </row>
    <row r="39" spans="1:5" x14ac:dyDescent="0.25">
      <c r="A39" s="73" t="s">
        <v>83</v>
      </c>
      <c r="B39" s="22" t="s">
        <v>41</v>
      </c>
      <c r="C39" s="20"/>
      <c r="D39" s="26">
        <f>D21+E21+D28+E28+D31+D38+E38</f>
        <v>47258.033819999997</v>
      </c>
      <c r="E39" s="20"/>
    </row>
    <row r="40" spans="1:5" x14ac:dyDescent="0.25">
      <c r="A40" s="73" t="s">
        <v>84</v>
      </c>
      <c r="B40" s="20" t="s">
        <v>42</v>
      </c>
      <c r="C40" s="20"/>
      <c r="D40" s="26">
        <f>D18*6%</f>
        <v>2459.3759999999997</v>
      </c>
      <c r="E40" s="20"/>
    </row>
    <row r="41" spans="1:5" x14ac:dyDescent="0.25">
      <c r="A41" s="73" t="s">
        <v>85</v>
      </c>
      <c r="B41" s="22" t="s">
        <v>43</v>
      </c>
      <c r="C41" s="20"/>
      <c r="D41" s="26">
        <f>D39+D40</f>
        <v>49717.409819999993</v>
      </c>
      <c r="E41" s="20"/>
    </row>
    <row r="42" spans="1:5" x14ac:dyDescent="0.25">
      <c r="A42" s="73"/>
      <c r="B42" s="20"/>
      <c r="C42" s="20"/>
      <c r="D42" s="20"/>
      <c r="E42" s="20"/>
    </row>
    <row r="43" spans="1:5" x14ac:dyDescent="0.25">
      <c r="A43" s="73" t="s">
        <v>86</v>
      </c>
      <c r="B43" s="22" t="s">
        <v>135</v>
      </c>
      <c r="C43" s="20"/>
      <c r="D43" s="26">
        <f>D18-D41</f>
        <v>-8727.8098199999949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D10+D43</f>
        <v>-41330.119819999993</v>
      </c>
      <c r="E44" s="20"/>
    </row>
    <row r="45" spans="1:5" x14ac:dyDescent="0.25">
      <c r="A45" s="34"/>
      <c r="B45" s="35"/>
      <c r="C45" s="34"/>
      <c r="D45" s="36"/>
      <c r="E45" s="34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84" t="s">
        <v>77</v>
      </c>
      <c r="C47" s="384"/>
      <c r="D47" s="386" t="s">
        <v>80</v>
      </c>
      <c r="E47" s="34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7" workbookViewId="0">
      <selection activeCell="H32" sqref="H32:I45"/>
    </sheetView>
  </sheetViews>
  <sheetFormatPr defaultRowHeight="15" x14ac:dyDescent="0.25"/>
  <cols>
    <col min="2" max="2" width="39.140625" customWidth="1"/>
    <col min="4" max="5" width="11.42578125" customWidth="1"/>
    <col min="9" max="9" width="9.5703125" bestFit="1" customWidth="1"/>
  </cols>
  <sheetData>
    <row r="1" spans="1:5" ht="15.75" x14ac:dyDescent="0.25">
      <c r="A1" s="74"/>
      <c r="B1" s="75" t="s">
        <v>0</v>
      </c>
      <c r="C1" s="74"/>
      <c r="D1" s="74"/>
      <c r="E1" s="74"/>
    </row>
    <row r="2" spans="1:5" x14ac:dyDescent="0.25">
      <c r="A2" s="74"/>
      <c r="B2" s="74"/>
      <c r="C2" s="74"/>
      <c r="D2" s="74"/>
      <c r="E2" s="74"/>
    </row>
    <row r="3" spans="1:5" x14ac:dyDescent="0.25">
      <c r="A3" s="74"/>
      <c r="B3" s="74" t="s">
        <v>94</v>
      </c>
      <c r="C3" s="74"/>
      <c r="D3" s="74"/>
      <c r="E3" s="74"/>
    </row>
    <row r="4" spans="1:5" x14ac:dyDescent="0.25">
      <c r="A4" s="74"/>
      <c r="B4" s="402" t="s">
        <v>136</v>
      </c>
      <c r="C4" s="74"/>
      <c r="D4" s="74"/>
      <c r="E4" s="74"/>
    </row>
    <row r="5" spans="1:5" x14ac:dyDescent="0.25">
      <c r="A5" s="74"/>
      <c r="B5" s="74" t="s">
        <v>59</v>
      </c>
      <c r="C5" s="74"/>
      <c r="D5" s="74"/>
      <c r="E5" s="74"/>
    </row>
    <row r="6" spans="1:5" x14ac:dyDescent="0.25">
      <c r="A6" s="76"/>
      <c r="B6" s="76"/>
      <c r="C6" s="76"/>
      <c r="D6" s="77"/>
      <c r="E6" s="78"/>
    </row>
    <row r="7" spans="1:5" ht="15.75" x14ac:dyDescent="0.25">
      <c r="A7" s="79"/>
      <c r="B7" s="80" t="s">
        <v>3</v>
      </c>
      <c r="C7" s="81" t="s">
        <v>4</v>
      </c>
      <c r="D7" s="506" t="s">
        <v>5</v>
      </c>
      <c r="E7" s="507"/>
    </row>
    <row r="8" spans="1:5" ht="15.75" x14ac:dyDescent="0.25">
      <c r="A8" s="82"/>
      <c r="B8" s="80" t="s">
        <v>6</v>
      </c>
      <c r="C8" s="81" t="s">
        <v>7</v>
      </c>
      <c r="D8" s="508" t="s">
        <v>128</v>
      </c>
      <c r="E8" s="509"/>
    </row>
    <row r="9" spans="1:5" x14ac:dyDescent="0.25">
      <c r="A9" s="83"/>
      <c r="B9" s="83"/>
      <c r="C9" s="83"/>
      <c r="D9" s="84"/>
      <c r="E9" s="85"/>
    </row>
    <row r="10" spans="1:5" x14ac:dyDescent="0.25">
      <c r="A10" s="83"/>
      <c r="B10" s="86" t="s">
        <v>113</v>
      </c>
      <c r="C10" s="83"/>
      <c r="D10" s="84">
        <v>-744035.22</v>
      </c>
      <c r="E10" s="85"/>
    </row>
    <row r="11" spans="1:5" x14ac:dyDescent="0.25">
      <c r="A11" s="83"/>
      <c r="B11" s="86" t="s">
        <v>101</v>
      </c>
      <c r="C11" s="83"/>
      <c r="D11" s="84">
        <v>128530.45</v>
      </c>
      <c r="E11" s="85"/>
    </row>
    <row r="12" spans="1:5" x14ac:dyDescent="0.25">
      <c r="A12" s="87"/>
      <c r="B12" s="88" t="s">
        <v>9</v>
      </c>
      <c r="C12" s="87" t="s">
        <v>10</v>
      </c>
      <c r="D12" s="87">
        <v>11857</v>
      </c>
      <c r="E12" s="87"/>
    </row>
    <row r="13" spans="1:5" x14ac:dyDescent="0.25">
      <c r="A13" s="87"/>
      <c r="B13" s="88" t="s">
        <v>11</v>
      </c>
      <c r="C13" s="87" t="s">
        <v>10</v>
      </c>
      <c r="D13" s="87">
        <v>8903.2000000000007</v>
      </c>
      <c r="E13" s="87"/>
    </row>
    <row r="14" spans="1:5" x14ac:dyDescent="0.25">
      <c r="A14" s="87"/>
      <c r="B14" s="89" t="s">
        <v>12</v>
      </c>
      <c r="C14" s="87" t="s">
        <v>13</v>
      </c>
      <c r="D14" s="87">
        <v>1410307.12</v>
      </c>
      <c r="E14" s="87"/>
    </row>
    <row r="15" spans="1:5" x14ac:dyDescent="0.25">
      <c r="A15" s="87"/>
      <c r="B15" s="87"/>
      <c r="C15" s="87"/>
      <c r="D15" s="87"/>
      <c r="E15" s="87"/>
    </row>
    <row r="16" spans="1:5" ht="15.75" x14ac:dyDescent="0.25">
      <c r="A16" s="87"/>
      <c r="B16" s="90" t="s">
        <v>14</v>
      </c>
      <c r="C16" s="87"/>
      <c r="D16" s="87"/>
      <c r="E16" s="87"/>
    </row>
    <row r="17" spans="1:5" x14ac:dyDescent="0.25">
      <c r="A17" s="87">
        <v>1</v>
      </c>
      <c r="B17" s="87" t="s">
        <v>15</v>
      </c>
      <c r="C17" s="87" t="s">
        <v>13</v>
      </c>
      <c r="D17" s="87">
        <v>1090136.6200000001</v>
      </c>
      <c r="E17" s="87"/>
    </row>
    <row r="18" spans="1:5" x14ac:dyDescent="0.25">
      <c r="A18" s="87">
        <v>2</v>
      </c>
      <c r="B18" s="87" t="s">
        <v>16</v>
      </c>
      <c r="C18" s="87"/>
      <c r="D18" s="87">
        <v>297313.75</v>
      </c>
      <c r="E18" s="87"/>
    </row>
    <row r="19" spans="1:5" x14ac:dyDescent="0.25">
      <c r="A19" s="87">
        <v>3</v>
      </c>
      <c r="B19" s="87" t="s">
        <v>92</v>
      </c>
      <c r="C19" s="87"/>
      <c r="D19" s="87">
        <v>4800</v>
      </c>
      <c r="E19" s="87"/>
    </row>
    <row r="20" spans="1:5" ht="15.75" x14ac:dyDescent="0.25">
      <c r="A20" s="87"/>
      <c r="B20" s="90" t="s">
        <v>17</v>
      </c>
      <c r="C20" s="87"/>
      <c r="D20" s="91">
        <f>D17+D18+D19</f>
        <v>1392250.37</v>
      </c>
      <c r="E20" s="87"/>
    </row>
    <row r="21" spans="1:5" ht="15.75" x14ac:dyDescent="0.25">
      <c r="A21" s="87"/>
      <c r="B21" s="90"/>
      <c r="C21" s="87"/>
      <c r="D21" s="91"/>
      <c r="E21" s="87"/>
    </row>
    <row r="22" spans="1:5" ht="15.75" x14ac:dyDescent="0.25">
      <c r="A22" s="20"/>
      <c r="B22" s="21" t="s">
        <v>18</v>
      </c>
      <c r="C22" s="20"/>
      <c r="D22" s="22"/>
      <c r="E22" s="20" t="s">
        <v>19</v>
      </c>
    </row>
    <row r="23" spans="1:5" x14ac:dyDescent="0.25">
      <c r="A23" s="24" t="s">
        <v>20</v>
      </c>
      <c r="B23" s="25" t="s">
        <v>21</v>
      </c>
      <c r="C23" s="20"/>
      <c r="D23" s="26">
        <f>D24+D31+D29+D30+D28</f>
        <v>350656.01</v>
      </c>
      <c r="E23" s="26">
        <f>E24</f>
        <v>67163.810219999999</v>
      </c>
    </row>
    <row r="24" spans="1:5" x14ac:dyDescent="0.25">
      <c r="A24" s="20">
        <v>1</v>
      </c>
      <c r="B24" s="22" t="s">
        <v>22</v>
      </c>
      <c r="C24" s="27" t="s">
        <v>13</v>
      </c>
      <c r="D24" s="26">
        <f>D25+D26+D27</f>
        <v>332494.11</v>
      </c>
      <c r="E24" s="26">
        <f>E25+E26+E27+E29</f>
        <v>67163.810219999999</v>
      </c>
    </row>
    <row r="25" spans="1:5" x14ac:dyDescent="0.25">
      <c r="A25" s="20"/>
      <c r="B25" s="20" t="s">
        <v>23</v>
      </c>
      <c r="C25" s="20"/>
      <c r="D25" s="87">
        <v>104761.58</v>
      </c>
      <c r="E25" s="28">
        <f>D25*20.2%</f>
        <v>21161.83916</v>
      </c>
    </row>
    <row r="26" spans="1:5" x14ac:dyDescent="0.25">
      <c r="A26" s="20"/>
      <c r="B26" s="20" t="s">
        <v>24</v>
      </c>
      <c r="C26" s="20"/>
      <c r="D26" s="87">
        <v>127554.9</v>
      </c>
      <c r="E26" s="28">
        <f t="shared" ref="E26:E27" si="0">D26*20.2%</f>
        <v>25766.089799999998</v>
      </c>
    </row>
    <row r="27" spans="1:5" x14ac:dyDescent="0.25">
      <c r="A27" s="20"/>
      <c r="B27" s="20" t="s">
        <v>25</v>
      </c>
      <c r="C27" s="20"/>
      <c r="D27" s="87">
        <v>100177.63</v>
      </c>
      <c r="E27" s="28">
        <f t="shared" si="0"/>
        <v>20235.881259999998</v>
      </c>
    </row>
    <row r="28" spans="1:5" x14ac:dyDescent="0.25">
      <c r="A28" s="20"/>
      <c r="B28" s="20" t="s">
        <v>237</v>
      </c>
      <c r="C28" s="20"/>
      <c r="D28" s="87">
        <v>6900</v>
      </c>
      <c r="E28" s="28"/>
    </row>
    <row r="29" spans="1:5" x14ac:dyDescent="0.25">
      <c r="A29" s="20"/>
      <c r="B29" s="31" t="s">
        <v>75</v>
      </c>
      <c r="C29" s="20"/>
      <c r="D29" s="87">
        <v>1998.4</v>
      </c>
      <c r="E29" s="28"/>
    </row>
    <row r="30" spans="1:5" x14ac:dyDescent="0.25">
      <c r="A30" s="20"/>
      <c r="B30" s="31" t="s">
        <v>212</v>
      </c>
      <c r="C30" s="20"/>
      <c r="D30" s="87">
        <v>1913.98</v>
      </c>
      <c r="E30" s="28"/>
    </row>
    <row r="31" spans="1:5" x14ac:dyDescent="0.25">
      <c r="A31" s="20">
        <v>2</v>
      </c>
      <c r="B31" s="27" t="s">
        <v>26</v>
      </c>
      <c r="C31" s="20"/>
      <c r="D31" s="87">
        <f>147.06+7202.46</f>
        <v>7349.52</v>
      </c>
      <c r="E31" s="28"/>
    </row>
    <row r="32" spans="1:5" x14ac:dyDescent="0.25">
      <c r="A32" s="24" t="s">
        <v>27</v>
      </c>
      <c r="B32" s="30" t="s">
        <v>28</v>
      </c>
      <c r="C32" s="20"/>
      <c r="D32" s="26">
        <f>D33+D34+D35</f>
        <v>186205.27000000002</v>
      </c>
      <c r="E32" s="26">
        <f>E33</f>
        <v>31569.755840000002</v>
      </c>
    </row>
    <row r="33" spans="1:5" x14ac:dyDescent="0.25">
      <c r="A33" s="20">
        <v>1</v>
      </c>
      <c r="B33" s="31" t="s">
        <v>229</v>
      </c>
      <c r="C33" s="20"/>
      <c r="D33" s="31">
        <v>156285.92000000001</v>
      </c>
      <c r="E33" s="33">
        <f>D33*20.2%</f>
        <v>31569.755840000002</v>
      </c>
    </row>
    <row r="34" spans="1:5" x14ac:dyDescent="0.25">
      <c r="A34" s="20">
        <v>2</v>
      </c>
      <c r="B34" s="31" t="s">
        <v>26</v>
      </c>
      <c r="C34" s="20"/>
      <c r="D34" s="33">
        <v>13605.35</v>
      </c>
      <c r="E34" s="20"/>
    </row>
    <row r="35" spans="1:5" x14ac:dyDescent="0.25">
      <c r="A35" s="20">
        <v>3</v>
      </c>
      <c r="B35" s="31" t="s">
        <v>64</v>
      </c>
      <c r="C35" s="20"/>
      <c r="D35" s="33">
        <v>16314</v>
      </c>
      <c r="E35" s="20"/>
    </row>
    <row r="36" spans="1:5" x14ac:dyDescent="0.25">
      <c r="A36" s="24" t="s">
        <v>29</v>
      </c>
      <c r="B36" s="22" t="s">
        <v>30</v>
      </c>
      <c r="C36" s="20"/>
      <c r="D36" s="26">
        <f>D37+D38+D39+D40+D41+D42+D43+D44+D45</f>
        <v>165807.77739000003</v>
      </c>
      <c r="E36" s="20"/>
    </row>
    <row r="37" spans="1:5" x14ac:dyDescent="0.25">
      <c r="A37" s="20"/>
      <c r="B37" s="20" t="s">
        <v>31</v>
      </c>
      <c r="C37" s="20"/>
      <c r="D37" s="28">
        <f>D20*4.7%</f>
        <v>65435.767390000008</v>
      </c>
      <c r="E37" s="20"/>
    </row>
    <row r="38" spans="1:5" x14ac:dyDescent="0.25">
      <c r="A38" s="20"/>
      <c r="B38" s="20" t="s">
        <v>57</v>
      </c>
      <c r="C38" s="20"/>
      <c r="D38" s="20">
        <v>3960.7</v>
      </c>
      <c r="E38" s="20"/>
    </row>
    <row r="39" spans="1:5" x14ac:dyDescent="0.25">
      <c r="A39" s="20"/>
      <c r="B39" s="20" t="s">
        <v>32</v>
      </c>
      <c r="C39" s="20"/>
      <c r="D39" s="20">
        <v>6286</v>
      </c>
      <c r="E39" s="20"/>
    </row>
    <row r="40" spans="1:5" x14ac:dyDescent="0.25">
      <c r="A40" s="20"/>
      <c r="B40" s="20" t="s">
        <v>33</v>
      </c>
      <c r="C40" s="20"/>
      <c r="D40" s="28">
        <v>23134.69</v>
      </c>
      <c r="E40" s="20"/>
    </row>
    <row r="41" spans="1:5" x14ac:dyDescent="0.25">
      <c r="A41" s="20"/>
      <c r="B41" s="20" t="s">
        <v>130</v>
      </c>
      <c r="C41" s="20"/>
      <c r="D41" s="28">
        <v>38809.449999999997</v>
      </c>
      <c r="E41" s="20"/>
    </row>
    <row r="42" spans="1:5" x14ac:dyDescent="0.25">
      <c r="A42" s="20"/>
      <c r="B42" s="27" t="s">
        <v>131</v>
      </c>
      <c r="C42" s="20"/>
      <c r="D42" s="20">
        <v>344</v>
      </c>
      <c r="E42" s="20"/>
    </row>
    <row r="43" spans="1:5" x14ac:dyDescent="0.25">
      <c r="A43" s="20"/>
      <c r="B43" s="27" t="s">
        <v>208</v>
      </c>
      <c r="C43" s="20"/>
      <c r="D43" s="20">
        <v>2400</v>
      </c>
      <c r="E43" s="20"/>
    </row>
    <row r="44" spans="1:5" x14ac:dyDescent="0.25">
      <c r="A44" s="20"/>
      <c r="B44" s="27" t="s">
        <v>35</v>
      </c>
      <c r="C44" s="20"/>
      <c r="D44" s="20">
        <v>14577.66</v>
      </c>
      <c r="E44" s="20"/>
    </row>
    <row r="45" spans="1:5" x14ac:dyDescent="0.25">
      <c r="A45" s="20"/>
      <c r="B45" s="20" t="s">
        <v>37</v>
      </c>
      <c r="C45" s="20"/>
      <c r="D45" s="20">
        <v>10859.51</v>
      </c>
      <c r="E45" s="20"/>
    </row>
    <row r="46" spans="1:5" x14ac:dyDescent="0.25">
      <c r="A46" s="73" t="s">
        <v>82</v>
      </c>
      <c r="B46" s="22" t="s">
        <v>38</v>
      </c>
      <c r="C46" s="20"/>
      <c r="D46" s="26">
        <v>152349.6</v>
      </c>
      <c r="E46" s="26"/>
    </row>
    <row r="47" spans="1:5" x14ac:dyDescent="0.25">
      <c r="A47" s="73" t="s">
        <v>83</v>
      </c>
      <c r="B47" s="22" t="s">
        <v>41</v>
      </c>
      <c r="C47" s="20"/>
      <c r="D47" s="26">
        <f>D23+E23+D32+E32+D36+D46</f>
        <v>953752.22345000005</v>
      </c>
      <c r="E47" s="20"/>
    </row>
    <row r="48" spans="1:5" x14ac:dyDescent="0.25">
      <c r="A48" s="73" t="s">
        <v>84</v>
      </c>
      <c r="B48" s="20" t="s">
        <v>42</v>
      </c>
      <c r="C48" s="20"/>
      <c r="D48" s="26">
        <f>D20*6%</f>
        <v>83535.022200000007</v>
      </c>
      <c r="E48" s="20"/>
    </row>
    <row r="49" spans="1:5" x14ac:dyDescent="0.25">
      <c r="A49" s="73" t="s">
        <v>85</v>
      </c>
      <c r="B49" s="22" t="s">
        <v>43</v>
      </c>
      <c r="C49" s="20"/>
      <c r="D49" s="26">
        <f>D47+D48</f>
        <v>1037287.2456500001</v>
      </c>
      <c r="E49" s="20"/>
    </row>
    <row r="50" spans="1:5" x14ac:dyDescent="0.25">
      <c r="A50" s="73"/>
      <c r="B50" s="20"/>
      <c r="C50" s="20"/>
      <c r="D50" s="20"/>
      <c r="E50" s="20"/>
    </row>
    <row r="51" spans="1:5" x14ac:dyDescent="0.25">
      <c r="A51" s="73" t="s">
        <v>86</v>
      </c>
      <c r="B51" s="22" t="s">
        <v>135</v>
      </c>
      <c r="C51" s="20"/>
      <c r="D51" s="26">
        <f>D17+D19-D49</f>
        <v>57649.374350000056</v>
      </c>
      <c r="E51" s="20"/>
    </row>
    <row r="52" spans="1:5" x14ac:dyDescent="0.25">
      <c r="A52" s="73" t="s">
        <v>87</v>
      </c>
      <c r="B52" s="22" t="s">
        <v>44</v>
      </c>
      <c r="C52" s="20"/>
      <c r="D52" s="26">
        <f>D10+D51+31812.57</f>
        <v>-654573.27564999997</v>
      </c>
      <c r="E52" s="20"/>
    </row>
    <row r="53" spans="1:5" x14ac:dyDescent="0.25">
      <c r="A53" s="447"/>
      <c r="B53" s="35"/>
      <c r="C53" s="34"/>
      <c r="D53" s="36"/>
      <c r="E53" s="34"/>
    </row>
    <row r="54" spans="1:5" x14ac:dyDescent="0.25">
      <c r="A54" s="34"/>
      <c r="B54" s="35" t="s">
        <v>16</v>
      </c>
      <c r="C54" s="34"/>
      <c r="D54" s="36">
        <f>D11+D18</f>
        <v>425844.2</v>
      </c>
      <c r="E54" s="34"/>
    </row>
    <row r="55" spans="1:5" x14ac:dyDescent="0.25">
      <c r="A55" s="34"/>
      <c r="B55" s="35" t="s">
        <v>226</v>
      </c>
      <c r="C55" s="34"/>
      <c r="D55" s="36">
        <f>221583.6+31812.57</f>
        <v>253396.17</v>
      </c>
      <c r="E55" s="34"/>
    </row>
    <row r="56" spans="1:5" x14ac:dyDescent="0.25">
      <c r="A56" s="34"/>
      <c r="B56" s="35" t="s">
        <v>115</v>
      </c>
      <c r="C56" s="34"/>
      <c r="D56" s="36">
        <f>D54-D55</f>
        <v>172448.03</v>
      </c>
      <c r="E56" s="34"/>
    </row>
    <row r="57" spans="1:5" x14ac:dyDescent="0.25">
      <c r="A57" s="34"/>
      <c r="B57" s="35"/>
      <c r="C57" s="34"/>
      <c r="D57" s="36"/>
      <c r="E57" s="34"/>
    </row>
    <row r="58" spans="1:5" x14ac:dyDescent="0.25">
      <c r="A58" s="34"/>
      <c r="B58" s="35"/>
      <c r="C58" s="34"/>
      <c r="D58" s="36"/>
      <c r="E58" s="34"/>
    </row>
    <row r="59" spans="1:5" x14ac:dyDescent="0.25">
      <c r="A59" s="37"/>
      <c r="B59" s="37" t="s">
        <v>45</v>
      </c>
      <c r="C59" s="37"/>
      <c r="D59" s="37" t="s">
        <v>46</v>
      </c>
      <c r="E59" s="37"/>
    </row>
    <row r="60" spans="1:5" x14ac:dyDescent="0.25">
      <c r="A60" s="37"/>
      <c r="B60" s="37" t="s">
        <v>47</v>
      </c>
      <c r="C60" s="37"/>
      <c r="D60" s="37" t="s">
        <v>48</v>
      </c>
      <c r="E6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8" workbookViewId="0">
      <selection activeCell="H32" sqref="H32:I51"/>
    </sheetView>
  </sheetViews>
  <sheetFormatPr defaultRowHeight="15" x14ac:dyDescent="0.25"/>
  <cols>
    <col min="2" max="2" width="41.28515625" customWidth="1"/>
    <col min="4" max="4" width="10.57031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72</v>
      </c>
    </row>
    <row r="4" spans="1:5" x14ac:dyDescent="0.25">
      <c r="B4" t="s">
        <v>183</v>
      </c>
    </row>
    <row r="5" spans="1:5" x14ac:dyDescent="0.25">
      <c r="B5" t="s">
        <v>81</v>
      </c>
    </row>
    <row r="6" spans="1:5" x14ac:dyDescent="0.25">
      <c r="A6" s="501"/>
      <c r="B6" s="501"/>
      <c r="C6" s="501"/>
      <c r="D6" s="397"/>
      <c r="E6" s="58"/>
    </row>
    <row r="7" spans="1:5" x14ac:dyDescent="0.25">
      <c r="A7" s="5"/>
      <c r="B7" s="5"/>
      <c r="C7" s="5"/>
      <c r="D7" s="3"/>
      <c r="E7" s="59"/>
    </row>
    <row r="8" spans="1:5" ht="15.75" x14ac:dyDescent="0.25">
      <c r="A8" s="5"/>
      <c r="B8" s="6" t="s">
        <v>3</v>
      </c>
      <c r="C8" s="7" t="s">
        <v>4</v>
      </c>
      <c r="D8" s="502" t="s">
        <v>5</v>
      </c>
      <c r="E8" s="503"/>
    </row>
    <row r="9" spans="1:5" ht="15.75" x14ac:dyDescent="0.25">
      <c r="A9" s="8"/>
      <c r="B9" s="6" t="s">
        <v>6</v>
      </c>
      <c r="C9" s="7" t="s">
        <v>7</v>
      </c>
      <c r="D9" s="504" t="s">
        <v>141</v>
      </c>
      <c r="E9" s="505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8</v>
      </c>
      <c r="C11" s="9"/>
      <c r="D11" s="10">
        <v>-22847.200000000001</v>
      </c>
      <c r="E11" s="11"/>
    </row>
    <row r="12" spans="1:5" x14ac:dyDescent="0.25">
      <c r="A12" s="13"/>
      <c r="B12" s="14" t="s">
        <v>9</v>
      </c>
      <c r="C12" s="13" t="s">
        <v>10</v>
      </c>
      <c r="D12" s="13">
        <v>760.9</v>
      </c>
      <c r="E12" s="13"/>
    </row>
    <row r="13" spans="1:5" x14ac:dyDescent="0.25">
      <c r="A13" s="13"/>
      <c r="B13" s="14" t="s">
        <v>11</v>
      </c>
      <c r="C13" s="13" t="s">
        <v>10</v>
      </c>
      <c r="D13" s="13">
        <v>434.8</v>
      </c>
      <c r="E13" s="13"/>
    </row>
    <row r="14" spans="1:5" x14ac:dyDescent="0.25">
      <c r="A14" s="13"/>
      <c r="B14" s="15" t="s">
        <v>12</v>
      </c>
      <c r="C14" s="13" t="s">
        <v>13</v>
      </c>
      <c r="D14" s="19">
        <v>25834.82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14</v>
      </c>
      <c r="C16" s="13"/>
      <c r="D16" s="13"/>
      <c r="E16" s="13"/>
    </row>
    <row r="17" spans="1:5" x14ac:dyDescent="0.25">
      <c r="A17" s="13">
        <v>1</v>
      </c>
      <c r="B17" s="13" t="s">
        <v>15</v>
      </c>
      <c r="C17" s="13" t="s">
        <v>13</v>
      </c>
      <c r="D17" s="13">
        <v>23419.01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17</v>
      </c>
      <c r="C19" s="13"/>
      <c r="D19" s="19">
        <f>D17</f>
        <v>23419.01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18</v>
      </c>
      <c r="C21" s="20"/>
      <c r="D21" s="22"/>
      <c r="E21" s="23" t="s">
        <v>19</v>
      </c>
    </row>
    <row r="22" spans="1:5" x14ac:dyDescent="0.25">
      <c r="A22" s="24" t="s">
        <v>20</v>
      </c>
      <c r="B22" s="25" t="s">
        <v>21</v>
      </c>
      <c r="C22" s="20"/>
      <c r="D22" s="22">
        <f>D23+D26+D25</f>
        <v>5102.66</v>
      </c>
      <c r="E22" s="26">
        <f>E23</f>
        <v>807.13342</v>
      </c>
    </row>
    <row r="23" spans="1:5" x14ac:dyDescent="0.25">
      <c r="A23" s="20">
        <v>1</v>
      </c>
      <c r="B23" s="22" t="s">
        <v>22</v>
      </c>
      <c r="C23" s="27" t="s">
        <v>13</v>
      </c>
      <c r="D23" s="22">
        <f>D24</f>
        <v>3995.71</v>
      </c>
      <c r="E23" s="26">
        <f>E24+E25</f>
        <v>807.13342</v>
      </c>
    </row>
    <row r="24" spans="1:5" x14ac:dyDescent="0.25">
      <c r="A24" s="20"/>
      <c r="B24" s="20" t="s">
        <v>23</v>
      </c>
      <c r="C24" s="20"/>
      <c r="D24" s="20">
        <v>3995.71</v>
      </c>
      <c r="E24" s="28">
        <f>D24*20.2%</f>
        <v>807.13342</v>
      </c>
    </row>
    <row r="25" spans="1:5" x14ac:dyDescent="0.25">
      <c r="A25" s="20"/>
      <c r="B25" s="27" t="s">
        <v>212</v>
      </c>
      <c r="C25" s="13"/>
      <c r="D25" s="13">
        <v>974.56</v>
      </c>
      <c r="E25" s="28"/>
    </row>
    <row r="26" spans="1:5" x14ac:dyDescent="0.25">
      <c r="A26" s="20">
        <v>2</v>
      </c>
      <c r="B26" s="27" t="s">
        <v>26</v>
      </c>
      <c r="C26" s="20"/>
      <c r="D26" s="20">
        <f>3.38+129.01</f>
        <v>132.38999999999999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7524.78</v>
      </c>
      <c r="E27" s="26">
        <f>E28</f>
        <v>1440.6619799999999</v>
      </c>
    </row>
    <row r="28" spans="1:5" x14ac:dyDescent="0.25">
      <c r="A28" s="20">
        <v>1</v>
      </c>
      <c r="B28" s="31" t="s">
        <v>229</v>
      </c>
      <c r="C28" s="20"/>
      <c r="D28" s="31">
        <v>7131.99</v>
      </c>
      <c r="E28" s="28">
        <f>D28*20.2%</f>
        <v>1440.6619799999999</v>
      </c>
    </row>
    <row r="29" spans="1:5" x14ac:dyDescent="0.25">
      <c r="A29" s="20">
        <v>2</v>
      </c>
      <c r="B29" s="31" t="s">
        <v>26</v>
      </c>
      <c r="C29" s="20"/>
      <c r="D29" s="31">
        <v>392.79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</f>
        <v>3929.2705000000001</v>
      </c>
      <c r="E30" s="20"/>
    </row>
    <row r="31" spans="1:5" x14ac:dyDescent="0.25">
      <c r="A31" s="20"/>
      <c r="B31" s="20" t="s">
        <v>31</v>
      </c>
      <c r="C31" s="20"/>
      <c r="D31" s="28">
        <f>D19*5%</f>
        <v>1170.9504999999999</v>
      </c>
      <c r="E31" s="20"/>
    </row>
    <row r="32" spans="1:5" x14ac:dyDescent="0.25">
      <c r="A32" s="20"/>
      <c r="B32" s="20" t="s">
        <v>208</v>
      </c>
      <c r="C32" s="20"/>
      <c r="D32" s="20">
        <v>516</v>
      </c>
      <c r="E32" s="20"/>
    </row>
    <row r="33" spans="1:5" x14ac:dyDescent="0.25">
      <c r="A33" s="20"/>
      <c r="B33" s="20" t="s">
        <v>33</v>
      </c>
      <c r="C33" s="20"/>
      <c r="D33" s="28">
        <v>1038.96</v>
      </c>
      <c r="E33" s="20"/>
    </row>
    <row r="34" spans="1:5" x14ac:dyDescent="0.25">
      <c r="A34" s="20"/>
      <c r="B34" s="27" t="s">
        <v>35</v>
      </c>
      <c r="C34" s="20"/>
      <c r="D34" s="20">
        <v>707.59</v>
      </c>
      <c r="E34" s="20"/>
    </row>
    <row r="35" spans="1:5" x14ac:dyDescent="0.25">
      <c r="A35" s="20"/>
      <c r="B35" s="31" t="s">
        <v>37</v>
      </c>
      <c r="C35" s="20"/>
      <c r="D35" s="20">
        <v>495.77</v>
      </c>
      <c r="E35" s="20"/>
    </row>
    <row r="36" spans="1:5" x14ac:dyDescent="0.25">
      <c r="A36" s="73" t="s">
        <v>82</v>
      </c>
      <c r="B36" s="22" t="s">
        <v>38</v>
      </c>
      <c r="C36" s="20"/>
      <c r="D36" s="26">
        <v>6700.68</v>
      </c>
      <c r="E36" s="26"/>
    </row>
    <row r="37" spans="1:5" x14ac:dyDescent="0.25">
      <c r="A37" s="73" t="s">
        <v>83</v>
      </c>
      <c r="B37" s="22" t="s">
        <v>41</v>
      </c>
      <c r="C37" s="20"/>
      <c r="D37" s="26">
        <f>D22+E22+D27+E27+D30+D36+E36</f>
        <v>25505.1859</v>
      </c>
      <c r="E37" s="20"/>
    </row>
    <row r="38" spans="1:5" x14ac:dyDescent="0.25">
      <c r="A38" s="73" t="s">
        <v>84</v>
      </c>
      <c r="B38" s="20" t="s">
        <v>42</v>
      </c>
      <c r="C38" s="20"/>
      <c r="D38" s="26">
        <f>D19*6%</f>
        <v>1405.1405999999999</v>
      </c>
      <c r="E38" s="20"/>
    </row>
    <row r="39" spans="1:5" x14ac:dyDescent="0.25">
      <c r="A39" s="73" t="s">
        <v>85</v>
      </c>
      <c r="B39" s="22" t="s">
        <v>43</v>
      </c>
      <c r="C39" s="20"/>
      <c r="D39" s="26">
        <f>D37+D38</f>
        <v>26910.326499999999</v>
      </c>
      <c r="E39" s="20"/>
    </row>
    <row r="40" spans="1:5" x14ac:dyDescent="0.25">
      <c r="A40" s="73"/>
      <c r="B40" s="20"/>
      <c r="C40" s="20"/>
      <c r="D40" s="20"/>
      <c r="E40" s="20"/>
    </row>
    <row r="41" spans="1:5" x14ac:dyDescent="0.25">
      <c r="A41" s="73" t="s">
        <v>86</v>
      </c>
      <c r="B41" s="22" t="s">
        <v>135</v>
      </c>
      <c r="C41" s="20"/>
      <c r="D41" s="26">
        <f>D19-D39</f>
        <v>-3491.3165000000008</v>
      </c>
      <c r="E41" s="20"/>
    </row>
    <row r="42" spans="1:5" x14ac:dyDescent="0.25">
      <c r="A42" s="73" t="s">
        <v>87</v>
      </c>
      <c r="B42" s="22" t="s">
        <v>44</v>
      </c>
      <c r="C42" s="20"/>
      <c r="D42" s="26">
        <f>D11+D41</f>
        <v>-26338.516500000002</v>
      </c>
      <c r="E42" s="20"/>
    </row>
    <row r="43" spans="1:5" x14ac:dyDescent="0.25">
      <c r="A43" s="34"/>
      <c r="B43" s="35"/>
      <c r="C43" s="34"/>
      <c r="D43" s="36"/>
      <c r="E43" s="34"/>
    </row>
    <row r="44" spans="1:5" x14ac:dyDescent="0.25">
      <c r="A44" s="602" t="s">
        <v>45</v>
      </c>
      <c r="B44" s="602"/>
      <c r="C44" s="384" t="s">
        <v>80</v>
      </c>
      <c r="D44" s="36"/>
      <c r="E44" s="34"/>
    </row>
    <row r="45" spans="1:5" x14ac:dyDescent="0.25">
      <c r="A45" s="37" t="s">
        <v>47</v>
      </c>
      <c r="B45" s="37"/>
      <c r="C45" s="37" t="s">
        <v>48</v>
      </c>
      <c r="D45" s="37"/>
    </row>
  </sheetData>
  <mergeCells count="4">
    <mergeCell ref="A6:C6"/>
    <mergeCell ref="D8:E8"/>
    <mergeCell ref="D9:E9"/>
    <mergeCell ref="A44:B4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4" workbookViewId="0">
      <selection activeCell="H32" sqref="H32:I47"/>
    </sheetView>
  </sheetViews>
  <sheetFormatPr defaultRowHeight="15" x14ac:dyDescent="0.25"/>
  <cols>
    <col min="2" max="2" width="41.7109375" customWidth="1"/>
    <col min="4" max="4" width="10.2851562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184</v>
      </c>
    </row>
    <row r="5" spans="1:5" x14ac:dyDescent="0.25">
      <c r="A5" s="501"/>
      <c r="B5" s="501"/>
      <c r="C5" s="501"/>
      <c r="D5" s="397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20473.2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1079.25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613.1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42009.88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39145.019999999997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17</v>
      </c>
      <c r="C17" s="13"/>
      <c r="D17" s="19">
        <f>D15</f>
        <v>39145.019999999997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D21+D24</f>
        <v>10823.51</v>
      </c>
      <c r="E20" s="26">
        <f>E21</f>
        <v>2645.5423799999999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D22+D23</f>
        <v>10097.49</v>
      </c>
      <c r="E21" s="26">
        <f>E22+E23</f>
        <v>2645.5423799999999</v>
      </c>
    </row>
    <row r="22" spans="1:5" x14ac:dyDescent="0.25">
      <c r="A22" s="20"/>
      <c r="B22" s="20" t="s">
        <v>23</v>
      </c>
      <c r="C22" s="20"/>
      <c r="D22" s="20">
        <v>10097.49</v>
      </c>
      <c r="E22" s="28">
        <f>D22*26.2%</f>
        <v>2645.5423799999999</v>
      </c>
    </row>
    <row r="23" spans="1:5" x14ac:dyDescent="0.25">
      <c r="A23" s="20"/>
      <c r="B23" s="27" t="s">
        <v>75</v>
      </c>
      <c r="C23" s="13"/>
      <c r="D23" s="13">
        <v>0</v>
      </c>
      <c r="E23" s="28">
        <f>D23*26.2%</f>
        <v>0</v>
      </c>
    </row>
    <row r="24" spans="1:5" x14ac:dyDescent="0.25">
      <c r="A24" s="20">
        <v>2</v>
      </c>
      <c r="B24" s="27" t="s">
        <v>26</v>
      </c>
      <c r="C24" s="20"/>
      <c r="D24" s="20">
        <f>4.76+721.26</f>
        <v>726.02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</f>
        <v>9920.0400000000009</v>
      </c>
      <c r="E25" s="26">
        <f>E26</f>
        <v>2003.84808</v>
      </c>
    </row>
    <row r="26" spans="1:5" x14ac:dyDescent="0.25">
      <c r="A26" s="20">
        <v>1</v>
      </c>
      <c r="B26" s="31" t="s">
        <v>229</v>
      </c>
      <c r="C26" s="20"/>
      <c r="D26" s="31">
        <v>9920.0400000000009</v>
      </c>
      <c r="E26" s="28">
        <f>D26*20.2%</f>
        <v>2003.84808</v>
      </c>
    </row>
    <row r="27" spans="1:5" x14ac:dyDescent="0.25">
      <c r="A27" s="20">
        <v>2</v>
      </c>
      <c r="B27" s="31" t="s">
        <v>26</v>
      </c>
      <c r="C27" s="20"/>
      <c r="D27" s="31">
        <v>0</v>
      </c>
      <c r="E27" s="20"/>
    </row>
    <row r="28" spans="1:5" x14ac:dyDescent="0.25">
      <c r="A28" s="24" t="s">
        <v>29</v>
      </c>
      <c r="B28" s="22" t="s">
        <v>30</v>
      </c>
      <c r="C28" s="20"/>
      <c r="D28" s="26">
        <f>D29+D30+D31+D32+D33</f>
        <v>15850.3</v>
      </c>
      <c r="E28" s="20"/>
    </row>
    <row r="29" spans="1:5" x14ac:dyDescent="0.25">
      <c r="A29" s="20"/>
      <c r="B29" s="20" t="s">
        <v>31</v>
      </c>
      <c r="C29" s="20"/>
      <c r="D29" s="28">
        <v>10056.629999999999</v>
      </c>
      <c r="E29" s="20"/>
    </row>
    <row r="30" spans="1:5" x14ac:dyDescent="0.25">
      <c r="A30" s="20"/>
      <c r="B30" s="20" t="s">
        <v>33</v>
      </c>
      <c r="C30" s="20"/>
      <c r="D30" s="28">
        <v>1465.01</v>
      </c>
      <c r="E30" s="20"/>
    </row>
    <row r="31" spans="1:5" x14ac:dyDescent="0.25">
      <c r="A31" s="20"/>
      <c r="B31" s="27" t="s">
        <v>35</v>
      </c>
      <c r="C31" s="20"/>
      <c r="D31" s="20">
        <v>997.76</v>
      </c>
      <c r="E31" s="20"/>
    </row>
    <row r="32" spans="1:5" x14ac:dyDescent="0.25">
      <c r="A32" s="20"/>
      <c r="B32" s="27" t="s">
        <v>61</v>
      </c>
      <c r="C32" s="20"/>
      <c r="D32" s="20">
        <v>2631.83</v>
      </c>
      <c r="E32" s="20"/>
    </row>
    <row r="33" spans="1:5" x14ac:dyDescent="0.25">
      <c r="A33" s="20"/>
      <c r="B33" s="31" t="s">
        <v>37</v>
      </c>
      <c r="C33" s="20"/>
      <c r="D33" s="20">
        <v>699.07</v>
      </c>
      <c r="E33" s="20"/>
    </row>
    <row r="34" spans="1:5" x14ac:dyDescent="0.25">
      <c r="A34" s="73" t="s">
        <v>82</v>
      </c>
      <c r="B34" s="22" t="s">
        <v>38</v>
      </c>
      <c r="C34" s="20"/>
      <c r="D34" s="26">
        <v>9448.4500000000007</v>
      </c>
      <c r="E34" s="26"/>
    </row>
    <row r="35" spans="1:5" x14ac:dyDescent="0.25">
      <c r="A35" s="73" t="s">
        <v>83</v>
      </c>
      <c r="B35" s="22" t="s">
        <v>41</v>
      </c>
      <c r="C35" s="20"/>
      <c r="D35" s="26">
        <f>D20+E20+D25+E25+D28+D34+E34</f>
        <v>50691.690459999998</v>
      </c>
      <c r="E35" s="20"/>
    </row>
    <row r="36" spans="1:5" x14ac:dyDescent="0.25">
      <c r="A36" s="73" t="s">
        <v>84</v>
      </c>
      <c r="B36" s="20" t="s">
        <v>42</v>
      </c>
      <c r="C36" s="20"/>
      <c r="D36" s="26">
        <f>D17*6%</f>
        <v>2348.7011999999995</v>
      </c>
      <c r="E36" s="20"/>
    </row>
    <row r="37" spans="1:5" x14ac:dyDescent="0.25">
      <c r="A37" s="73" t="s">
        <v>85</v>
      </c>
      <c r="B37" s="22" t="s">
        <v>43</v>
      </c>
      <c r="C37" s="20"/>
      <c r="D37" s="26">
        <f>D35+D36</f>
        <v>53040.391659999994</v>
      </c>
      <c r="E37" s="20"/>
    </row>
    <row r="38" spans="1:5" x14ac:dyDescent="0.25">
      <c r="A38" s="73"/>
      <c r="B38" s="20"/>
      <c r="C38" s="20"/>
      <c r="D38" s="20"/>
      <c r="E38" s="20"/>
    </row>
    <row r="39" spans="1:5" x14ac:dyDescent="0.25">
      <c r="A39" s="73" t="s">
        <v>86</v>
      </c>
      <c r="B39" s="22" t="s">
        <v>135</v>
      </c>
      <c r="C39" s="20"/>
      <c r="D39" s="26">
        <f>D17-D37</f>
        <v>-13895.371659999997</v>
      </c>
      <c r="E39" s="20"/>
    </row>
    <row r="40" spans="1:5" x14ac:dyDescent="0.25">
      <c r="A40" s="73" t="s">
        <v>87</v>
      </c>
      <c r="B40" s="22" t="s">
        <v>44</v>
      </c>
      <c r="C40" s="20"/>
      <c r="D40" s="26">
        <f>D9+D39</f>
        <v>6577.8283400000037</v>
      </c>
      <c r="E40" s="20"/>
    </row>
    <row r="41" spans="1:5" x14ac:dyDescent="0.25">
      <c r="A41" s="34"/>
      <c r="B41" s="35"/>
      <c r="C41" s="34"/>
      <c r="D41" s="36"/>
      <c r="E41" s="34"/>
    </row>
    <row r="42" spans="1:5" x14ac:dyDescent="0.25">
      <c r="A42" s="34"/>
      <c r="B42" s="35"/>
      <c r="C42" s="34"/>
      <c r="D42" s="36"/>
      <c r="E42" s="34"/>
    </row>
    <row r="43" spans="1:5" x14ac:dyDescent="0.25">
      <c r="A43" s="34"/>
      <c r="B43" s="602" t="s">
        <v>45</v>
      </c>
      <c r="C43" s="602"/>
      <c r="D43" s="384" t="s">
        <v>80</v>
      </c>
      <c r="E43" s="36"/>
    </row>
    <row r="44" spans="1:5" x14ac:dyDescent="0.25">
      <c r="A44" s="37"/>
      <c r="B44" s="37" t="s">
        <v>47</v>
      </c>
      <c r="C44" s="37"/>
      <c r="D44" s="37" t="s">
        <v>48</v>
      </c>
      <c r="E44" s="37"/>
    </row>
  </sheetData>
  <mergeCells count="4">
    <mergeCell ref="A5:C5"/>
    <mergeCell ref="D6:E6"/>
    <mergeCell ref="D7:E7"/>
    <mergeCell ref="B43:C43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2" workbookViewId="0">
      <selection activeCell="H30" sqref="H30:I44"/>
    </sheetView>
  </sheetViews>
  <sheetFormatPr defaultRowHeight="15" x14ac:dyDescent="0.25"/>
  <cols>
    <col min="2" max="2" width="44.28515625" customWidth="1"/>
    <col min="4" max="4" width="10.5703125" customWidth="1"/>
    <col min="5" max="5" width="10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185</v>
      </c>
    </row>
    <row r="5" spans="1:5" x14ac:dyDescent="0.25">
      <c r="A5" s="501"/>
      <c r="B5" s="501"/>
      <c r="C5" s="501"/>
      <c r="D5" s="397"/>
      <c r="E5" s="58"/>
    </row>
    <row r="6" spans="1:5" x14ac:dyDescent="0.25">
      <c r="A6" s="5"/>
      <c r="B6" s="5"/>
      <c r="C6" s="5"/>
      <c r="D6" s="3"/>
      <c r="E6" s="59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7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-91527.14</v>
      </c>
      <c r="E10" s="11"/>
    </row>
    <row r="11" spans="1:5" x14ac:dyDescent="0.25">
      <c r="A11" s="13"/>
      <c r="B11" s="14" t="s">
        <v>9</v>
      </c>
      <c r="C11" s="13" t="s">
        <v>10</v>
      </c>
      <c r="D11" s="13">
        <v>3722.8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2935</v>
      </c>
      <c r="E12" s="13"/>
    </row>
    <row r="13" spans="1:5" x14ac:dyDescent="0.25">
      <c r="A13" s="13"/>
      <c r="B13" s="15" t="s">
        <v>12</v>
      </c>
      <c r="C13" s="13" t="s">
        <v>13</v>
      </c>
      <c r="D13" s="19">
        <v>211466.06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3">
        <v>209718.82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17</v>
      </c>
      <c r="C18" s="13"/>
      <c r="D18" s="19">
        <f>D16</f>
        <v>209718.82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D22+D25</f>
        <v>44352.18</v>
      </c>
      <c r="E21" s="26">
        <f>E22</f>
        <v>8946.6850399999985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D23+D24</f>
        <v>44290.52</v>
      </c>
      <c r="E22" s="26">
        <f>E23+E24</f>
        <v>8946.6850399999985</v>
      </c>
    </row>
    <row r="23" spans="1:5" x14ac:dyDescent="0.25">
      <c r="A23" s="20"/>
      <c r="B23" s="20" t="s">
        <v>23</v>
      </c>
      <c r="C23" s="20"/>
      <c r="D23" s="20">
        <v>44290.52</v>
      </c>
      <c r="E23" s="28">
        <f>D23*20.2%</f>
        <v>8946.6850399999985</v>
      </c>
    </row>
    <row r="24" spans="1:5" x14ac:dyDescent="0.25">
      <c r="A24" s="20"/>
      <c r="B24" s="20" t="s">
        <v>75</v>
      </c>
      <c r="C24" s="20"/>
      <c r="D24" s="20">
        <v>0</v>
      </c>
      <c r="E24" s="28">
        <f>D24*26.2%</f>
        <v>0</v>
      </c>
    </row>
    <row r="25" spans="1:5" x14ac:dyDescent="0.25">
      <c r="A25" s="20">
        <v>2</v>
      </c>
      <c r="B25" s="27" t="s">
        <v>26</v>
      </c>
      <c r="C25" s="20"/>
      <c r="D25" s="20">
        <f>13.18+48.48</f>
        <v>61.66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</f>
        <v>55335.59</v>
      </c>
      <c r="E26" s="26">
        <f>E27</f>
        <v>10539.267179999999</v>
      </c>
    </row>
    <row r="27" spans="1:5" x14ac:dyDescent="0.25">
      <c r="A27" s="20">
        <v>1</v>
      </c>
      <c r="B27" s="31" t="s">
        <v>229</v>
      </c>
      <c r="C27" s="20"/>
      <c r="D27" s="31">
        <v>52174.59</v>
      </c>
      <c r="E27" s="28">
        <f>D27*20.2%</f>
        <v>10539.267179999999</v>
      </c>
    </row>
    <row r="28" spans="1:5" x14ac:dyDescent="0.25">
      <c r="A28" s="20">
        <v>2</v>
      </c>
      <c r="B28" s="31" t="s">
        <v>26</v>
      </c>
      <c r="C28" s="20"/>
      <c r="D28" s="33">
        <v>3161</v>
      </c>
      <c r="E28" s="20"/>
    </row>
    <row r="29" spans="1:5" x14ac:dyDescent="0.25">
      <c r="A29" s="24" t="s">
        <v>29</v>
      </c>
      <c r="B29" s="22" t="s">
        <v>30</v>
      </c>
      <c r="C29" s="20"/>
      <c r="D29" s="26">
        <f>D30+D31+D32+D33+D34+D35+D36</f>
        <v>90422.144540000008</v>
      </c>
      <c r="E29" s="20"/>
    </row>
    <row r="30" spans="1:5" x14ac:dyDescent="0.25">
      <c r="A30" s="20"/>
      <c r="B30" s="20" t="s">
        <v>31</v>
      </c>
      <c r="C30" s="20"/>
      <c r="D30" s="28">
        <f>D18*4.7%</f>
        <v>9856.7845400000006</v>
      </c>
      <c r="E30" s="20"/>
    </row>
    <row r="31" spans="1:5" x14ac:dyDescent="0.25">
      <c r="A31" s="20"/>
      <c r="B31" s="31" t="s">
        <v>186</v>
      </c>
      <c r="C31" s="20"/>
      <c r="D31" s="20">
        <v>4087.26</v>
      </c>
      <c r="E31" s="20"/>
    </row>
    <row r="32" spans="1:5" x14ac:dyDescent="0.25">
      <c r="A32" s="20"/>
      <c r="B32" s="20" t="s">
        <v>33</v>
      </c>
      <c r="C32" s="20"/>
      <c r="D32" s="28">
        <v>7626.51</v>
      </c>
      <c r="E32" s="20"/>
    </row>
    <row r="33" spans="1:5" x14ac:dyDescent="0.25">
      <c r="A33" s="20"/>
      <c r="B33" s="31" t="s">
        <v>35</v>
      </c>
      <c r="C33" s="20"/>
      <c r="D33" s="20">
        <v>4805.63</v>
      </c>
      <c r="E33" s="20"/>
    </row>
    <row r="34" spans="1:5" x14ac:dyDescent="0.25">
      <c r="A34" s="20"/>
      <c r="B34" s="27" t="s">
        <v>36</v>
      </c>
      <c r="C34" s="13"/>
      <c r="D34" s="13">
        <v>56730.66</v>
      </c>
      <c r="E34" s="20"/>
    </row>
    <row r="35" spans="1:5" x14ac:dyDescent="0.25">
      <c r="A35" s="20"/>
      <c r="B35" s="31" t="s">
        <v>131</v>
      </c>
      <c r="C35" s="13"/>
      <c r="D35" s="13">
        <v>3735.33</v>
      </c>
      <c r="E35" s="20"/>
    </row>
    <row r="36" spans="1:5" x14ac:dyDescent="0.25">
      <c r="A36" s="20"/>
      <c r="B36" s="20" t="s">
        <v>37</v>
      </c>
      <c r="C36" s="20"/>
      <c r="D36" s="20">
        <v>3579.97</v>
      </c>
      <c r="E36" s="20"/>
    </row>
    <row r="37" spans="1:5" x14ac:dyDescent="0.25">
      <c r="A37" s="73" t="s">
        <v>82</v>
      </c>
      <c r="B37" s="22" t="s">
        <v>38</v>
      </c>
      <c r="C37" s="20"/>
      <c r="D37" s="26">
        <v>49207.08</v>
      </c>
      <c r="E37" s="26"/>
    </row>
    <row r="38" spans="1:5" x14ac:dyDescent="0.25">
      <c r="A38" s="73" t="s">
        <v>83</v>
      </c>
      <c r="B38" s="22" t="s">
        <v>41</v>
      </c>
      <c r="C38" s="20"/>
      <c r="D38" s="26">
        <f>D21+E21+D26+E26+D29+D37</f>
        <v>258802.94676000002</v>
      </c>
      <c r="E38" s="20"/>
    </row>
    <row r="39" spans="1:5" x14ac:dyDescent="0.25">
      <c r="A39" s="73" t="s">
        <v>84</v>
      </c>
      <c r="B39" s="20" t="s">
        <v>42</v>
      </c>
      <c r="C39" s="20"/>
      <c r="D39" s="26">
        <f>D18*6%</f>
        <v>12583.129199999999</v>
      </c>
      <c r="E39" s="20"/>
    </row>
    <row r="40" spans="1:5" x14ac:dyDescent="0.25">
      <c r="A40" s="73" t="s">
        <v>85</v>
      </c>
      <c r="B40" s="22" t="s">
        <v>43</v>
      </c>
      <c r="C40" s="20"/>
      <c r="D40" s="26">
        <f>D38+D39</f>
        <v>271386.07596000005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86</v>
      </c>
      <c r="B42" s="22" t="s">
        <v>135</v>
      </c>
      <c r="C42" s="20"/>
      <c r="D42" s="26">
        <f>D18-D40</f>
        <v>-61667.255960000039</v>
      </c>
      <c r="E42" s="20"/>
    </row>
    <row r="43" spans="1:5" x14ac:dyDescent="0.25">
      <c r="A43" s="73" t="s">
        <v>87</v>
      </c>
      <c r="B43" s="22" t="s">
        <v>44</v>
      </c>
      <c r="C43" s="20"/>
      <c r="D43" s="26">
        <f>D10+D42</f>
        <v>-153194.39596000005</v>
      </c>
      <c r="E43" s="20"/>
    </row>
    <row r="44" spans="1:5" x14ac:dyDescent="0.25">
      <c r="A44" s="34"/>
      <c r="B44" s="35"/>
      <c r="C44" s="34"/>
      <c r="D44" s="36"/>
      <c r="E44" s="34"/>
    </row>
    <row r="45" spans="1:5" x14ac:dyDescent="0.25">
      <c r="A45" s="34"/>
      <c r="B45" s="35"/>
      <c r="C45" s="34"/>
      <c r="D45" s="36"/>
      <c r="E45" s="34"/>
    </row>
    <row r="46" spans="1:5" x14ac:dyDescent="0.25">
      <c r="A46" s="34"/>
      <c r="B46" s="602" t="s">
        <v>45</v>
      </c>
      <c r="C46" s="602"/>
      <c r="D46" s="384" t="s">
        <v>80</v>
      </c>
      <c r="E46" s="34"/>
    </row>
    <row r="47" spans="1:5" x14ac:dyDescent="0.25">
      <c r="A47" s="37"/>
      <c r="B47" s="37" t="s">
        <v>47</v>
      </c>
      <c r="C47" s="37"/>
      <c r="D47" s="37" t="s">
        <v>48</v>
      </c>
      <c r="E47" s="37"/>
    </row>
  </sheetData>
  <mergeCells count="4">
    <mergeCell ref="A5:C5"/>
    <mergeCell ref="D7:E7"/>
    <mergeCell ref="D8:E8"/>
    <mergeCell ref="B46:C4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6" workbookViewId="0">
      <selection activeCell="H33" sqref="H33:I49"/>
    </sheetView>
  </sheetViews>
  <sheetFormatPr defaultRowHeight="15" x14ac:dyDescent="0.25"/>
  <cols>
    <col min="1" max="1" width="7.5703125" customWidth="1"/>
    <col min="2" max="2" width="45.7109375" customWidth="1"/>
    <col min="4" max="4" width="12.1406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187</v>
      </c>
    </row>
    <row r="5" spans="1:5" x14ac:dyDescent="0.25">
      <c r="A5" s="501"/>
      <c r="B5" s="501"/>
      <c r="C5" s="501"/>
      <c r="D5" s="397"/>
      <c r="E5" s="58"/>
    </row>
    <row r="6" spans="1:5" x14ac:dyDescent="0.25">
      <c r="A6" s="5"/>
      <c r="B6" s="5"/>
      <c r="C6" s="5"/>
      <c r="D6" s="3"/>
      <c r="E6" s="59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7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-4009.22</v>
      </c>
      <c r="E10" s="11"/>
    </row>
    <row r="11" spans="1:5" x14ac:dyDescent="0.25">
      <c r="A11" s="13"/>
      <c r="B11" s="14" t="s">
        <v>9</v>
      </c>
      <c r="C11" s="13" t="s">
        <v>10</v>
      </c>
      <c r="D11" s="13">
        <v>1061.79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597.9</v>
      </c>
      <c r="E12" s="13"/>
    </row>
    <row r="13" spans="1:5" x14ac:dyDescent="0.25">
      <c r="A13" s="13"/>
      <c r="B13" s="15" t="s">
        <v>12</v>
      </c>
      <c r="C13" s="13" t="s">
        <v>13</v>
      </c>
      <c r="D13" s="19">
        <v>41956.71</v>
      </c>
      <c r="E13" s="13"/>
    </row>
    <row r="14" spans="1:5" x14ac:dyDescent="0.25">
      <c r="A14" s="13"/>
      <c r="B14" s="15"/>
      <c r="C14" s="13"/>
      <c r="D14" s="19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3">
        <v>38736.370000000003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17</v>
      </c>
      <c r="C18" s="13"/>
      <c r="D18" s="19">
        <f>D16</f>
        <v>38736.370000000003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D22+D25</f>
        <v>4766.51</v>
      </c>
      <c r="E21" s="26">
        <f>E22</f>
        <v>856.21739999999988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D23+D24</f>
        <v>4238.7</v>
      </c>
      <c r="E22" s="26">
        <f>E23+E24</f>
        <v>856.21739999999988</v>
      </c>
    </row>
    <row r="23" spans="1:5" x14ac:dyDescent="0.25">
      <c r="A23" s="20"/>
      <c r="B23" s="20" t="s">
        <v>23</v>
      </c>
      <c r="C23" s="20"/>
      <c r="D23" s="20">
        <v>4238.7</v>
      </c>
      <c r="E23" s="28">
        <f>D23*20.2%</f>
        <v>856.21739999999988</v>
      </c>
    </row>
    <row r="24" spans="1:5" x14ac:dyDescent="0.25">
      <c r="A24" s="20"/>
      <c r="B24" s="27" t="s">
        <v>75</v>
      </c>
      <c r="C24" s="13"/>
      <c r="D24" s="13">
        <v>0</v>
      </c>
      <c r="E24" s="28">
        <f>D24*26.2%</f>
        <v>0</v>
      </c>
    </row>
    <row r="25" spans="1:5" x14ac:dyDescent="0.25">
      <c r="A25" s="20">
        <v>2</v>
      </c>
      <c r="B25" s="27" t="s">
        <v>26</v>
      </c>
      <c r="C25" s="20"/>
      <c r="D25" s="20">
        <f>523.17+4.64</f>
        <v>527.80999999999995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</f>
        <v>9807.31</v>
      </c>
      <c r="E26" s="26">
        <f>E27</f>
        <v>1981.0766199999998</v>
      </c>
    </row>
    <row r="27" spans="1:5" x14ac:dyDescent="0.25">
      <c r="A27" s="20">
        <v>1</v>
      </c>
      <c r="B27" s="31" t="s">
        <v>229</v>
      </c>
      <c r="C27" s="20"/>
      <c r="D27" s="31">
        <v>9807.31</v>
      </c>
      <c r="E27" s="28">
        <f>D27*20.2%</f>
        <v>1981.0766199999998</v>
      </c>
    </row>
    <row r="28" spans="1:5" x14ac:dyDescent="0.25">
      <c r="A28" s="20">
        <v>2</v>
      </c>
      <c r="B28" s="31" t="s">
        <v>26</v>
      </c>
      <c r="C28" s="20"/>
      <c r="D28" s="31">
        <v>0</v>
      </c>
      <c r="E28" s="20"/>
    </row>
    <row r="29" spans="1:5" x14ac:dyDescent="0.25">
      <c r="A29" s="24" t="s">
        <v>29</v>
      </c>
      <c r="B29" s="22" t="s">
        <v>30</v>
      </c>
      <c r="C29" s="20"/>
      <c r="D29" s="26">
        <f>D30+D31+D32+D33+D34+D35</f>
        <v>16778.338500000002</v>
      </c>
      <c r="E29" s="20"/>
    </row>
    <row r="30" spans="1:5" x14ac:dyDescent="0.25">
      <c r="A30" s="20"/>
      <c r="B30" s="20" t="s">
        <v>31</v>
      </c>
      <c r="C30" s="20"/>
      <c r="D30" s="28">
        <f>D18*5%</f>
        <v>1936.8185000000003</v>
      </c>
      <c r="E30" s="20"/>
    </row>
    <row r="31" spans="1:5" x14ac:dyDescent="0.25">
      <c r="A31" s="20"/>
      <c r="B31" s="31" t="s">
        <v>32</v>
      </c>
      <c r="C31" s="20"/>
      <c r="D31" s="20">
        <v>82</v>
      </c>
      <c r="E31" s="20"/>
    </row>
    <row r="32" spans="1:5" x14ac:dyDescent="0.25">
      <c r="A32" s="20"/>
      <c r="B32" s="20" t="s">
        <v>33</v>
      </c>
      <c r="C32" s="20"/>
      <c r="D32" s="28">
        <v>1428.69</v>
      </c>
      <c r="E32" s="20"/>
    </row>
    <row r="33" spans="1:5" x14ac:dyDescent="0.25">
      <c r="A33" s="20"/>
      <c r="B33" s="27" t="s">
        <v>35</v>
      </c>
      <c r="C33" s="20"/>
      <c r="D33" s="20">
        <v>973.02</v>
      </c>
      <c r="E33" s="20"/>
    </row>
    <row r="34" spans="1:5" x14ac:dyDescent="0.25">
      <c r="A34" s="20"/>
      <c r="B34" s="27" t="s">
        <v>61</v>
      </c>
      <c r="C34" s="20"/>
      <c r="D34" s="20">
        <v>11676.07</v>
      </c>
      <c r="E34" s="20"/>
    </row>
    <row r="35" spans="1:5" x14ac:dyDescent="0.25">
      <c r="A35" s="20"/>
      <c r="B35" s="31" t="s">
        <v>37</v>
      </c>
      <c r="C35" s="20"/>
      <c r="D35" s="20">
        <v>681.74</v>
      </c>
      <c r="E35" s="20"/>
    </row>
    <row r="36" spans="1:5" x14ac:dyDescent="0.25">
      <c r="A36" s="73" t="s">
        <v>82</v>
      </c>
      <c r="B36" s="22" t="s">
        <v>38</v>
      </c>
      <c r="C36" s="20"/>
      <c r="D36" s="26">
        <v>9214.2000000000007</v>
      </c>
      <c r="E36" s="26"/>
    </row>
    <row r="37" spans="1:5" x14ac:dyDescent="0.25">
      <c r="A37" s="73" t="s">
        <v>83</v>
      </c>
      <c r="B37" s="22" t="s">
        <v>41</v>
      </c>
      <c r="C37" s="20"/>
      <c r="D37" s="26">
        <f>D21+E21+D26+E26+D29+D36</f>
        <v>43403.652520000003</v>
      </c>
      <c r="E37" s="20"/>
    </row>
    <row r="38" spans="1:5" x14ac:dyDescent="0.25">
      <c r="A38" s="73" t="s">
        <v>84</v>
      </c>
      <c r="B38" s="20" t="s">
        <v>42</v>
      </c>
      <c r="C38" s="20"/>
      <c r="D38" s="26">
        <f>D18*6%</f>
        <v>2324.1822000000002</v>
      </c>
      <c r="E38" s="20"/>
    </row>
    <row r="39" spans="1:5" x14ac:dyDescent="0.25">
      <c r="A39" s="73" t="s">
        <v>85</v>
      </c>
      <c r="B39" s="22" t="s">
        <v>43</v>
      </c>
      <c r="C39" s="20"/>
      <c r="D39" s="26">
        <f>D37+D38</f>
        <v>45727.834720000006</v>
      </c>
      <c r="E39" s="20"/>
    </row>
    <row r="40" spans="1:5" x14ac:dyDescent="0.25">
      <c r="A40" s="73"/>
      <c r="B40" s="20"/>
      <c r="C40" s="20"/>
      <c r="D40" s="20"/>
      <c r="E40" s="20"/>
    </row>
    <row r="41" spans="1:5" x14ac:dyDescent="0.25">
      <c r="A41" s="73" t="s">
        <v>86</v>
      </c>
      <c r="B41" s="22" t="s">
        <v>135</v>
      </c>
      <c r="C41" s="20"/>
      <c r="D41" s="26">
        <f>D18-D39</f>
        <v>-6991.4647200000036</v>
      </c>
      <c r="E41" s="20"/>
    </row>
    <row r="42" spans="1:5" x14ac:dyDescent="0.25">
      <c r="A42" s="73" t="s">
        <v>87</v>
      </c>
      <c r="B42" s="22" t="s">
        <v>44</v>
      </c>
      <c r="C42" s="20"/>
      <c r="D42" s="26">
        <f>D10+D41</f>
        <v>-11000.684720000003</v>
      </c>
      <c r="E42" s="20"/>
    </row>
    <row r="43" spans="1:5" x14ac:dyDescent="0.25">
      <c r="A43" s="34"/>
      <c r="B43" s="35"/>
      <c r="C43" s="34"/>
      <c r="D43" s="36"/>
      <c r="E43" s="34"/>
    </row>
    <row r="44" spans="1:5" x14ac:dyDescent="0.25">
      <c r="A44" s="37"/>
      <c r="B44" s="37" t="s">
        <v>45</v>
      </c>
      <c r="C44" s="37"/>
      <c r="D44" s="37" t="s">
        <v>46</v>
      </c>
      <c r="E44" s="37"/>
    </row>
    <row r="45" spans="1:5" x14ac:dyDescent="0.25">
      <c r="A45" s="37"/>
      <c r="B45" s="37" t="s">
        <v>47</v>
      </c>
      <c r="C45" s="37"/>
      <c r="D45" s="37" t="s">
        <v>48</v>
      </c>
      <c r="E45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0" workbookViewId="0">
      <selection activeCell="H31" sqref="H31:I45"/>
    </sheetView>
  </sheetViews>
  <sheetFormatPr defaultRowHeight="15" x14ac:dyDescent="0.25"/>
  <cols>
    <col min="2" max="2" width="44.7109375" customWidth="1"/>
    <col min="4" max="4" width="11" customWidth="1"/>
    <col min="5" max="5" width="10.5703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188</v>
      </c>
    </row>
    <row r="5" spans="1:5" x14ac:dyDescent="0.25">
      <c r="A5" s="501"/>
      <c r="B5" s="501"/>
      <c r="C5" s="501"/>
      <c r="D5" s="397"/>
      <c r="E5" s="58"/>
    </row>
    <row r="6" spans="1:5" x14ac:dyDescent="0.25">
      <c r="A6" s="5"/>
      <c r="B6" s="5"/>
      <c r="C6" s="5"/>
      <c r="D6" s="3"/>
      <c r="E6" s="59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7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-41236.199999999997</v>
      </c>
      <c r="E10" s="11"/>
    </row>
    <row r="11" spans="1:5" x14ac:dyDescent="0.25">
      <c r="A11" s="13"/>
      <c r="B11" s="14" t="s">
        <v>9</v>
      </c>
      <c r="C11" s="13" t="s">
        <v>10</v>
      </c>
      <c r="D11" s="13">
        <v>1542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636.69000000000005</v>
      </c>
      <c r="E12" s="13"/>
    </row>
    <row r="13" spans="1:5" x14ac:dyDescent="0.25">
      <c r="A13" s="13"/>
      <c r="B13" s="15" t="s">
        <v>12</v>
      </c>
      <c r="C13" s="13" t="s">
        <v>13</v>
      </c>
      <c r="D13" s="462">
        <v>48775.46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3">
        <v>45818.18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17</v>
      </c>
      <c r="C18" s="13"/>
      <c r="D18" s="19">
        <f>D16</f>
        <v>45818.18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D22+D25</f>
        <v>14687.99</v>
      </c>
      <c r="E21" s="26">
        <f>E22</f>
        <v>2796.7606999999998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D23+D24</f>
        <v>13845.35</v>
      </c>
      <c r="E22" s="26">
        <f>E23+E24</f>
        <v>2796.7606999999998</v>
      </c>
    </row>
    <row r="23" spans="1:5" x14ac:dyDescent="0.25">
      <c r="A23" s="20"/>
      <c r="B23" s="20" t="s">
        <v>23</v>
      </c>
      <c r="C23" s="20"/>
      <c r="D23" s="20">
        <v>13845.35</v>
      </c>
      <c r="E23" s="28">
        <f>D23*20.2%</f>
        <v>2796.7606999999998</v>
      </c>
    </row>
    <row r="24" spans="1:5" x14ac:dyDescent="0.25">
      <c r="A24" s="20"/>
      <c r="B24" s="27" t="s">
        <v>75</v>
      </c>
      <c r="C24" s="13"/>
      <c r="D24" s="13">
        <v>0</v>
      </c>
      <c r="E24" s="28">
        <f>D24*26.2%</f>
        <v>0</v>
      </c>
    </row>
    <row r="25" spans="1:5" x14ac:dyDescent="0.25">
      <c r="A25" s="20">
        <v>2</v>
      </c>
      <c r="B25" s="27" t="s">
        <v>26</v>
      </c>
      <c r="C25" s="13"/>
      <c r="D25" s="13">
        <f>10.52+832.12</f>
        <v>842.64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</f>
        <v>11478.24</v>
      </c>
      <c r="E26" s="26">
        <f>E27</f>
        <v>2286.2844799999998</v>
      </c>
    </row>
    <row r="27" spans="1:5" x14ac:dyDescent="0.25">
      <c r="A27" s="20">
        <v>1</v>
      </c>
      <c r="B27" s="31" t="s">
        <v>229</v>
      </c>
      <c r="C27" s="20"/>
      <c r="D27" s="31">
        <v>11318.24</v>
      </c>
      <c r="E27" s="28">
        <f>D27*20.2%</f>
        <v>2286.2844799999998</v>
      </c>
    </row>
    <row r="28" spans="1:5" x14ac:dyDescent="0.25">
      <c r="A28" s="20">
        <v>2</v>
      </c>
      <c r="B28" s="31" t="s">
        <v>26</v>
      </c>
      <c r="C28" s="20"/>
      <c r="D28" s="31">
        <v>160</v>
      </c>
      <c r="E28" s="20"/>
    </row>
    <row r="29" spans="1:5" x14ac:dyDescent="0.25">
      <c r="A29" s="24" t="s">
        <v>29</v>
      </c>
      <c r="B29" s="22" t="s">
        <v>30</v>
      </c>
      <c r="C29" s="20"/>
      <c r="D29" s="26">
        <f>D30+D31+D32+D33+D34+D35+D36</f>
        <v>8032.5790000000006</v>
      </c>
      <c r="E29" s="20"/>
    </row>
    <row r="30" spans="1:5" x14ac:dyDescent="0.25">
      <c r="A30" s="20"/>
      <c r="B30" s="20" t="s">
        <v>31</v>
      </c>
      <c r="C30" s="20"/>
      <c r="D30" s="28">
        <f>D18*5%</f>
        <v>2290.9090000000001</v>
      </c>
      <c r="E30" s="20"/>
    </row>
    <row r="31" spans="1:5" x14ac:dyDescent="0.25">
      <c r="A31" s="20"/>
      <c r="B31" s="20" t="s">
        <v>57</v>
      </c>
      <c r="C31" s="20"/>
      <c r="D31" s="20">
        <v>404.02</v>
      </c>
      <c r="E31" s="20"/>
    </row>
    <row r="32" spans="1:5" x14ac:dyDescent="0.25">
      <c r="A32" s="20"/>
      <c r="B32" s="31" t="s">
        <v>32</v>
      </c>
      <c r="C32" s="20"/>
      <c r="D32" s="20">
        <v>86</v>
      </c>
      <c r="E32" s="20"/>
    </row>
    <row r="33" spans="1:5" x14ac:dyDescent="0.25">
      <c r="A33" s="20"/>
      <c r="B33" s="20" t="s">
        <v>33</v>
      </c>
      <c r="C33" s="20"/>
      <c r="D33" s="33">
        <v>1654.42</v>
      </c>
      <c r="E33" s="20"/>
    </row>
    <row r="34" spans="1:5" x14ac:dyDescent="0.25">
      <c r="A34" s="20"/>
      <c r="B34" s="27" t="s">
        <v>61</v>
      </c>
      <c r="C34" s="20"/>
      <c r="D34" s="20">
        <v>1778.14</v>
      </c>
      <c r="E34" s="20"/>
    </row>
    <row r="35" spans="1:5" x14ac:dyDescent="0.25">
      <c r="A35" s="20"/>
      <c r="B35" s="27" t="s">
        <v>35</v>
      </c>
      <c r="C35" s="20"/>
      <c r="D35" s="20">
        <v>1042.49</v>
      </c>
      <c r="E35" s="20"/>
    </row>
    <row r="36" spans="1:5" x14ac:dyDescent="0.25">
      <c r="A36" s="20"/>
      <c r="B36" s="31" t="s">
        <v>37</v>
      </c>
      <c r="C36" s="20"/>
      <c r="D36" s="20">
        <v>776.6</v>
      </c>
      <c r="E36" s="20"/>
    </row>
    <row r="37" spans="1:5" x14ac:dyDescent="0.25">
      <c r="A37" s="73" t="s">
        <v>82</v>
      </c>
      <c r="B37" s="22" t="s">
        <v>38</v>
      </c>
      <c r="C37" s="20"/>
      <c r="D37" s="26">
        <v>10674.52</v>
      </c>
      <c r="E37" s="26"/>
    </row>
    <row r="38" spans="1:5" x14ac:dyDescent="0.25">
      <c r="A38" s="73" t="s">
        <v>83</v>
      </c>
      <c r="B38" s="22" t="s">
        <v>41</v>
      </c>
      <c r="C38" s="20"/>
      <c r="D38" s="26">
        <f>D21+E21+D26+E26+D29+D37+E37</f>
        <v>49956.374179999999</v>
      </c>
      <c r="E38" s="20"/>
    </row>
    <row r="39" spans="1:5" x14ac:dyDescent="0.25">
      <c r="A39" s="73" t="s">
        <v>84</v>
      </c>
      <c r="B39" s="20" t="s">
        <v>42</v>
      </c>
      <c r="C39" s="20"/>
      <c r="D39" s="26">
        <f>D18*6%</f>
        <v>2749.0907999999999</v>
      </c>
      <c r="E39" s="20"/>
    </row>
    <row r="40" spans="1:5" x14ac:dyDescent="0.25">
      <c r="A40" s="73" t="s">
        <v>85</v>
      </c>
      <c r="B40" s="22" t="s">
        <v>43</v>
      </c>
      <c r="C40" s="20"/>
      <c r="D40" s="26">
        <f>D38+D39</f>
        <v>52705.464979999997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86</v>
      </c>
      <c r="B42" s="22" t="s">
        <v>135</v>
      </c>
      <c r="C42" s="20"/>
      <c r="D42" s="26">
        <f>D18-D40</f>
        <v>-6887.2849799999967</v>
      </c>
      <c r="E42" s="20"/>
    </row>
    <row r="43" spans="1:5" x14ac:dyDescent="0.25">
      <c r="A43" s="73" t="s">
        <v>87</v>
      </c>
      <c r="B43" s="22" t="s">
        <v>44</v>
      </c>
      <c r="C43" s="20"/>
      <c r="D43" s="26">
        <f>D10+D42</f>
        <v>-48123.484979999994</v>
      </c>
      <c r="E43" s="20"/>
    </row>
    <row r="44" spans="1:5" x14ac:dyDescent="0.25">
      <c r="A44" s="34"/>
      <c r="B44" s="35"/>
      <c r="C44" s="34"/>
      <c r="D44" s="36"/>
      <c r="E44" s="34"/>
    </row>
    <row r="45" spans="1:5" x14ac:dyDescent="0.25">
      <c r="A45" s="34"/>
      <c r="B45" s="35"/>
      <c r="C45" s="34"/>
      <c r="D45" s="36"/>
      <c r="E45" s="34"/>
    </row>
    <row r="46" spans="1:5" x14ac:dyDescent="0.25">
      <c r="A46" s="37"/>
      <c r="B46" s="37" t="s">
        <v>45</v>
      </c>
      <c r="C46" s="37"/>
      <c r="D46" s="37" t="s">
        <v>46</v>
      </c>
      <c r="E46" s="37"/>
    </row>
    <row r="47" spans="1:5" x14ac:dyDescent="0.25">
      <c r="A47" s="37"/>
      <c r="B47" s="37" t="s">
        <v>47</v>
      </c>
      <c r="C47" s="37"/>
      <c r="D47" s="37" t="s">
        <v>48</v>
      </c>
      <c r="E47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8" workbookViewId="0">
      <selection activeCell="H32" sqref="H32:L53"/>
    </sheetView>
  </sheetViews>
  <sheetFormatPr defaultRowHeight="15" x14ac:dyDescent="0.25"/>
  <cols>
    <col min="2" max="2" width="39.140625" customWidth="1"/>
    <col min="4" max="4" width="11.42578125" customWidth="1"/>
    <col min="5" max="5" width="11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189</v>
      </c>
    </row>
    <row r="5" spans="1:5" x14ac:dyDescent="0.25">
      <c r="A5" s="501"/>
      <c r="B5" s="501"/>
      <c r="C5" s="501"/>
      <c r="D5" s="397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111</v>
      </c>
      <c r="C9" s="9"/>
      <c r="D9" s="10">
        <v>-26390.959999999999</v>
      </c>
      <c r="E9" s="11"/>
    </row>
    <row r="10" spans="1:5" x14ac:dyDescent="0.25">
      <c r="A10" s="9"/>
      <c r="B10" s="12" t="s">
        <v>112</v>
      </c>
      <c r="C10" s="9"/>
      <c r="D10" s="10">
        <v>19492.66</v>
      </c>
      <c r="E10" s="11"/>
    </row>
    <row r="11" spans="1:5" x14ac:dyDescent="0.25">
      <c r="A11" s="13"/>
      <c r="B11" s="14" t="s">
        <v>9</v>
      </c>
      <c r="C11" s="13" t="s">
        <v>10</v>
      </c>
      <c r="D11" s="13">
        <v>1287.74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727.95</v>
      </c>
      <c r="E12" s="13"/>
    </row>
    <row r="13" spans="1:5" x14ac:dyDescent="0.25">
      <c r="A13" s="13"/>
      <c r="B13" s="15" t="s">
        <v>12</v>
      </c>
      <c r="C13" s="13" t="s">
        <v>13</v>
      </c>
      <c r="D13" s="19">
        <v>66594.350000000006</v>
      </c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51368.46</v>
      </c>
      <c r="E15" s="13"/>
    </row>
    <row r="16" spans="1:5" x14ac:dyDescent="0.25">
      <c r="A16" s="13">
        <v>2</v>
      </c>
      <c r="B16" s="13" t="s">
        <v>16</v>
      </c>
      <c r="C16" s="13"/>
      <c r="D16" s="13">
        <v>15397.02</v>
      </c>
      <c r="E16" s="13"/>
    </row>
    <row r="17" spans="1:5" ht="15.75" x14ac:dyDescent="0.25">
      <c r="A17" s="13"/>
      <c r="B17" s="16" t="s">
        <v>17</v>
      </c>
      <c r="C17" s="13"/>
      <c r="D17" s="19">
        <f>D15+D16</f>
        <v>66765.48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D21+D23</f>
        <v>12260.53</v>
      </c>
      <c r="E20" s="26">
        <f>E21</f>
        <v>2383.6060600000001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</f>
        <v>11800.03</v>
      </c>
      <c r="E21" s="26">
        <f>E22</f>
        <v>2383.6060600000001</v>
      </c>
    </row>
    <row r="22" spans="1:5" x14ac:dyDescent="0.25">
      <c r="A22" s="20"/>
      <c r="B22" s="20" t="s">
        <v>23</v>
      </c>
      <c r="C22" s="20"/>
      <c r="D22" s="20">
        <v>11800.03</v>
      </c>
      <c r="E22" s="28">
        <f>D22*20.2%</f>
        <v>2383.6060600000001</v>
      </c>
    </row>
    <row r="23" spans="1:5" x14ac:dyDescent="0.25">
      <c r="A23" s="20">
        <v>2</v>
      </c>
      <c r="B23" s="27" t="s">
        <v>26</v>
      </c>
      <c r="C23" s="13"/>
      <c r="D23" s="13">
        <f>5.65+454.85</f>
        <v>460.5</v>
      </c>
      <c r="E23" s="28"/>
    </row>
    <row r="24" spans="1:5" x14ac:dyDescent="0.25">
      <c r="A24" s="24" t="s">
        <v>27</v>
      </c>
      <c r="B24" s="30" t="s">
        <v>28</v>
      </c>
      <c r="C24" s="20"/>
      <c r="D24" s="22">
        <f>D25+D26</f>
        <v>12099.15</v>
      </c>
      <c r="E24" s="26">
        <f>E25</f>
        <v>2411.9830199999997</v>
      </c>
    </row>
    <row r="25" spans="1:5" x14ac:dyDescent="0.25">
      <c r="A25" s="20">
        <v>1</v>
      </c>
      <c r="B25" s="31" t="s">
        <v>229</v>
      </c>
      <c r="C25" s="20"/>
      <c r="D25" s="31">
        <v>11940.51</v>
      </c>
      <c r="E25" s="28">
        <f>D25*20.2%</f>
        <v>2411.9830199999997</v>
      </c>
    </row>
    <row r="26" spans="1:5" x14ac:dyDescent="0.25">
      <c r="A26" s="20">
        <v>2</v>
      </c>
      <c r="B26" s="31" t="s">
        <v>26</v>
      </c>
      <c r="C26" s="20"/>
      <c r="D26" s="31">
        <f>158.64</f>
        <v>158.63999999999999</v>
      </c>
      <c r="E26" s="20"/>
    </row>
    <row r="27" spans="1:5" x14ac:dyDescent="0.25">
      <c r="A27" s="24" t="s">
        <v>29</v>
      </c>
      <c r="B27" s="22" t="s">
        <v>30</v>
      </c>
      <c r="C27" s="20"/>
      <c r="D27" s="26">
        <f>D28+D29+D30+D31+D32</f>
        <v>7608.4740000000002</v>
      </c>
      <c r="E27" s="20"/>
    </row>
    <row r="28" spans="1:5" x14ac:dyDescent="0.25">
      <c r="A28" s="20"/>
      <c r="B28" s="20" t="s">
        <v>31</v>
      </c>
      <c r="C28" s="20"/>
      <c r="D28" s="28">
        <f>D17*5%</f>
        <v>3338.2739999999999</v>
      </c>
      <c r="E28" s="20"/>
    </row>
    <row r="29" spans="1:5" x14ac:dyDescent="0.25">
      <c r="A29" s="20"/>
      <c r="B29" s="20" t="s">
        <v>33</v>
      </c>
      <c r="C29" s="20"/>
      <c r="D29" s="28">
        <v>1739.45</v>
      </c>
      <c r="E29" s="20"/>
    </row>
    <row r="30" spans="1:5" x14ac:dyDescent="0.25">
      <c r="A30" s="20"/>
      <c r="B30" s="27" t="s">
        <v>35</v>
      </c>
      <c r="C30" s="20"/>
      <c r="D30" s="20">
        <v>1184.72</v>
      </c>
      <c r="E30" s="20"/>
    </row>
    <row r="31" spans="1:5" x14ac:dyDescent="0.25">
      <c r="A31" s="20"/>
      <c r="B31" s="27" t="s">
        <v>217</v>
      </c>
      <c r="C31" s="20"/>
      <c r="D31" s="20">
        <v>516</v>
      </c>
      <c r="E31" s="20"/>
    </row>
    <row r="32" spans="1:5" x14ac:dyDescent="0.25">
      <c r="A32" s="20"/>
      <c r="B32" s="31" t="s">
        <v>37</v>
      </c>
      <c r="C32" s="20"/>
      <c r="D32" s="20">
        <v>830.03</v>
      </c>
      <c r="E32" s="20"/>
    </row>
    <row r="33" spans="1:5" x14ac:dyDescent="0.25">
      <c r="A33" s="73" t="s">
        <v>82</v>
      </c>
      <c r="B33" s="22" t="s">
        <v>38</v>
      </c>
      <c r="C33" s="20"/>
      <c r="D33" s="26">
        <v>11218.4</v>
      </c>
      <c r="E33" s="26"/>
    </row>
    <row r="34" spans="1:5" x14ac:dyDescent="0.25">
      <c r="A34" s="73" t="s">
        <v>83</v>
      </c>
      <c r="B34" s="22" t="s">
        <v>41</v>
      </c>
      <c r="C34" s="20"/>
      <c r="D34" s="26">
        <f>D20+E20+D24+E24+D27+D33+E33</f>
        <v>47982.143080000002</v>
      </c>
      <c r="E34" s="20"/>
    </row>
    <row r="35" spans="1:5" x14ac:dyDescent="0.25">
      <c r="A35" s="73" t="s">
        <v>84</v>
      </c>
      <c r="B35" s="20" t="s">
        <v>42</v>
      </c>
      <c r="C35" s="20"/>
      <c r="D35" s="26">
        <f>D17*6%</f>
        <v>4005.9287999999997</v>
      </c>
      <c r="E35" s="20"/>
    </row>
    <row r="36" spans="1:5" x14ac:dyDescent="0.25">
      <c r="A36" s="73" t="s">
        <v>85</v>
      </c>
      <c r="B36" s="22" t="s">
        <v>43</v>
      </c>
      <c r="C36" s="20"/>
      <c r="D36" s="26">
        <f>D34+D35</f>
        <v>51988.071880000003</v>
      </c>
      <c r="E36" s="20"/>
    </row>
    <row r="37" spans="1:5" x14ac:dyDescent="0.25">
      <c r="A37" s="73"/>
      <c r="B37" s="20"/>
      <c r="C37" s="20"/>
      <c r="D37" s="20"/>
      <c r="E37" s="20"/>
    </row>
    <row r="38" spans="1:5" x14ac:dyDescent="0.25">
      <c r="A38" s="73" t="s">
        <v>86</v>
      </c>
      <c r="B38" s="22" t="s">
        <v>135</v>
      </c>
      <c r="C38" s="20"/>
      <c r="D38" s="26">
        <f>D15-D36+1601.29</f>
        <v>981.67811999999594</v>
      </c>
      <c r="E38" s="20"/>
    </row>
    <row r="39" spans="1:5" x14ac:dyDescent="0.25">
      <c r="A39" s="73" t="s">
        <v>87</v>
      </c>
      <c r="B39" s="22" t="s">
        <v>44</v>
      </c>
      <c r="C39" s="20"/>
      <c r="D39" s="26">
        <f>D9+D38</f>
        <v>-25409.281880000002</v>
      </c>
      <c r="E39" s="20"/>
    </row>
    <row r="40" spans="1:5" x14ac:dyDescent="0.25">
      <c r="A40" s="34"/>
      <c r="B40" s="35" t="s">
        <v>16</v>
      </c>
      <c r="C40" s="34"/>
      <c r="D40" s="36">
        <f>D16+D10</f>
        <v>34889.68</v>
      </c>
      <c r="E40" s="34"/>
    </row>
    <row r="41" spans="1:5" x14ac:dyDescent="0.25">
      <c r="A41" s="34"/>
      <c r="B41" s="35" t="s">
        <v>226</v>
      </c>
      <c r="C41" s="34"/>
      <c r="D41" s="36">
        <f>405.58+1601.29</f>
        <v>2006.87</v>
      </c>
      <c r="E41" s="34"/>
    </row>
    <row r="42" spans="1:5" x14ac:dyDescent="0.25">
      <c r="A42" s="34"/>
      <c r="B42" s="35" t="s">
        <v>227</v>
      </c>
      <c r="C42" s="34"/>
      <c r="D42" s="36">
        <f>D39+D40-D41</f>
        <v>7473.5281199999981</v>
      </c>
      <c r="E42" s="34"/>
    </row>
    <row r="43" spans="1:5" x14ac:dyDescent="0.25">
      <c r="A43" s="34"/>
      <c r="B43" s="35"/>
      <c r="C43" s="34"/>
      <c r="D43" s="36"/>
      <c r="E43" s="34"/>
    </row>
    <row r="44" spans="1:5" x14ac:dyDescent="0.25">
      <c r="A44" s="37"/>
      <c r="B44" s="37" t="s">
        <v>45</v>
      </c>
      <c r="C44" s="37"/>
      <c r="D44" s="37" t="s">
        <v>46</v>
      </c>
      <c r="E44" s="37"/>
    </row>
    <row r="45" spans="1:5" x14ac:dyDescent="0.25">
      <c r="A45" s="37"/>
      <c r="B45" s="37" t="s">
        <v>47</v>
      </c>
      <c r="C45" s="37"/>
      <c r="D45" s="37" t="s">
        <v>48</v>
      </c>
      <c r="E45" s="37"/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0" workbookViewId="0">
      <selection activeCell="G44" sqref="G44"/>
    </sheetView>
  </sheetViews>
  <sheetFormatPr defaultRowHeight="15" x14ac:dyDescent="0.25"/>
  <cols>
    <col min="2" max="2" width="41.28515625" customWidth="1"/>
    <col min="4" max="4" width="10.570312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190</v>
      </c>
    </row>
    <row r="5" spans="1:5" x14ac:dyDescent="0.25">
      <c r="A5" s="501"/>
      <c r="B5" s="501"/>
      <c r="C5" s="501"/>
      <c r="D5" s="397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111</v>
      </c>
      <c r="C8" s="13"/>
      <c r="D8" s="429">
        <v>114034.73</v>
      </c>
      <c r="E8" s="381"/>
    </row>
    <row r="9" spans="1:5" x14ac:dyDescent="0.25">
      <c r="A9" s="9"/>
      <c r="B9" s="12" t="s">
        <v>112</v>
      </c>
      <c r="C9" s="9"/>
      <c r="D9" s="10">
        <v>-130963.9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5570.3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4485.1000000000004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445069.85</v>
      </c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335334.06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99946.45</v>
      </c>
      <c r="E15" s="13"/>
    </row>
    <row r="16" spans="1:5" x14ac:dyDescent="0.25">
      <c r="A16" s="13">
        <v>3</v>
      </c>
      <c r="B16" s="13" t="s">
        <v>192</v>
      </c>
      <c r="C16" s="13"/>
      <c r="D16" s="13">
        <v>1565</v>
      </c>
      <c r="E16" s="13"/>
    </row>
    <row r="17" spans="1:5" ht="15.75" x14ac:dyDescent="0.25">
      <c r="A17" s="13"/>
      <c r="B17" s="16" t="s">
        <v>17</v>
      </c>
      <c r="C17" s="13"/>
      <c r="D17" s="19">
        <f>D14+D15+D16</f>
        <v>436845.51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D21+D24</f>
        <v>46855.78</v>
      </c>
      <c r="E20" s="26">
        <f>E21</f>
        <v>8430.2255800000003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D22+D23</f>
        <v>43884.71</v>
      </c>
      <c r="E21" s="26">
        <f>E22+E23</f>
        <v>8430.2255800000003</v>
      </c>
    </row>
    <row r="22" spans="1:5" x14ac:dyDescent="0.25">
      <c r="A22" s="20"/>
      <c r="B22" s="20" t="s">
        <v>23</v>
      </c>
      <c r="C22" s="20"/>
      <c r="D22" s="20">
        <v>41733.79</v>
      </c>
      <c r="E22" s="28">
        <f>D22*20.2%</f>
        <v>8430.2255800000003</v>
      </c>
    </row>
    <row r="23" spans="1:5" x14ac:dyDescent="0.25">
      <c r="A23" s="20"/>
      <c r="B23" s="27" t="s">
        <v>75</v>
      </c>
      <c r="C23" s="13"/>
      <c r="D23" s="13">
        <v>2150.92</v>
      </c>
      <c r="E23" s="28"/>
    </row>
    <row r="24" spans="1:5" x14ac:dyDescent="0.25">
      <c r="A24" s="20">
        <v>2</v>
      </c>
      <c r="B24" s="27" t="s">
        <v>26</v>
      </c>
      <c r="C24" s="13"/>
      <c r="D24" s="13">
        <f>74.08+2896.99</f>
        <v>2971.0699999999997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</f>
        <v>81245</v>
      </c>
      <c r="E25" s="26">
        <f>E26</f>
        <v>16105.50848</v>
      </c>
    </row>
    <row r="26" spans="1:5" x14ac:dyDescent="0.25">
      <c r="A26" s="20">
        <v>1</v>
      </c>
      <c r="B26" s="31" t="s">
        <v>229</v>
      </c>
      <c r="C26" s="20"/>
      <c r="D26" s="31">
        <v>79730.240000000005</v>
      </c>
      <c r="E26" s="28">
        <f>D26*20.2%</f>
        <v>16105.50848</v>
      </c>
    </row>
    <row r="27" spans="1:5" x14ac:dyDescent="0.25">
      <c r="A27" s="20">
        <v>2</v>
      </c>
      <c r="B27" s="31" t="s">
        <v>26</v>
      </c>
      <c r="C27" s="20"/>
      <c r="D27" s="31">
        <f>800.22+714.54</f>
        <v>1514.76</v>
      </c>
      <c r="E27" s="20"/>
    </row>
    <row r="28" spans="1:5" x14ac:dyDescent="0.25">
      <c r="A28" s="24" t="s">
        <v>29</v>
      </c>
      <c r="B28" s="22" t="s">
        <v>30</v>
      </c>
      <c r="C28" s="20"/>
      <c r="D28" s="26">
        <f>D29+D30+D31+D32+D33+D35+D36+D34</f>
        <v>56693.775499999996</v>
      </c>
      <c r="E28" s="20"/>
    </row>
    <row r="29" spans="1:5" x14ac:dyDescent="0.25">
      <c r="A29" s="20"/>
      <c r="B29" s="20" t="s">
        <v>31</v>
      </c>
      <c r="C29" s="20"/>
      <c r="D29" s="28">
        <f>D17*5%</f>
        <v>21842.275500000003</v>
      </c>
      <c r="E29" s="20"/>
    </row>
    <row r="30" spans="1:5" x14ac:dyDescent="0.25">
      <c r="A30" s="20"/>
      <c r="B30" s="20" t="s">
        <v>57</v>
      </c>
      <c r="C30" s="20"/>
      <c r="D30" s="20">
        <v>1383.26</v>
      </c>
      <c r="E30" s="20"/>
    </row>
    <row r="31" spans="1:5" x14ac:dyDescent="0.25">
      <c r="A31" s="20"/>
      <c r="B31" s="20" t="s">
        <v>33</v>
      </c>
      <c r="C31" s="20"/>
      <c r="D31" s="28">
        <v>11654.39</v>
      </c>
      <c r="E31" s="20"/>
    </row>
    <row r="32" spans="1:5" x14ac:dyDescent="0.25">
      <c r="A32" s="20"/>
      <c r="B32" s="13" t="s">
        <v>32</v>
      </c>
      <c r="C32" s="13"/>
      <c r="D32" s="13">
        <v>6286</v>
      </c>
      <c r="E32" s="20"/>
    </row>
    <row r="33" spans="1:5" x14ac:dyDescent="0.25">
      <c r="A33" s="20"/>
      <c r="B33" s="27" t="s">
        <v>35</v>
      </c>
      <c r="C33" s="20"/>
      <c r="D33" s="20">
        <v>7343.72</v>
      </c>
      <c r="E33" s="20"/>
    </row>
    <row r="34" spans="1:5" x14ac:dyDescent="0.25">
      <c r="A34" s="20"/>
      <c r="B34" s="31" t="s">
        <v>131</v>
      </c>
      <c r="C34" s="20"/>
      <c r="D34" s="20">
        <v>344</v>
      </c>
      <c r="E34" s="20"/>
    </row>
    <row r="35" spans="1:5" x14ac:dyDescent="0.25">
      <c r="A35" s="20"/>
      <c r="B35" s="27" t="s">
        <v>61</v>
      </c>
      <c r="C35" s="20"/>
      <c r="D35" s="20">
        <v>2369.42</v>
      </c>
      <c r="E35" s="20"/>
    </row>
    <row r="36" spans="1:5" x14ac:dyDescent="0.25">
      <c r="A36" s="20"/>
      <c r="B36" s="31" t="s">
        <v>37</v>
      </c>
      <c r="C36" s="20"/>
      <c r="D36" s="20">
        <v>5470.71</v>
      </c>
      <c r="E36" s="20"/>
    </row>
    <row r="37" spans="1:5" x14ac:dyDescent="0.25">
      <c r="A37" s="73" t="s">
        <v>82</v>
      </c>
      <c r="B37" s="22" t="s">
        <v>228</v>
      </c>
      <c r="C37" s="20"/>
      <c r="D37" s="26">
        <v>78195.47</v>
      </c>
      <c r="E37" s="26"/>
    </row>
    <row r="38" spans="1:5" x14ac:dyDescent="0.25">
      <c r="A38" s="73" t="s">
        <v>83</v>
      </c>
      <c r="B38" s="22" t="s">
        <v>41</v>
      </c>
      <c r="C38" s="20"/>
      <c r="D38" s="26">
        <f>D20+E20+D25+E25+D28+D37</f>
        <v>287525.75955999998</v>
      </c>
      <c r="E38" s="20"/>
    </row>
    <row r="39" spans="1:5" x14ac:dyDescent="0.25">
      <c r="A39" s="73" t="s">
        <v>84</v>
      </c>
      <c r="B39" s="20" t="s">
        <v>42</v>
      </c>
      <c r="C39" s="20"/>
      <c r="D39" s="26">
        <f>D17*6%</f>
        <v>26210.730599999999</v>
      </c>
      <c r="E39" s="20"/>
    </row>
    <row r="40" spans="1:5" x14ac:dyDescent="0.25">
      <c r="A40" s="73" t="s">
        <v>85</v>
      </c>
      <c r="B40" s="22" t="s">
        <v>43</v>
      </c>
      <c r="C40" s="20"/>
      <c r="D40" s="26">
        <f>D38+D39</f>
        <v>313736.49015999999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86</v>
      </c>
      <c r="B42" s="22" t="s">
        <v>135</v>
      </c>
      <c r="C42" s="20"/>
      <c r="D42" s="26">
        <f>D14-D40</f>
        <v>21597.569840000011</v>
      </c>
      <c r="E42" s="20"/>
    </row>
    <row r="43" spans="1:5" x14ac:dyDescent="0.25">
      <c r="A43" s="73" t="s">
        <v>87</v>
      </c>
      <c r="B43" s="22" t="s">
        <v>44</v>
      </c>
      <c r="C43" s="20"/>
      <c r="D43" s="26">
        <f>D8+D42</f>
        <v>135632.29983999999</v>
      </c>
      <c r="E43" s="20"/>
    </row>
    <row r="44" spans="1:5" x14ac:dyDescent="0.25">
      <c r="A44" s="34"/>
      <c r="B44" s="35" t="s">
        <v>16</v>
      </c>
      <c r="C44" s="34"/>
      <c r="D44" s="36">
        <f>D9+D15</f>
        <v>-31017.449999999997</v>
      </c>
      <c r="E44" s="34"/>
    </row>
    <row r="45" spans="1:5" x14ac:dyDescent="0.25">
      <c r="A45" s="34"/>
      <c r="B45" s="35"/>
      <c r="C45" s="34"/>
      <c r="D45" s="36"/>
      <c r="E45" s="34"/>
    </row>
    <row r="46" spans="1:5" x14ac:dyDescent="0.25">
      <c r="A46" s="37"/>
      <c r="B46" s="37" t="s">
        <v>45</v>
      </c>
      <c r="C46" s="37"/>
      <c r="D46" s="37" t="s">
        <v>46</v>
      </c>
      <c r="E46" s="37"/>
    </row>
    <row r="47" spans="1:5" x14ac:dyDescent="0.25">
      <c r="A47" s="37"/>
      <c r="B47" s="37" t="s">
        <v>47</v>
      </c>
      <c r="C47" s="37"/>
      <c r="D47" s="37" t="s">
        <v>48</v>
      </c>
      <c r="E47" s="37"/>
    </row>
  </sheetData>
  <mergeCells count="3">
    <mergeCell ref="D6:E6"/>
    <mergeCell ref="A5:C5"/>
    <mergeCell ref="D7:E7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0" workbookViewId="0">
      <selection activeCell="G30" sqref="G30:H44"/>
    </sheetView>
  </sheetViews>
  <sheetFormatPr defaultRowHeight="15" x14ac:dyDescent="0.25"/>
  <cols>
    <col min="2" max="2" width="40.28515625" customWidth="1"/>
    <col min="4" max="4" width="10.85546875" customWidth="1"/>
    <col min="5" max="5" width="10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191</v>
      </c>
    </row>
    <row r="5" spans="1:5" x14ac:dyDescent="0.25">
      <c r="A5" s="501"/>
      <c r="B5" s="501"/>
      <c r="C5" s="501"/>
      <c r="D5" s="397"/>
      <c r="E5" s="58"/>
    </row>
    <row r="6" spans="1:5" x14ac:dyDescent="0.25">
      <c r="A6" s="5"/>
      <c r="B6" s="5"/>
      <c r="C6" s="5"/>
      <c r="D6" s="3"/>
      <c r="E6" s="59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7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-43773.54</v>
      </c>
      <c r="E10" s="11"/>
    </row>
    <row r="11" spans="1:5" x14ac:dyDescent="0.25">
      <c r="A11" s="13"/>
      <c r="B11" s="14" t="s">
        <v>9</v>
      </c>
      <c r="C11" s="13" t="s">
        <v>10</v>
      </c>
      <c r="D11" s="13">
        <v>851.24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443</v>
      </c>
      <c r="E12" s="13"/>
    </row>
    <row r="13" spans="1:5" x14ac:dyDescent="0.25">
      <c r="A13" s="13"/>
      <c r="B13" s="15" t="s">
        <v>12</v>
      </c>
      <c r="C13" s="13" t="s">
        <v>13</v>
      </c>
      <c r="D13" s="19">
        <v>26561.15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3">
        <v>23465.25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17</v>
      </c>
      <c r="C18" s="13"/>
      <c r="D18" s="19">
        <f>D16</f>
        <v>23465.25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2">
        <f>D22+D24</f>
        <v>12102.35</v>
      </c>
      <c r="E21" s="26">
        <f>E22</f>
        <v>2422.0325199999997</v>
      </c>
    </row>
    <row r="22" spans="1:5" x14ac:dyDescent="0.25">
      <c r="A22" s="20">
        <v>1</v>
      </c>
      <c r="B22" s="22" t="s">
        <v>22</v>
      </c>
      <c r="C22" s="27" t="s">
        <v>13</v>
      </c>
      <c r="D22" s="22">
        <f>D23</f>
        <v>11990.26</v>
      </c>
      <c r="E22" s="26">
        <f>E23</f>
        <v>2422.0325199999997</v>
      </c>
    </row>
    <row r="23" spans="1:5" x14ac:dyDescent="0.25">
      <c r="A23" s="20"/>
      <c r="B23" s="20" t="s">
        <v>23</v>
      </c>
      <c r="C23" s="20"/>
      <c r="D23" s="20">
        <v>11990.26</v>
      </c>
      <c r="E23" s="28">
        <f>D23*20.2%</f>
        <v>2422.0325199999997</v>
      </c>
    </row>
    <row r="24" spans="1:5" x14ac:dyDescent="0.25">
      <c r="A24" s="20">
        <v>2</v>
      </c>
      <c r="B24" s="27" t="s">
        <v>26</v>
      </c>
      <c r="C24" s="20"/>
      <c r="D24" s="20">
        <f>3.46+108.63</f>
        <v>112.08999999999999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</f>
        <v>7315.7</v>
      </c>
      <c r="E25" s="26">
        <f>E26</f>
        <v>1477.7713999999999</v>
      </c>
    </row>
    <row r="26" spans="1:5" x14ac:dyDescent="0.25">
      <c r="A26" s="20">
        <v>1</v>
      </c>
      <c r="B26" s="31" t="s">
        <v>229</v>
      </c>
      <c r="C26" s="20"/>
      <c r="D26" s="31">
        <v>7315.7</v>
      </c>
      <c r="E26" s="28">
        <f>D26*20.2%</f>
        <v>1477.7713999999999</v>
      </c>
    </row>
    <row r="27" spans="1:5" x14ac:dyDescent="0.25">
      <c r="A27" s="20">
        <v>2</v>
      </c>
      <c r="B27" s="31" t="s">
        <v>26</v>
      </c>
      <c r="C27" s="20"/>
      <c r="D27" s="31">
        <v>0</v>
      </c>
      <c r="E27" s="20"/>
    </row>
    <row r="28" spans="1:5" x14ac:dyDescent="0.25">
      <c r="A28" s="24" t="s">
        <v>29</v>
      </c>
      <c r="B28" s="22" t="s">
        <v>30</v>
      </c>
      <c r="C28" s="20"/>
      <c r="D28" s="26">
        <f>D29+D30+D31+D32</f>
        <v>3473.3425000000002</v>
      </c>
      <c r="E28" s="20"/>
    </row>
    <row r="29" spans="1:5" x14ac:dyDescent="0.25">
      <c r="A29" s="20"/>
      <c r="B29" s="20" t="s">
        <v>31</v>
      </c>
      <c r="C29" s="20"/>
      <c r="D29" s="28">
        <f>D18*5%</f>
        <v>1173.2625</v>
      </c>
      <c r="E29" s="20"/>
    </row>
    <row r="30" spans="1:5" x14ac:dyDescent="0.25">
      <c r="A30" s="20"/>
      <c r="B30" s="20" t="s">
        <v>33</v>
      </c>
      <c r="C30" s="20"/>
      <c r="D30" s="28">
        <v>1065.72</v>
      </c>
      <c r="E30" s="20"/>
    </row>
    <row r="31" spans="1:5" x14ac:dyDescent="0.25">
      <c r="A31" s="20"/>
      <c r="B31" s="27" t="s">
        <v>35</v>
      </c>
      <c r="C31" s="20"/>
      <c r="D31" s="20">
        <v>725.82</v>
      </c>
      <c r="E31" s="20"/>
    </row>
    <row r="32" spans="1:5" x14ac:dyDescent="0.25">
      <c r="A32" s="20"/>
      <c r="B32" s="31" t="s">
        <v>37</v>
      </c>
      <c r="C32" s="20"/>
      <c r="D32" s="20">
        <v>508.54</v>
      </c>
      <c r="E32" s="20"/>
    </row>
    <row r="33" spans="1:5" x14ac:dyDescent="0.25">
      <c r="A33" s="73" t="s">
        <v>82</v>
      </c>
      <c r="B33" s="22" t="s">
        <v>38</v>
      </c>
      <c r="C33" s="20"/>
      <c r="D33" s="26">
        <v>6873.29</v>
      </c>
      <c r="E33" s="26"/>
    </row>
    <row r="34" spans="1:5" x14ac:dyDescent="0.25">
      <c r="A34" s="73" t="s">
        <v>83</v>
      </c>
      <c r="B34" s="22" t="s">
        <v>41</v>
      </c>
      <c r="C34" s="20"/>
      <c r="D34" s="26">
        <f>D21+E21+D25+E25+D28+D33</f>
        <v>33664.486420000001</v>
      </c>
      <c r="E34" s="20"/>
    </row>
    <row r="35" spans="1:5" x14ac:dyDescent="0.25">
      <c r="A35" s="73" t="s">
        <v>84</v>
      </c>
      <c r="B35" s="20" t="s">
        <v>42</v>
      </c>
      <c r="C35" s="20"/>
      <c r="D35" s="26">
        <f>D18*6%</f>
        <v>1407.915</v>
      </c>
      <c r="E35" s="20"/>
    </row>
    <row r="36" spans="1:5" x14ac:dyDescent="0.25">
      <c r="A36" s="73" t="s">
        <v>85</v>
      </c>
      <c r="B36" s="22" t="s">
        <v>43</v>
      </c>
      <c r="C36" s="20"/>
      <c r="D36" s="26">
        <f>D34+D35</f>
        <v>35072.401420000002</v>
      </c>
      <c r="E36" s="20"/>
    </row>
    <row r="37" spans="1:5" x14ac:dyDescent="0.25">
      <c r="A37" s="73"/>
      <c r="B37" s="20"/>
      <c r="C37" s="20"/>
      <c r="D37" s="20"/>
      <c r="E37" s="20"/>
    </row>
    <row r="38" spans="1:5" x14ac:dyDescent="0.25">
      <c r="A38" s="73" t="s">
        <v>86</v>
      </c>
      <c r="B38" s="22" t="s">
        <v>135</v>
      </c>
      <c r="C38" s="20"/>
      <c r="D38" s="26">
        <f>D18-D36</f>
        <v>-11607.151420000002</v>
      </c>
      <c r="E38" s="20"/>
    </row>
    <row r="39" spans="1:5" x14ac:dyDescent="0.25">
      <c r="A39" s="73" t="s">
        <v>87</v>
      </c>
      <c r="B39" s="22" t="s">
        <v>44</v>
      </c>
      <c r="C39" s="20"/>
      <c r="D39" s="26">
        <f>D10+D38</f>
        <v>-55380.691420000003</v>
      </c>
      <c r="E39" s="20"/>
    </row>
    <row r="40" spans="1:5" x14ac:dyDescent="0.25">
      <c r="A40" s="447"/>
      <c r="B40" s="35"/>
      <c r="C40" s="34"/>
      <c r="D40" s="36"/>
      <c r="E40" s="34"/>
    </row>
    <row r="41" spans="1:5" x14ac:dyDescent="0.25">
      <c r="A41" s="37"/>
      <c r="B41" s="37" t="s">
        <v>45</v>
      </c>
      <c r="C41" s="37"/>
      <c r="D41" s="37" t="s">
        <v>46</v>
      </c>
      <c r="E41" s="37"/>
    </row>
    <row r="42" spans="1:5" x14ac:dyDescent="0.25">
      <c r="A42" s="37"/>
      <c r="B42" s="37" t="s">
        <v>47</v>
      </c>
      <c r="C42" s="37"/>
      <c r="D42" s="37" t="s">
        <v>48</v>
      </c>
      <c r="E42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8" workbookViewId="0">
      <selection activeCell="G32" sqref="G32:I48"/>
    </sheetView>
  </sheetViews>
  <sheetFormatPr defaultRowHeight="15" x14ac:dyDescent="0.25"/>
  <cols>
    <col min="2" max="2" width="40.7109375" customWidth="1"/>
    <col min="4" max="4" width="11" customWidth="1"/>
    <col min="5" max="5" width="10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193</v>
      </c>
    </row>
    <row r="5" spans="1:5" x14ac:dyDescent="0.25">
      <c r="B5" t="s">
        <v>2</v>
      </c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111</v>
      </c>
      <c r="C8" s="13"/>
      <c r="D8" s="429">
        <v>-148684.92000000001</v>
      </c>
      <c r="E8" s="381"/>
    </row>
    <row r="9" spans="1:5" x14ac:dyDescent="0.25">
      <c r="A9" s="9"/>
      <c r="B9" s="12" t="s">
        <v>112</v>
      </c>
      <c r="C9" s="9"/>
      <c r="D9" s="10">
        <v>64229.919999999998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3980.8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2528.5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269036.82</v>
      </c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214449.57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58266.89</v>
      </c>
      <c r="E15" s="13"/>
    </row>
    <row r="16" spans="1:5" x14ac:dyDescent="0.25">
      <c r="A16" s="13">
        <v>3</v>
      </c>
      <c r="B16" s="13" t="s">
        <v>92</v>
      </c>
      <c r="C16" s="13"/>
      <c r="D16" s="13">
        <v>0</v>
      </c>
      <c r="E16" s="13"/>
    </row>
    <row r="17" spans="1:5" ht="15.75" x14ac:dyDescent="0.25">
      <c r="A17" s="13"/>
      <c r="B17" s="16" t="s">
        <v>17</v>
      </c>
      <c r="C17" s="13"/>
      <c r="D17" s="19">
        <f>D14+D15+D16</f>
        <v>272716.46000000002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D21+D25</f>
        <v>65400.280000000006</v>
      </c>
      <c r="E20" s="26">
        <f>E21</f>
        <v>12449.617539999999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61631.770000000004</v>
      </c>
      <c r="E21" s="26">
        <f>E22+E23+E24</f>
        <v>12449.617539999999</v>
      </c>
    </row>
    <row r="22" spans="1:5" x14ac:dyDescent="0.25">
      <c r="A22" s="20"/>
      <c r="B22" s="20" t="s">
        <v>23</v>
      </c>
      <c r="C22" s="20"/>
      <c r="D22" s="20">
        <v>32154.79</v>
      </c>
      <c r="E22" s="28">
        <f>D22*20.2%</f>
        <v>6495.2675799999997</v>
      </c>
    </row>
    <row r="23" spans="1:5" x14ac:dyDescent="0.25">
      <c r="A23" s="20"/>
      <c r="B23" s="20" t="s">
        <v>24</v>
      </c>
      <c r="C23" s="20"/>
      <c r="D23" s="29">
        <v>29476.98</v>
      </c>
      <c r="E23" s="28">
        <f t="shared" ref="E23:E24" si="0">D23*20.2%</f>
        <v>5954.3499599999996</v>
      </c>
    </row>
    <row r="24" spans="1:5" x14ac:dyDescent="0.25">
      <c r="A24" s="20"/>
      <c r="B24" s="27" t="s">
        <v>75</v>
      </c>
      <c r="C24" s="13"/>
      <c r="D24" s="13">
        <v>0</v>
      </c>
      <c r="E24" s="28">
        <f t="shared" si="0"/>
        <v>0</v>
      </c>
    </row>
    <row r="25" spans="1:5" x14ac:dyDescent="0.25">
      <c r="A25" s="20">
        <v>2</v>
      </c>
      <c r="B25" s="27" t="s">
        <v>26</v>
      </c>
      <c r="C25" s="20"/>
      <c r="D25" s="20">
        <f>41.77+3726.74</f>
        <v>3768.5099999999998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</f>
        <v>45609.310000000005</v>
      </c>
      <c r="E26" s="26">
        <f>E27</f>
        <v>9079.5707399999992</v>
      </c>
    </row>
    <row r="27" spans="1:5" x14ac:dyDescent="0.25">
      <c r="A27" s="20">
        <v>1</v>
      </c>
      <c r="B27" s="31" t="s">
        <v>229</v>
      </c>
      <c r="C27" s="20"/>
      <c r="D27" s="31">
        <v>44948.37</v>
      </c>
      <c r="E27" s="28">
        <f>D27*20.2%</f>
        <v>9079.5707399999992</v>
      </c>
    </row>
    <row r="28" spans="1:5" x14ac:dyDescent="0.25">
      <c r="A28" s="20">
        <v>2</v>
      </c>
      <c r="B28" s="31" t="s">
        <v>26</v>
      </c>
      <c r="C28" s="20"/>
      <c r="D28" s="31">
        <v>660.94</v>
      </c>
      <c r="E28" s="20"/>
    </row>
    <row r="29" spans="1:5" x14ac:dyDescent="0.25">
      <c r="A29" s="24" t="s">
        <v>29</v>
      </c>
      <c r="B29" s="22" t="s">
        <v>30</v>
      </c>
      <c r="C29" s="20"/>
      <c r="D29" s="26">
        <f>D30+D31+D32+D33+D34+D35+D36+D37+D38</f>
        <v>34358.413</v>
      </c>
      <c r="E29" s="20"/>
    </row>
    <row r="30" spans="1:5" x14ac:dyDescent="0.25">
      <c r="A30" s="20"/>
      <c r="B30" s="20" t="s">
        <v>31</v>
      </c>
      <c r="C30" s="20"/>
      <c r="D30" s="28">
        <f>D17*5%</f>
        <v>13635.823000000002</v>
      </c>
      <c r="E30" s="20"/>
    </row>
    <row r="31" spans="1:5" x14ac:dyDescent="0.25">
      <c r="A31" s="20"/>
      <c r="B31" s="20" t="s">
        <v>57</v>
      </c>
      <c r="C31" s="20"/>
      <c r="D31" s="20">
        <v>780.38</v>
      </c>
      <c r="E31" s="20"/>
    </row>
    <row r="32" spans="1:5" x14ac:dyDescent="0.25">
      <c r="A32" s="20"/>
      <c r="B32" s="31" t="s">
        <v>32</v>
      </c>
      <c r="C32" s="20"/>
      <c r="D32" s="20">
        <v>1503</v>
      </c>
      <c r="E32" s="20"/>
    </row>
    <row r="33" spans="1:5" x14ac:dyDescent="0.25">
      <c r="A33" s="20"/>
      <c r="B33" s="20" t="s">
        <v>33</v>
      </c>
      <c r="C33" s="20"/>
      <c r="D33" s="28">
        <v>6570.23</v>
      </c>
      <c r="E33" s="20"/>
    </row>
    <row r="34" spans="1:5" x14ac:dyDescent="0.25">
      <c r="A34" s="20"/>
      <c r="B34" s="31" t="s">
        <v>35</v>
      </c>
      <c r="C34" s="20"/>
      <c r="D34" s="20">
        <v>4140.84</v>
      </c>
      <c r="E34" s="20"/>
    </row>
    <row r="35" spans="1:5" x14ac:dyDescent="0.25">
      <c r="A35" s="20"/>
      <c r="B35" s="27" t="s">
        <v>61</v>
      </c>
      <c r="C35" s="20"/>
      <c r="D35" s="20">
        <v>2500</v>
      </c>
      <c r="E35" s="20"/>
    </row>
    <row r="36" spans="1:5" x14ac:dyDescent="0.25">
      <c r="A36" s="20"/>
      <c r="B36" s="27" t="s">
        <v>208</v>
      </c>
      <c r="C36" s="20"/>
      <c r="D36" s="20">
        <v>1800</v>
      </c>
      <c r="E36" s="20"/>
    </row>
    <row r="37" spans="1:5" x14ac:dyDescent="0.25">
      <c r="A37" s="20"/>
      <c r="B37" s="31" t="s">
        <v>131</v>
      </c>
      <c r="C37" s="20"/>
      <c r="D37" s="20">
        <v>344</v>
      </c>
      <c r="E37" s="20"/>
    </row>
    <row r="38" spans="1:5" x14ac:dyDescent="0.25">
      <c r="A38" s="20"/>
      <c r="B38" s="20" t="s">
        <v>37</v>
      </c>
      <c r="C38" s="20"/>
      <c r="D38" s="20">
        <v>3084.14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42391.85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D20+E20+D26+E26+D29+D39+E39</f>
        <v>209289.04128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D17*6%</f>
        <v>16362.9876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225652.02888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D14-D42</f>
        <v>-11202.458879999991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D8+D44+6059.76</f>
        <v>-153827.61887999999</v>
      </c>
      <c r="E45" s="20"/>
    </row>
    <row r="46" spans="1:5" x14ac:dyDescent="0.25">
      <c r="A46" s="34"/>
      <c r="B46" s="35" t="s">
        <v>16</v>
      </c>
      <c r="C46" s="34"/>
      <c r="D46" s="36">
        <f>D9+D15-6059.76</f>
        <v>116437.05</v>
      </c>
      <c r="E46" s="34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45</v>
      </c>
      <c r="C48" s="37"/>
      <c r="D48" s="37" t="s">
        <v>46</v>
      </c>
      <c r="E48" s="37"/>
    </row>
    <row r="49" spans="1:5" x14ac:dyDescent="0.25">
      <c r="A49" s="37"/>
      <c r="B49" s="37" t="s">
        <v>47</v>
      </c>
      <c r="C49" s="37"/>
      <c r="D49" s="37" t="s">
        <v>48</v>
      </c>
      <c r="E49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6" workbookViewId="0">
      <selection activeCell="F31" sqref="F31:J46"/>
    </sheetView>
  </sheetViews>
  <sheetFormatPr defaultRowHeight="15" x14ac:dyDescent="0.25"/>
  <cols>
    <col min="2" max="2" width="42.42578125" customWidth="1"/>
    <col min="4" max="4" width="11" customWidth="1"/>
    <col min="5" max="5" width="11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194</v>
      </c>
    </row>
    <row r="5" spans="1:5" x14ac:dyDescent="0.25">
      <c r="B5" t="s">
        <v>2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7</v>
      </c>
      <c r="D8" s="504" t="s">
        <v>152</v>
      </c>
      <c r="E8" s="505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8</v>
      </c>
      <c r="C10" s="9"/>
      <c r="D10" s="10">
        <v>-159646.39000000001</v>
      </c>
      <c r="E10" s="11"/>
    </row>
    <row r="11" spans="1:5" x14ac:dyDescent="0.25">
      <c r="A11" s="13"/>
      <c r="B11" s="14" t="s">
        <v>9</v>
      </c>
      <c r="C11" s="13" t="s">
        <v>10</v>
      </c>
      <c r="D11" s="13">
        <v>3741.15</v>
      </c>
      <c r="E11" s="13"/>
    </row>
    <row r="12" spans="1:5" x14ac:dyDescent="0.25">
      <c r="A12" s="13"/>
      <c r="B12" s="14" t="s">
        <v>11</v>
      </c>
      <c r="C12" s="13" t="s">
        <v>10</v>
      </c>
      <c r="D12" s="13">
        <v>2509.41</v>
      </c>
      <c r="E12" s="13"/>
    </row>
    <row r="13" spans="1:5" x14ac:dyDescent="0.25">
      <c r="A13" s="13"/>
      <c r="B13" s="15" t="s">
        <v>12</v>
      </c>
      <c r="C13" s="13" t="s">
        <v>13</v>
      </c>
      <c r="D13" s="19">
        <v>210116.7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14</v>
      </c>
      <c r="C15" s="13"/>
      <c r="D15" s="13"/>
      <c r="E15" s="13"/>
    </row>
    <row r="16" spans="1:5" x14ac:dyDescent="0.25">
      <c r="A16" s="13">
        <v>1</v>
      </c>
      <c r="B16" s="13" t="s">
        <v>15</v>
      </c>
      <c r="C16" s="13" t="s">
        <v>13</v>
      </c>
      <c r="D16" s="17">
        <v>207216.6</v>
      </c>
      <c r="E16" s="13"/>
    </row>
    <row r="17" spans="1:5" x14ac:dyDescent="0.25">
      <c r="A17" s="13">
        <v>2</v>
      </c>
      <c r="B17" s="13" t="s">
        <v>92</v>
      </c>
      <c r="C17" s="13"/>
      <c r="D17" s="17">
        <v>0</v>
      </c>
      <c r="E17" s="13"/>
    </row>
    <row r="18" spans="1:5" ht="15.75" x14ac:dyDescent="0.25">
      <c r="A18" s="13"/>
      <c r="B18" s="16" t="s">
        <v>17</v>
      </c>
      <c r="C18" s="13"/>
      <c r="D18" s="18">
        <f>D16+D17</f>
        <v>207216.6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D22+D27</f>
        <v>87139.75</v>
      </c>
      <c r="E21" s="26">
        <f>E22</f>
        <v>16651.358939999998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D23+D24+D26+D25</f>
        <v>82432.47</v>
      </c>
      <c r="E22" s="26">
        <f>E23+E24+E26+E25</f>
        <v>16651.358939999998</v>
      </c>
    </row>
    <row r="23" spans="1:5" x14ac:dyDescent="0.25">
      <c r="A23" s="20"/>
      <c r="B23" s="20" t="s">
        <v>23</v>
      </c>
      <c r="C23" s="13"/>
      <c r="D23" s="13">
        <v>29707.05</v>
      </c>
      <c r="E23" s="28">
        <f>D23*20.2%</f>
        <v>6000.8240999999998</v>
      </c>
    </row>
    <row r="24" spans="1:5" x14ac:dyDescent="0.25">
      <c r="A24" s="20"/>
      <c r="B24" s="20" t="s">
        <v>24</v>
      </c>
      <c r="C24" s="13"/>
      <c r="D24" s="13">
        <v>23530.33</v>
      </c>
      <c r="E24" s="28">
        <f t="shared" ref="E24:E25" si="0">D24*20.2%</f>
        <v>4753.1266599999999</v>
      </c>
    </row>
    <row r="25" spans="1:5" x14ac:dyDescent="0.25">
      <c r="A25" s="20"/>
      <c r="B25" s="20" t="s">
        <v>25</v>
      </c>
      <c r="C25" s="13"/>
      <c r="D25" s="13">
        <v>29195.09</v>
      </c>
      <c r="E25" s="28">
        <f t="shared" si="0"/>
        <v>5897.4081799999994</v>
      </c>
    </row>
    <row r="26" spans="1:5" x14ac:dyDescent="0.25">
      <c r="A26" s="20"/>
      <c r="B26" s="27" t="s">
        <v>75</v>
      </c>
      <c r="C26" s="13"/>
      <c r="D26" s="13">
        <v>0</v>
      </c>
      <c r="E26" s="28">
        <f>D26*26.2%</f>
        <v>0</v>
      </c>
    </row>
    <row r="27" spans="1:5" x14ac:dyDescent="0.25">
      <c r="A27" s="20">
        <v>2</v>
      </c>
      <c r="B27" s="27" t="s">
        <v>26</v>
      </c>
      <c r="C27" s="13"/>
      <c r="D27" s="13">
        <f>41.45+4665.83</f>
        <v>4707.28</v>
      </c>
      <c r="E27" s="28"/>
    </row>
    <row r="28" spans="1:5" x14ac:dyDescent="0.25">
      <c r="A28" s="24" t="s">
        <v>27</v>
      </c>
      <c r="B28" s="30" t="s">
        <v>28</v>
      </c>
      <c r="C28" s="20"/>
      <c r="D28" s="22">
        <f>D29+D30</f>
        <v>48232.66</v>
      </c>
      <c r="E28" s="26">
        <f>E29</f>
        <v>9011.0200199999999</v>
      </c>
    </row>
    <row r="29" spans="1:5" x14ac:dyDescent="0.25">
      <c r="A29" s="20">
        <v>1</v>
      </c>
      <c r="B29" s="31" t="s">
        <v>229</v>
      </c>
      <c r="C29" s="20"/>
      <c r="D29" s="31">
        <v>44609.01</v>
      </c>
      <c r="E29" s="28">
        <f>D29*20.2%</f>
        <v>9011.0200199999999</v>
      </c>
    </row>
    <row r="30" spans="1:5" x14ac:dyDescent="0.25">
      <c r="A30" s="20">
        <v>2</v>
      </c>
      <c r="B30" s="31" t="s">
        <v>26</v>
      </c>
      <c r="C30" s="20"/>
      <c r="D30" s="31">
        <f>3623.65</f>
        <v>3623.65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D32+D33+D34+D35+D38+D39+D36+D37</f>
        <v>39649.880000000005</v>
      </c>
      <c r="E31" s="20"/>
    </row>
    <row r="32" spans="1:5" x14ac:dyDescent="0.25">
      <c r="A32" s="20"/>
      <c r="B32" s="20" t="s">
        <v>31</v>
      </c>
      <c r="C32" s="20"/>
      <c r="D32" s="28">
        <f>D18*5%</f>
        <v>10360.830000000002</v>
      </c>
      <c r="E32" s="20"/>
    </row>
    <row r="33" spans="1:5" x14ac:dyDescent="0.25">
      <c r="A33" s="20"/>
      <c r="B33" s="20" t="s">
        <v>57</v>
      </c>
      <c r="C33" s="20"/>
      <c r="D33" s="20">
        <v>780.38</v>
      </c>
      <c r="E33" s="20"/>
    </row>
    <row r="34" spans="1:5" x14ac:dyDescent="0.25">
      <c r="A34" s="20"/>
      <c r="B34" s="20" t="s">
        <v>33</v>
      </c>
      <c r="C34" s="20"/>
      <c r="D34" s="28">
        <v>6520.62</v>
      </c>
      <c r="E34" s="20"/>
    </row>
    <row r="35" spans="1:5" x14ac:dyDescent="0.25">
      <c r="A35" s="20"/>
      <c r="B35" s="31" t="s">
        <v>32</v>
      </c>
      <c r="C35" s="20"/>
      <c r="D35" s="20">
        <v>1503</v>
      </c>
      <c r="E35" s="20"/>
    </row>
    <row r="36" spans="1:5" x14ac:dyDescent="0.25">
      <c r="A36" s="20"/>
      <c r="B36" s="31" t="s">
        <v>131</v>
      </c>
      <c r="C36" s="20"/>
      <c r="D36" s="20">
        <v>344</v>
      </c>
      <c r="E36" s="20"/>
    </row>
    <row r="37" spans="1:5" x14ac:dyDescent="0.25">
      <c r="A37" s="20"/>
      <c r="B37" s="31" t="s">
        <v>196</v>
      </c>
      <c r="C37" s="20"/>
      <c r="D37" s="20">
        <f>9581.41+3390</f>
        <v>12971.41</v>
      </c>
      <c r="E37" s="20"/>
    </row>
    <row r="38" spans="1:5" x14ac:dyDescent="0.25">
      <c r="A38" s="20"/>
      <c r="B38" s="27" t="s">
        <v>35</v>
      </c>
      <c r="C38" s="20"/>
      <c r="D38" s="20">
        <v>4108.78</v>
      </c>
      <c r="E38" s="20"/>
    </row>
    <row r="39" spans="1:5" x14ac:dyDescent="0.25">
      <c r="A39" s="20"/>
      <c r="B39" s="31" t="s">
        <v>37</v>
      </c>
      <c r="C39" s="20"/>
      <c r="D39" s="20">
        <v>3060.86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42071.79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D21+E21+D28+E28+D31+D40+E40</f>
        <v>242756.45896000002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D18*6%</f>
        <v>12432.995999999999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255189.45496</v>
      </c>
      <c r="E43" s="20"/>
    </row>
    <row r="44" spans="1:5" x14ac:dyDescent="0.25">
      <c r="A44" s="73"/>
      <c r="B44" s="20"/>
      <c r="C44" s="20"/>
      <c r="D44" s="20"/>
      <c r="E44" s="20"/>
    </row>
    <row r="45" spans="1:5" x14ac:dyDescent="0.25">
      <c r="A45" s="73" t="s">
        <v>86</v>
      </c>
      <c r="B45" s="22" t="s">
        <v>135</v>
      </c>
      <c r="C45" s="20"/>
      <c r="D45" s="26">
        <f>D18-D43</f>
        <v>-47972.854959999997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D10+D45</f>
        <v>-207619.24496000001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45</v>
      </c>
      <c r="C48" s="37"/>
      <c r="D48" s="37" t="s">
        <v>46</v>
      </c>
      <c r="E48" s="37"/>
    </row>
    <row r="49" spans="1:5" x14ac:dyDescent="0.25">
      <c r="A49" s="37"/>
      <c r="B49" s="37" t="s">
        <v>47</v>
      </c>
      <c r="C49" s="37"/>
      <c r="D49" s="37" t="s">
        <v>48</v>
      </c>
      <c r="E49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4" workbookViewId="0">
      <selection activeCell="G30" sqref="G30:I45"/>
    </sheetView>
  </sheetViews>
  <sheetFormatPr defaultRowHeight="15" x14ac:dyDescent="0.25"/>
  <cols>
    <col min="2" max="2" width="35.85546875" customWidth="1"/>
    <col min="4" max="4" width="10.42578125" customWidth="1"/>
    <col min="5" max="5" width="10.7109375" customWidth="1"/>
  </cols>
  <sheetData>
    <row r="1" spans="1:5" ht="15.75" x14ac:dyDescent="0.25">
      <c r="A1" s="92"/>
      <c r="B1" s="93" t="s">
        <v>0</v>
      </c>
      <c r="C1" s="92"/>
      <c r="D1" s="92"/>
      <c r="E1" s="92"/>
    </row>
    <row r="2" spans="1:5" x14ac:dyDescent="0.25">
      <c r="A2" s="92"/>
      <c r="B2" s="92"/>
      <c r="C2" s="92"/>
      <c r="D2" s="92"/>
      <c r="E2" s="92"/>
    </row>
    <row r="3" spans="1:5" x14ac:dyDescent="0.25">
      <c r="A3" s="92"/>
      <c r="B3" s="92" t="s">
        <v>54</v>
      </c>
      <c r="C3" s="92"/>
      <c r="D3" s="92"/>
      <c r="E3" s="92"/>
    </row>
    <row r="4" spans="1:5" x14ac:dyDescent="0.25">
      <c r="A4" s="92"/>
      <c r="B4" s="94" t="s">
        <v>137</v>
      </c>
      <c r="C4" s="92"/>
      <c r="D4" s="92"/>
      <c r="E4" s="92"/>
    </row>
    <row r="5" spans="1:5" x14ac:dyDescent="0.25">
      <c r="A5" s="512"/>
      <c r="B5" s="512"/>
      <c r="C5" s="512"/>
      <c r="D5" s="388"/>
      <c r="E5" s="435"/>
    </row>
    <row r="6" spans="1:5" ht="15.75" x14ac:dyDescent="0.25">
      <c r="A6" s="95"/>
      <c r="B6" s="436" t="s">
        <v>3</v>
      </c>
      <c r="C6" s="437" t="s">
        <v>4</v>
      </c>
      <c r="D6" s="513" t="s">
        <v>5</v>
      </c>
      <c r="E6" s="514"/>
    </row>
    <row r="7" spans="1:5" ht="15.75" x14ac:dyDescent="0.25">
      <c r="A7" s="98"/>
      <c r="B7" s="96" t="s">
        <v>6</v>
      </c>
      <c r="C7" s="97" t="s">
        <v>7</v>
      </c>
      <c r="D7" s="510" t="s">
        <v>138</v>
      </c>
      <c r="E7" s="511"/>
    </row>
    <row r="8" spans="1:5" x14ac:dyDescent="0.25">
      <c r="A8" s="99"/>
      <c r="B8" s="99"/>
      <c r="C8" s="99"/>
      <c r="D8" s="100"/>
      <c r="E8" s="101"/>
    </row>
    <row r="9" spans="1:5" x14ac:dyDescent="0.25">
      <c r="A9" s="99"/>
      <c r="B9" s="102" t="s">
        <v>8</v>
      </c>
      <c r="C9" s="99"/>
      <c r="D9" s="100">
        <v>99858.82</v>
      </c>
      <c r="E9" s="101"/>
    </row>
    <row r="10" spans="1:5" x14ac:dyDescent="0.25">
      <c r="A10" s="23"/>
      <c r="B10" s="103" t="s">
        <v>9</v>
      </c>
      <c r="C10" s="23" t="s">
        <v>10</v>
      </c>
      <c r="D10" s="23">
        <v>5182.7</v>
      </c>
      <c r="E10" s="23"/>
    </row>
    <row r="11" spans="1:5" x14ac:dyDescent="0.25">
      <c r="A11" s="23"/>
      <c r="B11" s="103" t="s">
        <v>11</v>
      </c>
      <c r="C11" s="23" t="s">
        <v>10</v>
      </c>
      <c r="D11" s="23">
        <v>4325</v>
      </c>
      <c r="E11" s="23"/>
    </row>
    <row r="12" spans="1:5" x14ac:dyDescent="0.25">
      <c r="A12" s="23"/>
      <c r="B12" s="104" t="s">
        <v>12</v>
      </c>
      <c r="C12" s="23" t="s">
        <v>13</v>
      </c>
      <c r="D12" s="23">
        <v>312288.78000000003</v>
      </c>
      <c r="E12" s="23"/>
    </row>
    <row r="13" spans="1:5" x14ac:dyDescent="0.25">
      <c r="A13" s="23"/>
      <c r="B13" s="23"/>
      <c r="C13" s="23"/>
      <c r="D13" s="23"/>
      <c r="E13" s="23"/>
    </row>
    <row r="14" spans="1:5" ht="15.75" x14ac:dyDescent="0.25">
      <c r="A14" s="23"/>
      <c r="B14" s="105" t="s">
        <v>14</v>
      </c>
      <c r="C14" s="23"/>
      <c r="D14" s="23"/>
      <c r="E14" s="23"/>
    </row>
    <row r="15" spans="1:5" x14ac:dyDescent="0.25">
      <c r="A15" s="23">
        <v>1</v>
      </c>
      <c r="B15" s="23" t="s">
        <v>15</v>
      </c>
      <c r="C15" s="23" t="s">
        <v>13</v>
      </c>
      <c r="D15" s="23">
        <v>323049.51</v>
      </c>
      <c r="E15" s="23"/>
    </row>
    <row r="16" spans="1:5" x14ac:dyDescent="0.25">
      <c r="A16" s="23">
        <v>2</v>
      </c>
      <c r="B16" s="23" t="s">
        <v>92</v>
      </c>
      <c r="C16" s="23"/>
      <c r="D16" s="23">
        <v>9799.8799999999992</v>
      </c>
      <c r="E16" s="23"/>
    </row>
    <row r="17" spans="1:5" ht="15.75" x14ac:dyDescent="0.25">
      <c r="A17" s="23"/>
      <c r="B17" s="105" t="s">
        <v>17</v>
      </c>
      <c r="C17" s="23"/>
      <c r="D17" s="106">
        <f>D15+D16</f>
        <v>332849.39</v>
      </c>
      <c r="E17" s="23"/>
    </row>
    <row r="18" spans="1:5" ht="15.75" x14ac:dyDescent="0.25">
      <c r="A18" s="23"/>
      <c r="B18" s="105"/>
      <c r="C18" s="23"/>
      <c r="D18" s="106"/>
      <c r="E18" s="2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D21+D24+D25</f>
        <v>53038.889999999992</v>
      </c>
      <c r="E20" s="26">
        <f>E21</f>
        <v>9778.7008199999982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</f>
        <v>48409.409999999996</v>
      </c>
      <c r="E21" s="26">
        <f>E22+E23</f>
        <v>9778.7008199999982</v>
      </c>
    </row>
    <row r="22" spans="1:5" x14ac:dyDescent="0.25">
      <c r="A22" s="20"/>
      <c r="B22" s="20" t="s">
        <v>23</v>
      </c>
      <c r="C22" s="20"/>
      <c r="D22" s="20">
        <v>46694.559999999998</v>
      </c>
      <c r="E22" s="28">
        <f>D22*20.2%</f>
        <v>9432.3011199999983</v>
      </c>
    </row>
    <row r="23" spans="1:5" x14ac:dyDescent="0.25">
      <c r="A23" s="20"/>
      <c r="B23" s="31" t="s">
        <v>75</v>
      </c>
      <c r="C23" s="20"/>
      <c r="D23" s="20">
        <v>1714.85</v>
      </c>
      <c r="E23" s="28">
        <f t="shared" ref="E23" si="0">D23*20.2%</f>
        <v>346.39969999999994</v>
      </c>
    </row>
    <row r="24" spans="1:5" x14ac:dyDescent="0.25">
      <c r="A24" s="20">
        <v>2</v>
      </c>
      <c r="B24" s="27" t="s">
        <v>26</v>
      </c>
      <c r="C24" s="20"/>
      <c r="D24" s="20">
        <f>71.44+4396.59</f>
        <v>4468.03</v>
      </c>
      <c r="E24" s="28"/>
    </row>
    <row r="25" spans="1:5" x14ac:dyDescent="0.25">
      <c r="A25" s="20">
        <v>3</v>
      </c>
      <c r="B25" s="31" t="s">
        <v>213</v>
      </c>
      <c r="C25" s="20"/>
      <c r="D25" s="20">
        <v>161.44999999999999</v>
      </c>
      <c r="E25" s="28"/>
    </row>
    <row r="26" spans="1:5" x14ac:dyDescent="0.25">
      <c r="A26" s="24" t="s">
        <v>27</v>
      </c>
      <c r="B26" s="30" t="s">
        <v>28</v>
      </c>
      <c r="C26" s="20"/>
      <c r="D26" s="22">
        <f>D27+D28+D29</f>
        <v>100024.22</v>
      </c>
      <c r="E26" s="26">
        <f>E27</f>
        <v>15530.608399999999</v>
      </c>
    </row>
    <row r="27" spans="1:5" x14ac:dyDescent="0.25">
      <c r="A27" s="20">
        <v>1</v>
      </c>
      <c r="B27" s="31" t="s">
        <v>229</v>
      </c>
      <c r="C27" s="20"/>
      <c r="D27" s="31">
        <v>76884.2</v>
      </c>
      <c r="E27" s="33">
        <f>D27*20.2%</f>
        <v>15530.608399999999</v>
      </c>
    </row>
    <row r="28" spans="1:5" x14ac:dyDescent="0.25">
      <c r="A28" s="20">
        <v>2</v>
      </c>
      <c r="B28" s="31" t="s">
        <v>26</v>
      </c>
      <c r="C28" s="20"/>
      <c r="D28" s="31">
        <v>15379.02</v>
      </c>
      <c r="E28" s="20"/>
    </row>
    <row r="29" spans="1:5" x14ac:dyDescent="0.25">
      <c r="A29" s="20">
        <v>3</v>
      </c>
      <c r="B29" s="31" t="s">
        <v>60</v>
      </c>
      <c r="C29" s="20"/>
      <c r="D29" s="31">
        <v>7761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D31+D32+D33+D34+D35+D36+D37+D38</f>
        <v>244714.18950000001</v>
      </c>
      <c r="E30" s="20"/>
    </row>
    <row r="31" spans="1:5" x14ac:dyDescent="0.25">
      <c r="A31" s="20"/>
      <c r="B31" s="20" t="s">
        <v>31</v>
      </c>
      <c r="C31" s="20"/>
      <c r="D31" s="28">
        <f>D17*5%</f>
        <v>16642.469500000003</v>
      </c>
      <c r="E31" s="20"/>
    </row>
    <row r="32" spans="1:5" x14ac:dyDescent="0.25">
      <c r="A32" s="20"/>
      <c r="B32" s="20" t="s">
        <v>57</v>
      </c>
      <c r="C32" s="20"/>
      <c r="D32" s="20">
        <v>1659.05</v>
      </c>
      <c r="E32" s="20"/>
    </row>
    <row r="33" spans="1:5" x14ac:dyDescent="0.25">
      <c r="A33" s="20"/>
      <c r="B33" s="20" t="s">
        <v>33</v>
      </c>
      <c r="C33" s="20"/>
      <c r="D33" s="28">
        <v>11238.38</v>
      </c>
      <c r="E33" s="20"/>
    </row>
    <row r="34" spans="1:5" x14ac:dyDescent="0.25">
      <c r="A34" s="20"/>
      <c r="B34" s="27" t="s">
        <v>63</v>
      </c>
      <c r="C34" s="20"/>
      <c r="D34" s="20">
        <v>67000</v>
      </c>
      <c r="E34" s="20"/>
    </row>
    <row r="35" spans="1:5" x14ac:dyDescent="0.25">
      <c r="A35" s="20"/>
      <c r="B35" s="27" t="s">
        <v>35</v>
      </c>
      <c r="C35" s="20"/>
      <c r="D35" s="20">
        <v>7081.54</v>
      </c>
      <c r="E35" s="20"/>
    </row>
    <row r="36" spans="1:5" x14ac:dyDescent="0.25">
      <c r="A36" s="20"/>
      <c r="B36" s="27" t="s">
        <v>131</v>
      </c>
      <c r="C36" s="20"/>
      <c r="D36" s="20">
        <v>172</v>
      </c>
      <c r="E36" s="20"/>
    </row>
    <row r="37" spans="1:5" x14ac:dyDescent="0.25">
      <c r="A37" s="20"/>
      <c r="B37" s="20" t="s">
        <v>37</v>
      </c>
      <c r="C37" s="20"/>
      <c r="D37" s="20">
        <v>5275.43</v>
      </c>
      <c r="E37" s="20"/>
    </row>
    <row r="38" spans="1:5" x14ac:dyDescent="0.25">
      <c r="A38" s="20"/>
      <c r="B38" s="20" t="s">
        <v>196</v>
      </c>
      <c r="C38" s="20"/>
      <c r="D38" s="20">
        <v>135645.32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73756.179999999993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D20+E20+D26+E26+D30+D39</f>
        <v>496842.78872000001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D17*6%</f>
        <v>19970.963400000001</v>
      </c>
      <c r="E41" s="20"/>
    </row>
    <row r="42" spans="1:5" x14ac:dyDescent="0.25">
      <c r="A42" s="73" t="s">
        <v>125</v>
      </c>
      <c r="B42" s="22" t="s">
        <v>43</v>
      </c>
      <c r="C42" s="20"/>
      <c r="D42" s="26">
        <f>D40+D41</f>
        <v>516813.75212000002</v>
      </c>
      <c r="E42" s="20"/>
    </row>
    <row r="43" spans="1:5" x14ac:dyDescent="0.25">
      <c r="A43" s="73" t="s">
        <v>86</v>
      </c>
      <c r="B43" s="22" t="s">
        <v>135</v>
      </c>
      <c r="C43" s="20"/>
      <c r="D43" s="26">
        <f>D17-D42</f>
        <v>-183964.36212000001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D9+D43</f>
        <v>-84105.542119999998</v>
      </c>
      <c r="E44" s="20"/>
    </row>
    <row r="45" spans="1:5" x14ac:dyDescent="0.25">
      <c r="A45" s="447"/>
      <c r="B45" s="35"/>
      <c r="C45" s="34"/>
      <c r="D45" s="36"/>
      <c r="E45" s="34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7" t="s">
        <v>45</v>
      </c>
      <c r="C47" s="37"/>
      <c r="D47" s="37" t="s">
        <v>46</v>
      </c>
      <c r="E47" s="37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3">
    <mergeCell ref="D7:E7"/>
    <mergeCell ref="A5:C5"/>
    <mergeCell ref="D6:E6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6" workbookViewId="0">
      <selection activeCell="H31" sqref="H31:I46"/>
    </sheetView>
  </sheetViews>
  <sheetFormatPr defaultRowHeight="15" x14ac:dyDescent="0.25"/>
  <cols>
    <col min="2" max="2" width="39.85546875" customWidth="1"/>
    <col min="4" max="4" width="11.28515625" customWidth="1"/>
    <col min="5" max="5" width="11.7109375" customWidth="1"/>
    <col min="7" max="7" width="9.5703125" bestFit="1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195</v>
      </c>
    </row>
    <row r="5" spans="1:5" x14ac:dyDescent="0.25">
      <c r="B5" t="s">
        <v>81</v>
      </c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113</v>
      </c>
      <c r="C8" s="13"/>
      <c r="D8" s="429">
        <v>-53179.92</v>
      </c>
      <c r="E8" s="381"/>
    </row>
    <row r="9" spans="1:5" x14ac:dyDescent="0.25">
      <c r="A9" s="9"/>
      <c r="B9" s="12" t="s">
        <v>114</v>
      </c>
      <c r="C9" s="9"/>
      <c r="D9" s="10">
        <v>38333.85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5902.23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4583.71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578084.53</v>
      </c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f>2739.26+416210.44</f>
        <v>418949.7</v>
      </c>
      <c r="E14" s="13"/>
    </row>
    <row r="15" spans="1:5" x14ac:dyDescent="0.25">
      <c r="A15" s="13">
        <v>2</v>
      </c>
      <c r="B15" s="13" t="s">
        <v>16</v>
      </c>
      <c r="C15" s="13"/>
      <c r="D15" s="13">
        <v>160055.56</v>
      </c>
      <c r="E15" s="13"/>
    </row>
    <row r="16" spans="1:5" x14ac:dyDescent="0.25">
      <c r="A16" s="13">
        <v>3</v>
      </c>
      <c r="B16" s="13" t="s">
        <v>92</v>
      </c>
      <c r="C16" s="13"/>
      <c r="D16" s="13">
        <v>32441.87</v>
      </c>
      <c r="E16" s="13"/>
    </row>
    <row r="17" spans="1:5" ht="15.75" x14ac:dyDescent="0.25">
      <c r="A17" s="13"/>
      <c r="B17" s="16" t="s">
        <v>17</v>
      </c>
      <c r="C17" s="13"/>
      <c r="D17" s="19">
        <f>D14+D15+D16</f>
        <v>611447.13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D21+D26+D23+D25+D24</f>
        <v>84064.290000000008</v>
      </c>
      <c r="E20" s="26">
        <f>E21</f>
        <v>14924.02664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</f>
        <v>73881.320000000007</v>
      </c>
      <c r="E21" s="26">
        <f>E22+E25</f>
        <v>14924.02664</v>
      </c>
    </row>
    <row r="22" spans="1:5" x14ac:dyDescent="0.25">
      <c r="A22" s="20"/>
      <c r="B22" s="20" t="s">
        <v>23</v>
      </c>
      <c r="C22" s="20"/>
      <c r="D22" s="20">
        <v>73881.320000000007</v>
      </c>
      <c r="E22" s="28">
        <f>D22*20.2%</f>
        <v>14924.02664</v>
      </c>
    </row>
    <row r="23" spans="1:5" x14ac:dyDescent="0.25">
      <c r="A23" s="20">
        <v>2</v>
      </c>
      <c r="B23" s="31" t="s">
        <v>197</v>
      </c>
      <c r="C23" s="20"/>
      <c r="D23" s="20">
        <v>4598</v>
      </c>
      <c r="E23" s="28"/>
    </row>
    <row r="24" spans="1:5" x14ac:dyDescent="0.25">
      <c r="A24" s="20">
        <v>3</v>
      </c>
      <c r="B24" s="31" t="s">
        <v>213</v>
      </c>
      <c r="C24" s="20"/>
      <c r="D24" s="20">
        <v>2479.02</v>
      </c>
      <c r="E24" s="28"/>
    </row>
    <row r="25" spans="1:5" x14ac:dyDescent="0.25">
      <c r="A25" s="20">
        <v>4</v>
      </c>
      <c r="B25" s="31" t="s">
        <v>177</v>
      </c>
      <c r="C25" s="20"/>
      <c r="D25" s="20">
        <v>2300</v>
      </c>
      <c r="E25" s="28"/>
    </row>
    <row r="26" spans="1:5" x14ac:dyDescent="0.25">
      <c r="A26" s="20">
        <v>5</v>
      </c>
      <c r="B26" s="27" t="s">
        <v>26</v>
      </c>
      <c r="C26" s="20"/>
      <c r="D26" s="20">
        <f>75.71+730.24</f>
        <v>805.95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87030.12</v>
      </c>
      <c r="E27" s="26">
        <f>E28</f>
        <v>16459.606399999997</v>
      </c>
    </row>
    <row r="28" spans="1:5" x14ac:dyDescent="0.25">
      <c r="A28" s="20">
        <v>1</v>
      </c>
      <c r="B28" s="31" t="s">
        <v>229</v>
      </c>
      <c r="C28" s="20"/>
      <c r="D28" s="31">
        <v>81483.199999999997</v>
      </c>
      <c r="E28" s="28">
        <f>D28*20.2%</f>
        <v>16459.606399999997</v>
      </c>
    </row>
    <row r="29" spans="1:5" x14ac:dyDescent="0.25">
      <c r="A29" s="20">
        <v>2</v>
      </c>
      <c r="B29" s="31" t="s">
        <v>26</v>
      </c>
      <c r="C29" s="20"/>
      <c r="D29" s="31">
        <v>5546.92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D31+D32+D33+D35+D36+D37+D34</f>
        <v>176620.99511000002</v>
      </c>
      <c r="E30" s="20"/>
    </row>
    <row r="31" spans="1:5" x14ac:dyDescent="0.25">
      <c r="A31" s="20"/>
      <c r="B31" s="20" t="s">
        <v>31</v>
      </c>
      <c r="C31" s="20"/>
      <c r="D31" s="28">
        <f>D17*4.7%</f>
        <v>28738.01511</v>
      </c>
      <c r="E31" s="20"/>
    </row>
    <row r="32" spans="1:5" x14ac:dyDescent="0.25">
      <c r="A32" s="20"/>
      <c r="B32" s="20" t="s">
        <v>57</v>
      </c>
      <c r="C32" s="20"/>
      <c r="D32" s="20">
        <v>1944.24</v>
      </c>
      <c r="E32" s="20"/>
    </row>
    <row r="33" spans="1:5" x14ac:dyDescent="0.25">
      <c r="A33" s="20"/>
      <c r="B33" s="20" t="s">
        <v>33</v>
      </c>
      <c r="C33" s="20"/>
      <c r="D33" s="28">
        <v>11910.63</v>
      </c>
      <c r="E33" s="20"/>
    </row>
    <row r="34" spans="1:5" x14ac:dyDescent="0.25">
      <c r="A34" s="20"/>
      <c r="B34" s="27" t="s">
        <v>36</v>
      </c>
      <c r="C34" s="20"/>
      <c r="D34" s="28">
        <f>56730.66+56730.66</f>
        <v>113461.32</v>
      </c>
      <c r="E34" s="20"/>
    </row>
    <row r="35" spans="1:5" x14ac:dyDescent="0.25">
      <c r="A35" s="20"/>
      <c r="B35" s="31" t="s">
        <v>131</v>
      </c>
      <c r="C35" s="20"/>
      <c r="D35" s="20">
        <v>7470.66</v>
      </c>
      <c r="E35" s="20"/>
    </row>
    <row r="36" spans="1:5" x14ac:dyDescent="0.25">
      <c r="A36" s="20"/>
      <c r="B36" s="27" t="s">
        <v>35</v>
      </c>
      <c r="C36" s="20"/>
      <c r="D36" s="20">
        <v>7505.14</v>
      </c>
      <c r="E36" s="20"/>
    </row>
    <row r="37" spans="1:5" x14ac:dyDescent="0.25">
      <c r="A37" s="20"/>
      <c r="B37" s="31" t="s">
        <v>37</v>
      </c>
      <c r="C37" s="20"/>
      <c r="D37" s="20">
        <v>5590.99</v>
      </c>
      <c r="E37" s="20"/>
    </row>
    <row r="38" spans="1:5" x14ac:dyDescent="0.25">
      <c r="A38" s="73" t="s">
        <v>82</v>
      </c>
      <c r="B38" s="22" t="s">
        <v>38</v>
      </c>
      <c r="C38" s="20"/>
      <c r="D38" s="26">
        <v>76848.710000000006</v>
      </c>
      <c r="E38" s="26"/>
    </row>
    <row r="39" spans="1:5" x14ac:dyDescent="0.25">
      <c r="A39" s="73" t="s">
        <v>83</v>
      </c>
      <c r="B39" s="22" t="s">
        <v>41</v>
      </c>
      <c r="C39" s="20"/>
      <c r="D39" s="26">
        <f>D20+E20+D27+E27+D30+D38</f>
        <v>455947.74815000006</v>
      </c>
      <c r="E39" s="20"/>
    </row>
    <row r="40" spans="1:5" x14ac:dyDescent="0.25">
      <c r="A40" s="73" t="s">
        <v>84</v>
      </c>
      <c r="B40" s="20" t="s">
        <v>42</v>
      </c>
      <c r="C40" s="20"/>
      <c r="D40" s="26">
        <f>D17*6%</f>
        <v>36686.827799999999</v>
      </c>
      <c r="E40" s="20"/>
    </row>
    <row r="41" spans="1:5" x14ac:dyDescent="0.25">
      <c r="A41" s="73" t="s">
        <v>85</v>
      </c>
      <c r="B41" s="22" t="s">
        <v>43</v>
      </c>
      <c r="C41" s="20"/>
      <c r="D41" s="26">
        <f>D39+D40</f>
        <v>492634.57595000009</v>
      </c>
      <c r="E41" s="20"/>
    </row>
    <row r="42" spans="1:5" x14ac:dyDescent="0.25">
      <c r="A42" s="73"/>
      <c r="B42" s="20"/>
      <c r="C42" s="20"/>
      <c r="D42" s="20"/>
      <c r="E42" s="20"/>
    </row>
    <row r="43" spans="1:5" x14ac:dyDescent="0.25">
      <c r="A43" s="73" t="s">
        <v>86</v>
      </c>
      <c r="B43" s="22" t="s">
        <v>135</v>
      </c>
      <c r="C43" s="20"/>
      <c r="D43" s="26">
        <f>D14+D16-D41</f>
        <v>-41243.005950000079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D8+D43</f>
        <v>-94422.925950000077</v>
      </c>
      <c r="E44" s="20"/>
    </row>
    <row r="45" spans="1:5" x14ac:dyDescent="0.25">
      <c r="A45" s="34"/>
      <c r="B45" s="430" t="s">
        <v>16</v>
      </c>
      <c r="C45" s="34"/>
      <c r="D45" s="36">
        <f>D9+D15</f>
        <v>198389.41</v>
      </c>
      <c r="E45" s="34"/>
    </row>
    <row r="46" spans="1:5" x14ac:dyDescent="0.25">
      <c r="A46" s="34"/>
      <c r="B46" s="431" t="s">
        <v>103</v>
      </c>
      <c r="C46" s="34"/>
      <c r="D46" s="36">
        <v>222338.99</v>
      </c>
      <c r="E46" s="34"/>
    </row>
    <row r="47" spans="1:5" x14ac:dyDescent="0.25">
      <c r="A47" s="34"/>
      <c r="B47" s="431" t="s">
        <v>115</v>
      </c>
      <c r="C47" s="34"/>
      <c r="D47" s="36">
        <f>D45-D46</f>
        <v>-23949.579999999987</v>
      </c>
      <c r="E47" s="34"/>
    </row>
    <row r="48" spans="1:5" x14ac:dyDescent="0.25">
      <c r="A48" s="34"/>
      <c r="B48" s="431"/>
      <c r="C48" s="34"/>
      <c r="D48" s="36"/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G34" sqref="G34:J50"/>
    </sheetView>
  </sheetViews>
  <sheetFormatPr defaultRowHeight="15" x14ac:dyDescent="0.25"/>
  <cols>
    <col min="2" max="2" width="42.28515625" customWidth="1"/>
    <col min="4" max="4" width="12" customWidth="1"/>
    <col min="5" max="5" width="10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198</v>
      </c>
    </row>
    <row r="5" spans="1:5" x14ac:dyDescent="0.25">
      <c r="B5" t="s">
        <v>2</v>
      </c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165</v>
      </c>
      <c r="E7" s="505"/>
    </row>
    <row r="8" spans="1:5" x14ac:dyDescent="0.25">
      <c r="A8" s="13"/>
      <c r="B8" s="14" t="s">
        <v>111</v>
      </c>
      <c r="C8" s="13"/>
      <c r="D8" s="429">
        <v>-51857.46</v>
      </c>
      <c r="E8" s="381"/>
    </row>
    <row r="9" spans="1:5" x14ac:dyDescent="0.25">
      <c r="A9" s="9"/>
      <c r="B9" s="12" t="s">
        <v>112</v>
      </c>
      <c r="C9" s="9"/>
      <c r="D9" s="10">
        <v>139382.15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3713.1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3054.59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300850.8</v>
      </c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278526.40999999997</v>
      </c>
      <c r="E14" s="13"/>
    </row>
    <row r="15" spans="1:5" x14ac:dyDescent="0.25">
      <c r="A15" s="13">
        <v>2</v>
      </c>
      <c r="B15" s="13" t="s">
        <v>16</v>
      </c>
      <c r="C15" s="13" t="s">
        <v>13</v>
      </c>
      <c r="D15" s="13">
        <v>91033.11</v>
      </c>
      <c r="E15" s="13"/>
    </row>
    <row r="16" spans="1:5" x14ac:dyDescent="0.25">
      <c r="A16" s="13">
        <v>3</v>
      </c>
      <c r="B16" s="13" t="s">
        <v>92</v>
      </c>
      <c r="C16" s="13"/>
      <c r="D16" s="13">
        <v>6000</v>
      </c>
      <c r="E16" s="13"/>
    </row>
    <row r="17" spans="1:5" ht="15.75" x14ac:dyDescent="0.25">
      <c r="A17" s="13"/>
      <c r="B17" s="16" t="s">
        <v>17</v>
      </c>
      <c r="C17" s="13"/>
      <c r="D17" s="19">
        <f>D14+D15+D16</f>
        <v>375559.51999999996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D21+D24+D23</f>
        <v>47259.85</v>
      </c>
      <c r="E20" s="26">
        <f>E21</f>
        <v>9169.5556799999995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</f>
        <v>45393.84</v>
      </c>
      <c r="E21" s="26">
        <f>E22+E23</f>
        <v>9169.5556799999995</v>
      </c>
    </row>
    <row r="22" spans="1:5" x14ac:dyDescent="0.25">
      <c r="A22" s="20"/>
      <c r="B22" s="13" t="s">
        <v>23</v>
      </c>
      <c r="C22" s="13"/>
      <c r="D22" s="13">
        <v>45393.84</v>
      </c>
      <c r="E22" s="28">
        <f>D22*20.2%</f>
        <v>9169.5556799999995</v>
      </c>
    </row>
    <row r="23" spans="1:5" x14ac:dyDescent="0.25">
      <c r="A23" s="20"/>
      <c r="B23" s="27" t="s">
        <v>75</v>
      </c>
      <c r="C23" s="13"/>
      <c r="D23" s="13">
        <v>0</v>
      </c>
      <c r="E23" s="28">
        <v>0</v>
      </c>
    </row>
    <row r="24" spans="1:5" x14ac:dyDescent="0.25">
      <c r="A24" s="20">
        <v>2</v>
      </c>
      <c r="B24" s="27" t="s">
        <v>26</v>
      </c>
      <c r="C24" s="13"/>
      <c r="D24" s="13">
        <f>50.46+1815.55</f>
        <v>1866.01</v>
      </c>
      <c r="E24" s="28"/>
    </row>
    <row r="25" spans="1:5" x14ac:dyDescent="0.25">
      <c r="A25" s="24" t="s">
        <v>27</v>
      </c>
      <c r="B25" s="30" t="s">
        <v>28</v>
      </c>
      <c r="C25" s="20"/>
      <c r="D25" s="22">
        <f>D26+D27</f>
        <v>57188.42</v>
      </c>
      <c r="E25" s="26">
        <f>E26</f>
        <v>10968.703019999999</v>
      </c>
    </row>
    <row r="26" spans="1:5" x14ac:dyDescent="0.25">
      <c r="A26" s="20">
        <v>1</v>
      </c>
      <c r="B26" s="31" t="s">
        <v>229</v>
      </c>
      <c r="C26" s="20"/>
      <c r="D26" s="13">
        <v>54300.51</v>
      </c>
      <c r="E26" s="28">
        <f>D26*20.2%</f>
        <v>10968.703019999999</v>
      </c>
    </row>
    <row r="27" spans="1:5" x14ac:dyDescent="0.25">
      <c r="A27" s="20">
        <v>2</v>
      </c>
      <c r="B27" s="31" t="s">
        <v>26</v>
      </c>
      <c r="C27" s="20"/>
      <c r="D27" s="427">
        <v>2887.91</v>
      </c>
      <c r="E27" s="20"/>
    </row>
    <row r="28" spans="1:5" x14ac:dyDescent="0.25">
      <c r="A28" s="24" t="s">
        <v>29</v>
      </c>
      <c r="B28" s="22" t="s">
        <v>30</v>
      </c>
      <c r="C28" s="20"/>
      <c r="D28" s="26">
        <f>D29+D30+D32+D33+D34+D36+D37+D31+D35</f>
        <v>47228.535999999993</v>
      </c>
      <c r="E28" s="20"/>
    </row>
    <row r="29" spans="1:5" x14ac:dyDescent="0.25">
      <c r="A29" s="20"/>
      <c r="B29" s="20" t="s">
        <v>31</v>
      </c>
      <c r="C29" s="20"/>
      <c r="D29" s="28">
        <f>D17*5%</f>
        <v>18777.975999999999</v>
      </c>
      <c r="E29" s="20"/>
    </row>
    <row r="30" spans="1:5" x14ac:dyDescent="0.25">
      <c r="A30" s="20"/>
      <c r="B30" s="20" t="s">
        <v>57</v>
      </c>
      <c r="C30" s="20"/>
      <c r="D30" s="20">
        <v>2381.14</v>
      </c>
      <c r="E30" s="20"/>
    </row>
    <row r="31" spans="1:5" x14ac:dyDescent="0.25">
      <c r="A31" s="20"/>
      <c r="B31" s="13" t="s">
        <v>32</v>
      </c>
      <c r="C31" s="13"/>
      <c r="D31" s="13">
        <v>3280</v>
      </c>
      <c r="E31" s="20"/>
    </row>
    <row r="32" spans="1:5" x14ac:dyDescent="0.25">
      <c r="A32" s="20"/>
      <c r="B32" s="20" t="s">
        <v>33</v>
      </c>
      <c r="C32" s="20"/>
      <c r="D32" s="28">
        <v>7937.26</v>
      </c>
      <c r="E32" s="20"/>
    </row>
    <row r="33" spans="1:5" x14ac:dyDescent="0.25">
      <c r="A33" s="20"/>
      <c r="B33" s="13" t="s">
        <v>116</v>
      </c>
      <c r="C33" s="20"/>
      <c r="D33" s="20">
        <v>4920.88</v>
      </c>
      <c r="E33" s="20"/>
    </row>
    <row r="34" spans="1:5" x14ac:dyDescent="0.25">
      <c r="A34" s="20"/>
      <c r="B34" s="13" t="s">
        <v>210</v>
      </c>
      <c r="C34" s="20"/>
      <c r="D34" s="20">
        <v>1032</v>
      </c>
      <c r="E34" s="20"/>
    </row>
    <row r="35" spans="1:5" x14ac:dyDescent="0.25">
      <c r="A35" s="20"/>
      <c r="B35" s="31" t="s">
        <v>131</v>
      </c>
      <c r="C35" s="20"/>
      <c r="D35" s="20">
        <v>172</v>
      </c>
      <c r="E35" s="20"/>
    </row>
    <row r="36" spans="1:5" x14ac:dyDescent="0.25">
      <c r="A36" s="20"/>
      <c r="B36" s="27" t="s">
        <v>35</v>
      </c>
      <c r="C36" s="20"/>
      <c r="D36" s="20">
        <v>5001.4399999999996</v>
      </c>
      <c r="E36" s="20"/>
    </row>
    <row r="37" spans="1:5" x14ac:dyDescent="0.25">
      <c r="A37" s="20"/>
      <c r="B37" s="20" t="s">
        <v>37</v>
      </c>
      <c r="C37" s="20"/>
      <c r="D37" s="20">
        <v>3725.84</v>
      </c>
      <c r="E37" s="20"/>
    </row>
    <row r="38" spans="1:5" x14ac:dyDescent="0.25">
      <c r="A38" s="73" t="s">
        <v>82</v>
      </c>
      <c r="B38" s="22" t="s">
        <v>38</v>
      </c>
      <c r="C38" s="20"/>
      <c r="D38" s="26">
        <v>55451.08</v>
      </c>
      <c r="E38" s="26"/>
    </row>
    <row r="39" spans="1:5" x14ac:dyDescent="0.25">
      <c r="A39" s="73" t="s">
        <v>83</v>
      </c>
      <c r="B39" s="22" t="s">
        <v>41</v>
      </c>
      <c r="C39" s="20"/>
      <c r="D39" s="26">
        <f>D20+E20+D25+E25+D28+D38+E38</f>
        <v>227266.1447</v>
      </c>
      <c r="E39" s="20"/>
    </row>
    <row r="40" spans="1:5" x14ac:dyDescent="0.25">
      <c r="A40" s="73" t="s">
        <v>84</v>
      </c>
      <c r="B40" s="20" t="s">
        <v>42</v>
      </c>
      <c r="C40" s="20"/>
      <c r="D40" s="26">
        <f>D17*6%</f>
        <v>22533.571199999998</v>
      </c>
      <c r="E40" s="20"/>
    </row>
    <row r="41" spans="1:5" x14ac:dyDescent="0.25">
      <c r="A41" s="73" t="s">
        <v>85</v>
      </c>
      <c r="B41" s="22" t="s">
        <v>43</v>
      </c>
      <c r="C41" s="20"/>
      <c r="D41" s="26">
        <f>D39+D40</f>
        <v>249799.71590000001</v>
      </c>
      <c r="E41" s="20"/>
    </row>
    <row r="42" spans="1:5" x14ac:dyDescent="0.25">
      <c r="A42" s="73"/>
      <c r="B42" s="20"/>
      <c r="C42" s="20"/>
      <c r="D42" s="20"/>
      <c r="E42" s="20"/>
    </row>
    <row r="43" spans="1:5" x14ac:dyDescent="0.25">
      <c r="A43" s="73" t="s">
        <v>86</v>
      </c>
      <c r="B43" s="22" t="s">
        <v>135</v>
      </c>
      <c r="C43" s="20"/>
      <c r="D43" s="26">
        <f>D14+D16-D41</f>
        <v>34726.694099999964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D8+D43+9467.44</f>
        <v>-7663.3259000000344</v>
      </c>
      <c r="E44" s="20"/>
    </row>
    <row r="45" spans="1:5" x14ac:dyDescent="0.25">
      <c r="A45" s="447"/>
      <c r="B45" s="35" t="s">
        <v>16</v>
      </c>
      <c r="C45" s="34"/>
      <c r="D45" s="36">
        <f>D15+D9</f>
        <v>230415.26</v>
      </c>
      <c r="E45" s="34"/>
    </row>
    <row r="46" spans="1:5" x14ac:dyDescent="0.25">
      <c r="A46" s="447"/>
      <c r="B46" s="35" t="s">
        <v>223</v>
      </c>
      <c r="C46" s="34"/>
      <c r="D46" s="36">
        <f>55342.66+104000+9467.44</f>
        <v>168810.1</v>
      </c>
      <c r="E46" s="34"/>
    </row>
    <row r="47" spans="1:5" x14ac:dyDescent="0.25">
      <c r="A47" s="34"/>
      <c r="B47" s="35" t="s">
        <v>224</v>
      </c>
      <c r="C47" s="34"/>
      <c r="D47" s="36">
        <f>D45-D46</f>
        <v>61605.16</v>
      </c>
      <c r="E47" s="34"/>
    </row>
    <row r="48" spans="1:5" x14ac:dyDescent="0.25">
      <c r="A48" s="37"/>
      <c r="B48" s="37" t="s">
        <v>45</v>
      </c>
      <c r="C48" s="37"/>
      <c r="D48" s="37" t="s">
        <v>46</v>
      </c>
      <c r="E48" s="37"/>
    </row>
    <row r="49" spans="1:5" x14ac:dyDescent="0.25">
      <c r="A49" s="37"/>
      <c r="B49" s="37" t="s">
        <v>47</v>
      </c>
      <c r="C49" s="37"/>
      <c r="D49" s="37" t="s">
        <v>48</v>
      </c>
      <c r="E49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6" workbookViewId="0">
      <selection activeCell="D39" sqref="D39"/>
    </sheetView>
  </sheetViews>
  <sheetFormatPr defaultRowHeight="15" x14ac:dyDescent="0.25"/>
  <cols>
    <col min="2" max="2" width="42.5703125" customWidth="1"/>
    <col min="4" max="4" width="11.140625" customWidth="1"/>
    <col min="5" max="5" width="11.28515625" customWidth="1"/>
    <col min="7" max="7" width="9.5703125" bestFit="1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199</v>
      </c>
    </row>
    <row r="5" spans="1:5" x14ac:dyDescent="0.25">
      <c r="A5" s="501"/>
      <c r="B5" s="501"/>
      <c r="C5" s="501"/>
      <c r="D5" s="397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8</v>
      </c>
      <c r="C9" s="9"/>
      <c r="D9" s="10">
        <v>251606.75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7687.9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4987.7</v>
      </c>
      <c r="E11" s="13"/>
    </row>
    <row r="12" spans="1:5" x14ac:dyDescent="0.25">
      <c r="A12" s="13"/>
      <c r="B12" s="15" t="s">
        <v>12</v>
      </c>
      <c r="C12" s="13" t="s">
        <v>13</v>
      </c>
      <c r="D12" s="19">
        <v>416635.92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425510.69</v>
      </c>
      <c r="E15" s="13"/>
    </row>
    <row r="16" spans="1:5" x14ac:dyDescent="0.25">
      <c r="A16" s="13">
        <v>2</v>
      </c>
      <c r="B16" s="13" t="s">
        <v>69</v>
      </c>
      <c r="C16" s="13" t="s">
        <v>13</v>
      </c>
      <c r="D16" s="13">
        <v>286000</v>
      </c>
      <c r="E16" s="13"/>
    </row>
    <row r="17" spans="1:5" x14ac:dyDescent="0.25">
      <c r="A17" s="13">
        <v>3</v>
      </c>
      <c r="B17" s="13" t="s">
        <v>117</v>
      </c>
      <c r="C17" s="13"/>
      <c r="D17" s="13">
        <v>6000</v>
      </c>
      <c r="E17" s="13"/>
    </row>
    <row r="18" spans="1:5" ht="15.75" x14ac:dyDescent="0.25">
      <c r="A18" s="13"/>
      <c r="B18" s="16" t="s">
        <v>17</v>
      </c>
      <c r="C18" s="13"/>
      <c r="D18" s="19">
        <f>D15+D16+D17</f>
        <v>717510.69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D22+D26</f>
        <v>150614.07</v>
      </c>
      <c r="E21" s="26">
        <f>E22</f>
        <v>29447.545859999998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D23+D24+D25</f>
        <v>145779.93</v>
      </c>
      <c r="E22" s="26">
        <f>E23+E24+E25</f>
        <v>29447.545859999998</v>
      </c>
    </row>
    <row r="23" spans="1:5" x14ac:dyDescent="0.25">
      <c r="A23" s="20"/>
      <c r="B23" s="20" t="s">
        <v>23</v>
      </c>
      <c r="C23" s="20"/>
      <c r="D23" s="20">
        <v>30883.96</v>
      </c>
      <c r="E23" s="28">
        <f>D23*20.2%</f>
        <v>6238.5599199999997</v>
      </c>
    </row>
    <row r="24" spans="1:5" x14ac:dyDescent="0.25">
      <c r="A24" s="20"/>
      <c r="B24" s="20" t="s">
        <v>24</v>
      </c>
      <c r="C24" s="20"/>
      <c r="D24" s="29">
        <v>47060.639999999999</v>
      </c>
      <c r="E24" s="28">
        <f t="shared" ref="E24:E25" si="0">D24*20.2%</f>
        <v>9506.24928</v>
      </c>
    </row>
    <row r="25" spans="1:5" x14ac:dyDescent="0.25">
      <c r="A25" s="20"/>
      <c r="B25" s="20" t="s">
        <v>25</v>
      </c>
      <c r="C25" s="20"/>
      <c r="D25" s="20">
        <v>67835.33</v>
      </c>
      <c r="E25" s="28">
        <f t="shared" si="0"/>
        <v>13702.736659999999</v>
      </c>
    </row>
    <row r="26" spans="1:5" x14ac:dyDescent="0.25">
      <c r="A26" s="20">
        <v>2</v>
      </c>
      <c r="B26" s="27" t="s">
        <v>26</v>
      </c>
      <c r="C26" s="20"/>
      <c r="D26" s="20">
        <f>82.39+4751.75</f>
        <v>4834.1400000000003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122595.73999999999</v>
      </c>
      <c r="E27" s="26">
        <f>E28</f>
        <v>17910.29162</v>
      </c>
    </row>
    <row r="28" spans="1:5" x14ac:dyDescent="0.25">
      <c r="A28" s="20">
        <v>1</v>
      </c>
      <c r="B28" s="31" t="s">
        <v>229</v>
      </c>
      <c r="C28" s="20"/>
      <c r="D28" s="31">
        <v>88664.81</v>
      </c>
      <c r="E28" s="28">
        <f>D28*20.2%</f>
        <v>17910.29162</v>
      </c>
    </row>
    <row r="29" spans="1:5" x14ac:dyDescent="0.25">
      <c r="A29" s="20">
        <v>2</v>
      </c>
      <c r="B29" s="31" t="s">
        <v>26</v>
      </c>
      <c r="C29" s="20"/>
      <c r="D29" s="31">
        <v>33930.93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D31+D32+D33+D35+D36+D37+D34</f>
        <v>112063.98243</v>
      </c>
      <c r="E30" s="20"/>
    </row>
    <row r="31" spans="1:5" x14ac:dyDescent="0.25">
      <c r="A31" s="20"/>
      <c r="B31" s="20" t="s">
        <v>31</v>
      </c>
      <c r="C31" s="20"/>
      <c r="D31" s="28">
        <f>D18*4.7%</f>
        <v>33723.00243</v>
      </c>
      <c r="E31" s="20"/>
    </row>
    <row r="32" spans="1:5" x14ac:dyDescent="0.25">
      <c r="A32" s="20"/>
      <c r="B32" s="20" t="s">
        <v>57</v>
      </c>
      <c r="C32" s="20"/>
      <c r="D32" s="20">
        <v>479.28</v>
      </c>
      <c r="E32" s="20"/>
    </row>
    <row r="33" spans="1:5" x14ac:dyDescent="0.25">
      <c r="A33" s="20"/>
      <c r="B33" s="20" t="s">
        <v>33</v>
      </c>
      <c r="C33" s="20"/>
      <c r="D33" s="28">
        <v>12960.38</v>
      </c>
      <c r="E33" s="20"/>
    </row>
    <row r="34" spans="1:5" x14ac:dyDescent="0.25">
      <c r="A34" s="20"/>
      <c r="B34" s="27" t="s">
        <v>118</v>
      </c>
      <c r="C34" s="20"/>
      <c r="D34" s="28">
        <v>50306.94</v>
      </c>
      <c r="E34" s="20"/>
    </row>
    <row r="35" spans="1:5" x14ac:dyDescent="0.25">
      <c r="A35" s="20"/>
      <c r="B35" s="31" t="s">
        <v>131</v>
      </c>
      <c r="C35" s="20"/>
      <c r="D35" s="20">
        <v>344</v>
      </c>
      <c r="E35" s="20"/>
    </row>
    <row r="36" spans="1:5" x14ac:dyDescent="0.25">
      <c r="A36" s="20"/>
      <c r="B36" s="27" t="s">
        <v>35</v>
      </c>
      <c r="C36" s="20"/>
      <c r="D36" s="20">
        <v>8166.62</v>
      </c>
      <c r="E36" s="20"/>
    </row>
    <row r="37" spans="1:5" x14ac:dyDescent="0.25">
      <c r="A37" s="20"/>
      <c r="B37" s="31" t="s">
        <v>37</v>
      </c>
      <c r="C37" s="20"/>
      <c r="D37" s="20">
        <v>6083.76</v>
      </c>
      <c r="E37" s="20"/>
    </row>
    <row r="38" spans="1:5" x14ac:dyDescent="0.25">
      <c r="A38" s="450" t="s">
        <v>82</v>
      </c>
      <c r="B38" s="22" t="s">
        <v>16</v>
      </c>
      <c r="C38" s="22"/>
      <c r="D38" s="22">
        <v>171288.33</v>
      </c>
      <c r="E38" s="20"/>
    </row>
    <row r="39" spans="1:5" x14ac:dyDescent="0.25">
      <c r="A39" s="73" t="s">
        <v>83</v>
      </c>
      <c r="B39" s="22" t="s">
        <v>38</v>
      </c>
      <c r="C39" s="20"/>
      <c r="D39" s="26">
        <v>96943.86</v>
      </c>
      <c r="E39" s="26"/>
    </row>
    <row r="40" spans="1:5" x14ac:dyDescent="0.25">
      <c r="A40" s="73" t="s">
        <v>84</v>
      </c>
      <c r="B40" s="22" t="s">
        <v>41</v>
      </c>
      <c r="C40" s="20"/>
      <c r="D40" s="26">
        <f>D21+E21+D27+E27+D30+D38+D39</f>
        <v>700863.81990999996</v>
      </c>
      <c r="E40" s="20"/>
    </row>
    <row r="41" spans="1:5" x14ac:dyDescent="0.25">
      <c r="A41" s="73" t="s">
        <v>85</v>
      </c>
      <c r="B41" s="20" t="s">
        <v>42</v>
      </c>
      <c r="C41" s="20"/>
      <c r="D41" s="26">
        <f>D18*6%</f>
        <v>43050.641399999993</v>
      </c>
      <c r="E41" s="20"/>
    </row>
    <row r="42" spans="1:5" x14ac:dyDescent="0.25">
      <c r="A42" s="73" t="s">
        <v>86</v>
      </c>
      <c r="B42" s="22" t="s">
        <v>43</v>
      </c>
      <c r="C42" s="20"/>
      <c r="D42" s="26">
        <f>D40+D41</f>
        <v>743914.46130999993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450" t="s">
        <v>222</v>
      </c>
      <c r="B44" s="22" t="s">
        <v>135</v>
      </c>
      <c r="C44" s="20"/>
      <c r="D44" s="26">
        <f>D18-D42</f>
        <v>-26403.771309999982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D9+D44</f>
        <v>225202.97869000002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7"/>
      <c r="B47" s="37" t="s">
        <v>45</v>
      </c>
      <c r="C47" s="37"/>
      <c r="D47" s="37" t="s">
        <v>46</v>
      </c>
      <c r="E47" s="37"/>
    </row>
    <row r="48" spans="1:5" x14ac:dyDescent="0.25">
      <c r="A48" s="37"/>
      <c r="B48" s="37" t="s">
        <v>47</v>
      </c>
      <c r="C48" s="37"/>
      <c r="D48" s="37" t="s">
        <v>48</v>
      </c>
      <c r="E48" s="37"/>
    </row>
  </sheetData>
  <mergeCells count="3">
    <mergeCell ref="D7:E7"/>
    <mergeCell ref="A5:C5"/>
    <mergeCell ref="D6:E6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9" workbookViewId="0">
      <selection activeCell="F49" sqref="F49:G49"/>
    </sheetView>
  </sheetViews>
  <sheetFormatPr defaultRowHeight="15" x14ac:dyDescent="0.25"/>
  <cols>
    <col min="2" max="2" width="42.140625" customWidth="1"/>
    <col min="4" max="4" width="11" customWidth="1"/>
    <col min="5" max="5" width="10.85546875" customWidth="1"/>
    <col min="7" max="7" width="9.5703125" bestFit="1" customWidth="1"/>
  </cols>
  <sheetData>
    <row r="1" spans="1:8" ht="15.75" x14ac:dyDescent="0.25">
      <c r="B1" s="1" t="s">
        <v>0</v>
      </c>
    </row>
    <row r="2" spans="1:8" x14ac:dyDescent="0.25">
      <c r="B2" t="s">
        <v>1</v>
      </c>
    </row>
    <row r="3" spans="1:8" x14ac:dyDescent="0.25">
      <c r="B3" t="s">
        <v>218</v>
      </c>
    </row>
    <row r="4" spans="1:8" x14ac:dyDescent="0.25">
      <c r="A4" s="57"/>
      <c r="B4" s="57"/>
      <c r="C4" s="57"/>
      <c r="D4" s="57"/>
    </row>
    <row r="5" spans="1:8" ht="15.75" x14ac:dyDescent="0.25">
      <c r="A5" s="2"/>
      <c r="B5" s="445" t="s">
        <v>3</v>
      </c>
      <c r="C5" s="446" t="s">
        <v>4</v>
      </c>
      <c r="D5" s="598" t="s">
        <v>5</v>
      </c>
      <c r="E5" s="599"/>
    </row>
    <row r="6" spans="1:8" ht="15.75" x14ac:dyDescent="0.25">
      <c r="A6" s="8"/>
      <c r="B6" s="6" t="s">
        <v>6</v>
      </c>
      <c r="C6" s="7" t="s">
        <v>7</v>
      </c>
      <c r="D6" s="504" t="s">
        <v>141</v>
      </c>
      <c r="E6" s="505"/>
    </row>
    <row r="7" spans="1:8" x14ac:dyDescent="0.25">
      <c r="A7" s="13"/>
      <c r="B7" s="14" t="s">
        <v>113</v>
      </c>
      <c r="C7" s="13"/>
      <c r="D7" s="429">
        <v>-324228.07</v>
      </c>
      <c r="E7" s="381"/>
    </row>
    <row r="8" spans="1:8" x14ac:dyDescent="0.25">
      <c r="A8" s="9"/>
      <c r="B8" s="12" t="s">
        <v>101</v>
      </c>
      <c r="C8" s="9"/>
      <c r="D8" s="10">
        <v>86645.52</v>
      </c>
      <c r="E8" s="11"/>
    </row>
    <row r="9" spans="1:8" x14ac:dyDescent="0.25">
      <c r="A9" s="13"/>
      <c r="B9" s="14" t="s">
        <v>9</v>
      </c>
      <c r="C9" s="13" t="s">
        <v>10</v>
      </c>
      <c r="D9" s="13">
        <v>6018.32</v>
      </c>
      <c r="E9" s="13"/>
    </row>
    <row r="10" spans="1:8" x14ac:dyDescent="0.25">
      <c r="A10" s="13"/>
      <c r="B10" s="14" t="s">
        <v>11</v>
      </c>
      <c r="C10" s="13" t="s">
        <v>10</v>
      </c>
      <c r="D10" s="13">
        <v>4518.3</v>
      </c>
      <c r="E10" s="13"/>
    </row>
    <row r="11" spans="1:8" x14ac:dyDescent="0.25">
      <c r="A11" s="13"/>
      <c r="B11" s="15" t="s">
        <v>12</v>
      </c>
      <c r="C11" s="13" t="s">
        <v>13</v>
      </c>
      <c r="D11" s="19">
        <v>526264.15</v>
      </c>
      <c r="E11" s="13"/>
    </row>
    <row r="12" spans="1:8" x14ac:dyDescent="0.25">
      <c r="A12" s="13"/>
      <c r="B12" s="15"/>
      <c r="C12" s="13"/>
      <c r="D12" s="19"/>
      <c r="E12" s="13"/>
    </row>
    <row r="13" spans="1:8" ht="15.75" x14ac:dyDescent="0.25">
      <c r="A13" s="13"/>
      <c r="B13" s="16" t="s">
        <v>14</v>
      </c>
      <c r="C13" s="13"/>
      <c r="D13" s="13"/>
      <c r="E13" s="13"/>
    </row>
    <row r="14" spans="1:8" x14ac:dyDescent="0.25">
      <c r="A14" s="13">
        <v>1</v>
      </c>
      <c r="B14" s="13" t="s">
        <v>15</v>
      </c>
      <c r="C14" s="13" t="s">
        <v>13</v>
      </c>
      <c r="D14" s="13">
        <f>6072.16+372724.18</f>
        <v>378796.33999999997</v>
      </c>
      <c r="E14" s="13"/>
    </row>
    <row r="15" spans="1:8" x14ac:dyDescent="0.25">
      <c r="A15" s="13">
        <v>2</v>
      </c>
      <c r="B15" s="13" t="s">
        <v>16</v>
      </c>
      <c r="C15" s="13"/>
      <c r="D15" s="13">
        <v>158721.12</v>
      </c>
      <c r="E15" s="13"/>
    </row>
    <row r="16" spans="1:8" x14ac:dyDescent="0.25">
      <c r="A16" s="13">
        <v>3</v>
      </c>
      <c r="B16" s="13" t="s">
        <v>92</v>
      </c>
      <c r="C16" s="13"/>
      <c r="D16" s="13">
        <v>6000</v>
      </c>
      <c r="E16" s="13"/>
      <c r="G16" s="465">
        <v>0.24</v>
      </c>
      <c r="H16">
        <f>D17*G16</f>
        <v>130444.19039999999</v>
      </c>
    </row>
    <row r="17" spans="1:5" ht="15.75" x14ac:dyDescent="0.25">
      <c r="A17" s="13"/>
      <c r="B17" s="16" t="s">
        <v>17</v>
      </c>
      <c r="C17" s="13"/>
      <c r="D17" s="19">
        <f>D14+D16+D15</f>
        <v>543517.46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18</v>
      </c>
      <c r="C19" s="20"/>
      <c r="D19" s="22"/>
      <c r="E19" s="23" t="s">
        <v>19</v>
      </c>
    </row>
    <row r="20" spans="1:5" x14ac:dyDescent="0.25">
      <c r="A20" s="24" t="s">
        <v>20</v>
      </c>
      <c r="B20" s="25" t="s">
        <v>21</v>
      </c>
      <c r="C20" s="20"/>
      <c r="D20" s="26">
        <f>D21+D25+D26</f>
        <v>161099.6</v>
      </c>
      <c r="E20" s="26">
        <f>E21</f>
        <v>31438.108399999997</v>
      </c>
    </row>
    <row r="21" spans="1:5" x14ac:dyDescent="0.25">
      <c r="A21" s="20">
        <v>1</v>
      </c>
      <c r="B21" s="22" t="s">
        <v>22</v>
      </c>
      <c r="C21" s="27" t="s">
        <v>13</v>
      </c>
      <c r="D21" s="26">
        <f>D22+D23+D24</f>
        <v>155634.20000000001</v>
      </c>
      <c r="E21" s="26">
        <f>E22+E23+E25+E24</f>
        <v>31438.108399999997</v>
      </c>
    </row>
    <row r="22" spans="1:5" x14ac:dyDescent="0.25">
      <c r="A22" s="20"/>
      <c r="B22" s="20" t="s">
        <v>23</v>
      </c>
      <c r="C22" s="13"/>
      <c r="D22" s="13">
        <v>51862.22</v>
      </c>
      <c r="E22" s="28">
        <f>D22*20.2%</f>
        <v>10476.168439999999</v>
      </c>
    </row>
    <row r="23" spans="1:5" x14ac:dyDescent="0.25">
      <c r="A23" s="20"/>
      <c r="B23" s="20" t="s">
        <v>24</v>
      </c>
      <c r="C23" s="13"/>
      <c r="D23" s="13">
        <v>49675.44</v>
      </c>
      <c r="E23" s="28">
        <f t="shared" ref="E23:E24" si="0">D23*20.2%</f>
        <v>10034.43888</v>
      </c>
    </row>
    <row r="24" spans="1:5" x14ac:dyDescent="0.25">
      <c r="A24" s="20"/>
      <c r="B24" s="20" t="s">
        <v>25</v>
      </c>
      <c r="C24" s="13"/>
      <c r="D24" s="13">
        <v>54096.54</v>
      </c>
      <c r="E24" s="28">
        <f t="shared" si="0"/>
        <v>10927.50108</v>
      </c>
    </row>
    <row r="25" spans="1:5" x14ac:dyDescent="0.25">
      <c r="A25" s="20">
        <v>2</v>
      </c>
      <c r="B25" s="27" t="s">
        <v>75</v>
      </c>
      <c r="C25" s="13"/>
      <c r="D25" s="13">
        <v>722.59</v>
      </c>
      <c r="E25" s="28"/>
    </row>
    <row r="26" spans="1:5" x14ac:dyDescent="0.25">
      <c r="A26" s="20">
        <v>3</v>
      </c>
      <c r="B26" s="27" t="s">
        <v>26</v>
      </c>
      <c r="C26" s="13"/>
      <c r="D26" s="13">
        <f>4668.18+74.63</f>
        <v>4742.8100000000004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</f>
        <v>84330.93</v>
      </c>
      <c r="E27" s="26">
        <f>E28</f>
        <v>16224.726859999997</v>
      </c>
    </row>
    <row r="28" spans="1:5" x14ac:dyDescent="0.25">
      <c r="A28" s="20">
        <v>1</v>
      </c>
      <c r="B28" s="31" t="s">
        <v>229</v>
      </c>
      <c r="C28" s="20"/>
      <c r="D28" s="31">
        <v>80320.429999999993</v>
      </c>
      <c r="E28" s="28">
        <f>D28*20.2%</f>
        <v>16224.726859999997</v>
      </c>
    </row>
    <row r="29" spans="1:5" x14ac:dyDescent="0.25">
      <c r="A29" s="20">
        <v>3</v>
      </c>
      <c r="B29" s="31" t="s">
        <v>26</v>
      </c>
      <c r="C29" s="20"/>
      <c r="D29" s="31">
        <v>4010.5</v>
      </c>
      <c r="E29" s="20"/>
    </row>
    <row r="30" spans="1:5" x14ac:dyDescent="0.25">
      <c r="A30" s="24" t="s">
        <v>29</v>
      </c>
      <c r="B30" s="22" t="s">
        <v>30</v>
      </c>
      <c r="C30" s="20"/>
      <c r="D30" s="26">
        <f>D31+D32+D34+D35+D36+D37+D33</f>
        <v>54074.433000000005</v>
      </c>
      <c r="E30" s="20"/>
    </row>
    <row r="31" spans="1:5" x14ac:dyDescent="0.25">
      <c r="A31" s="20"/>
      <c r="B31" s="20" t="s">
        <v>31</v>
      </c>
      <c r="C31" s="20"/>
      <c r="D31" s="28">
        <f>D17*5%</f>
        <v>27175.873</v>
      </c>
      <c r="E31" s="20"/>
    </row>
    <row r="32" spans="1:5" x14ac:dyDescent="0.25">
      <c r="A32" s="20"/>
      <c r="B32" s="20" t="s">
        <v>57</v>
      </c>
      <c r="C32" s="20"/>
      <c r="D32" s="20">
        <v>1560.65</v>
      </c>
      <c r="E32" s="20"/>
    </row>
    <row r="33" spans="1:5" x14ac:dyDescent="0.25">
      <c r="A33" s="20"/>
      <c r="B33" s="13" t="s">
        <v>32</v>
      </c>
      <c r="C33" s="13"/>
      <c r="D33" s="13">
        <v>0</v>
      </c>
      <c r="E33" s="20"/>
    </row>
    <row r="34" spans="1:5" x14ac:dyDescent="0.25">
      <c r="A34" s="20"/>
      <c r="B34" s="20" t="s">
        <v>33</v>
      </c>
      <c r="C34" s="20"/>
      <c r="D34" s="28">
        <v>11740.66</v>
      </c>
      <c r="E34" s="20"/>
    </row>
    <row r="35" spans="1:5" x14ac:dyDescent="0.25">
      <c r="A35" s="20"/>
      <c r="B35" s="27" t="s">
        <v>131</v>
      </c>
      <c r="C35" s="20"/>
      <c r="D35" s="20">
        <v>688</v>
      </c>
      <c r="E35" s="20"/>
    </row>
    <row r="36" spans="1:5" x14ac:dyDescent="0.25">
      <c r="A36" s="20"/>
      <c r="B36" s="27" t="s">
        <v>35</v>
      </c>
      <c r="C36" s="20"/>
      <c r="D36" s="20">
        <v>7398.04</v>
      </c>
      <c r="E36" s="20"/>
    </row>
    <row r="37" spans="1:5" x14ac:dyDescent="0.25">
      <c r="A37" s="20"/>
      <c r="B37" s="20" t="s">
        <v>37</v>
      </c>
      <c r="C37" s="20"/>
      <c r="D37" s="20">
        <v>5511.21</v>
      </c>
      <c r="E37" s="20"/>
    </row>
    <row r="38" spans="1:5" x14ac:dyDescent="0.25">
      <c r="A38" s="73" t="s">
        <v>82</v>
      </c>
      <c r="B38" s="22" t="s">
        <v>225</v>
      </c>
      <c r="C38" s="20"/>
      <c r="D38" s="26">
        <v>75751.990000000005</v>
      </c>
      <c r="E38" s="26"/>
    </row>
    <row r="39" spans="1:5" x14ac:dyDescent="0.25">
      <c r="A39" s="73" t="s">
        <v>83</v>
      </c>
      <c r="B39" s="22" t="s">
        <v>41</v>
      </c>
      <c r="C39" s="20"/>
      <c r="D39" s="26">
        <f>D20+E20+D27+E27+D30+D38+E38</f>
        <v>422919.78826</v>
      </c>
      <c r="E39" s="20"/>
    </row>
    <row r="40" spans="1:5" x14ac:dyDescent="0.25">
      <c r="A40" s="73" t="s">
        <v>84</v>
      </c>
      <c r="B40" s="20" t="s">
        <v>42</v>
      </c>
      <c r="C40" s="20"/>
      <c r="D40" s="26">
        <f>D17*6%</f>
        <v>32611.047599999998</v>
      </c>
      <c r="E40" s="20"/>
    </row>
    <row r="41" spans="1:5" x14ac:dyDescent="0.25">
      <c r="A41" s="73" t="s">
        <v>85</v>
      </c>
      <c r="B41" s="22" t="s">
        <v>43</v>
      </c>
      <c r="C41" s="20"/>
      <c r="D41" s="26">
        <f>D39+D40</f>
        <v>455530.83585999999</v>
      </c>
      <c r="E41" s="20"/>
    </row>
    <row r="42" spans="1:5" x14ac:dyDescent="0.25">
      <c r="A42" s="73"/>
      <c r="B42" s="20"/>
      <c r="C42" s="20"/>
      <c r="D42" s="20"/>
      <c r="E42" s="20"/>
    </row>
    <row r="43" spans="1:5" x14ac:dyDescent="0.25">
      <c r="A43" s="73" t="s">
        <v>86</v>
      </c>
      <c r="B43" s="22" t="s">
        <v>135</v>
      </c>
      <c r="C43" s="20"/>
      <c r="D43" s="26">
        <f>D14+D16-D41</f>
        <v>-70734.495860000025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D7+D43+16507</f>
        <v>-378455.56586000003</v>
      </c>
      <c r="E44" s="20"/>
    </row>
    <row r="45" spans="1:5" x14ac:dyDescent="0.25">
      <c r="A45" s="34"/>
      <c r="B45" s="35" t="s">
        <v>16</v>
      </c>
      <c r="C45" s="34"/>
      <c r="D45" s="36">
        <f>D8+D15</f>
        <v>245366.64</v>
      </c>
      <c r="E45" s="34"/>
    </row>
    <row r="46" spans="1:5" x14ac:dyDescent="0.25">
      <c r="A46" s="34"/>
      <c r="B46" s="35" t="s">
        <v>226</v>
      </c>
      <c r="C46" s="34"/>
      <c r="D46" s="36">
        <f>124025.16+16507+24500</f>
        <v>165032.16</v>
      </c>
      <c r="E46" s="34"/>
    </row>
    <row r="47" spans="1:5" x14ac:dyDescent="0.25">
      <c r="A47" s="34"/>
      <c r="B47" s="35" t="s">
        <v>115</v>
      </c>
      <c r="C47" s="34"/>
      <c r="D47" s="36">
        <f>D45-D46</f>
        <v>80334.48000000001</v>
      </c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45</v>
      </c>
      <c r="C49" s="37"/>
      <c r="D49" s="37" t="s">
        <v>46</v>
      </c>
      <c r="E49" s="37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G32" sqref="G32:I48"/>
    </sheetView>
  </sheetViews>
  <sheetFormatPr defaultRowHeight="15" x14ac:dyDescent="0.25"/>
  <cols>
    <col min="2" max="2" width="41" customWidth="1"/>
    <col min="4" max="4" width="11" customWidth="1"/>
    <col min="5" max="5" width="11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200</v>
      </c>
    </row>
    <row r="5" spans="1:5" x14ac:dyDescent="0.25">
      <c r="B5" t="s">
        <v>71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3</v>
      </c>
      <c r="C7" s="7" t="s">
        <v>4</v>
      </c>
      <c r="D7" s="502" t="s">
        <v>5</v>
      </c>
      <c r="E7" s="503"/>
    </row>
    <row r="8" spans="1:5" ht="15.75" x14ac:dyDescent="0.25">
      <c r="A8" s="8"/>
      <c r="B8" s="6" t="s">
        <v>6</v>
      </c>
      <c r="C8" s="7" t="s">
        <v>7</v>
      </c>
      <c r="D8" s="504" t="s">
        <v>152</v>
      </c>
      <c r="E8" s="505"/>
    </row>
    <row r="9" spans="1:5" ht="15.75" x14ac:dyDescent="0.25">
      <c r="A9" s="8"/>
      <c r="B9" s="432"/>
      <c r="C9" s="7"/>
      <c r="D9" s="398"/>
      <c r="E9" s="399"/>
    </row>
    <row r="10" spans="1:5" x14ac:dyDescent="0.25">
      <c r="A10" s="13"/>
      <c r="B10" s="12" t="s">
        <v>100</v>
      </c>
      <c r="C10" s="13" t="s">
        <v>10</v>
      </c>
      <c r="D10" s="13">
        <v>-125053.84</v>
      </c>
      <c r="E10" s="13"/>
    </row>
    <row r="11" spans="1:5" x14ac:dyDescent="0.25">
      <c r="A11" s="13"/>
      <c r="B11" s="12" t="s">
        <v>101</v>
      </c>
      <c r="C11" s="13"/>
      <c r="D11" s="13">
        <v>265526.31</v>
      </c>
      <c r="E11" s="13"/>
    </row>
    <row r="12" spans="1:5" x14ac:dyDescent="0.25">
      <c r="A12" s="13"/>
      <c r="B12" s="14" t="s">
        <v>9</v>
      </c>
      <c r="C12" s="13" t="s">
        <v>10</v>
      </c>
      <c r="D12" s="13">
        <v>7399.64</v>
      </c>
      <c r="E12" s="13"/>
    </row>
    <row r="13" spans="1:5" x14ac:dyDescent="0.25">
      <c r="A13" s="13"/>
      <c r="B13" s="14" t="s">
        <v>11</v>
      </c>
      <c r="C13" s="13" t="s">
        <v>10</v>
      </c>
      <c r="D13" s="17">
        <v>5164</v>
      </c>
      <c r="E13" s="13"/>
    </row>
    <row r="14" spans="1:5" x14ac:dyDescent="0.25">
      <c r="A14" s="13"/>
      <c r="B14" s="15" t="s">
        <v>12</v>
      </c>
      <c r="C14" s="13" t="s">
        <v>13</v>
      </c>
      <c r="D14" s="17">
        <v>609690.84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14</v>
      </c>
      <c r="C16" s="13"/>
      <c r="D16" s="13"/>
      <c r="E16" s="13"/>
    </row>
    <row r="17" spans="1:5" x14ac:dyDescent="0.25">
      <c r="A17" s="13">
        <v>1</v>
      </c>
      <c r="B17" s="13" t="s">
        <v>15</v>
      </c>
      <c r="C17" s="13" t="s">
        <v>13</v>
      </c>
      <c r="D17" s="17">
        <v>429730.09</v>
      </c>
      <c r="E17" s="13"/>
    </row>
    <row r="18" spans="1:5" x14ac:dyDescent="0.25">
      <c r="A18" s="13">
        <v>2</v>
      </c>
      <c r="B18" s="13" t="s">
        <v>16</v>
      </c>
      <c r="C18" s="13"/>
      <c r="D18" s="17">
        <v>186569.1</v>
      </c>
      <c r="E18" s="13"/>
    </row>
    <row r="19" spans="1:5" ht="15.75" x14ac:dyDescent="0.25">
      <c r="A19" s="13"/>
      <c r="B19" s="16" t="s">
        <v>17</v>
      </c>
      <c r="C19" s="13"/>
      <c r="D19" s="18">
        <f>D17+D18</f>
        <v>616299.19000000006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18</v>
      </c>
      <c r="C21" s="20"/>
      <c r="D21" s="22"/>
      <c r="E21" s="23" t="s">
        <v>19</v>
      </c>
    </row>
    <row r="22" spans="1:5" x14ac:dyDescent="0.25">
      <c r="A22" s="24" t="s">
        <v>20</v>
      </c>
      <c r="B22" s="25" t="s">
        <v>21</v>
      </c>
      <c r="C22" s="20"/>
      <c r="D22" s="26">
        <f>D23+D28</f>
        <v>126304.09999999999</v>
      </c>
      <c r="E22" s="26">
        <f>E23</f>
        <v>24003.468099999998</v>
      </c>
    </row>
    <row r="23" spans="1:5" x14ac:dyDescent="0.25">
      <c r="A23" s="20">
        <v>1</v>
      </c>
      <c r="B23" s="22" t="s">
        <v>22</v>
      </c>
      <c r="C23" s="27" t="s">
        <v>13</v>
      </c>
      <c r="D23" s="26">
        <f>D24+D25+D27+D26</f>
        <v>118829.04999999999</v>
      </c>
      <c r="E23" s="26">
        <f>E24+E25+E27+E26</f>
        <v>24003.468099999998</v>
      </c>
    </row>
    <row r="24" spans="1:5" x14ac:dyDescent="0.25">
      <c r="A24" s="20"/>
      <c r="B24" s="20" t="s">
        <v>23</v>
      </c>
      <c r="C24" s="20"/>
      <c r="D24" s="20">
        <v>25483.67</v>
      </c>
      <c r="E24" s="28">
        <f>D24*20.2%</f>
        <v>5147.7013399999996</v>
      </c>
    </row>
    <row r="25" spans="1:5" x14ac:dyDescent="0.25">
      <c r="A25" s="20"/>
      <c r="B25" s="20" t="s">
        <v>24</v>
      </c>
      <c r="C25" s="20"/>
      <c r="D25" s="29">
        <v>39760.82</v>
      </c>
      <c r="E25" s="28">
        <f t="shared" ref="E25:E27" si="0">D25*20.2%</f>
        <v>8031.6856399999997</v>
      </c>
    </row>
    <row r="26" spans="1:5" x14ac:dyDescent="0.25">
      <c r="A26" s="20"/>
      <c r="B26" s="20" t="s">
        <v>25</v>
      </c>
      <c r="C26" s="20"/>
      <c r="D26" s="20">
        <v>53584.56</v>
      </c>
      <c r="E26" s="28">
        <f t="shared" si="0"/>
        <v>10824.081119999999</v>
      </c>
    </row>
    <row r="27" spans="1:5" x14ac:dyDescent="0.25">
      <c r="A27" s="20"/>
      <c r="B27" s="31" t="s">
        <v>75</v>
      </c>
      <c r="C27" s="20"/>
      <c r="D27" s="20">
        <v>0</v>
      </c>
      <c r="E27" s="28">
        <f t="shared" si="0"/>
        <v>0</v>
      </c>
    </row>
    <row r="28" spans="1:5" x14ac:dyDescent="0.25">
      <c r="A28" s="20">
        <v>2</v>
      </c>
      <c r="B28" s="27" t="s">
        <v>26</v>
      </c>
      <c r="C28" s="20"/>
      <c r="D28" s="20">
        <f>85.3+7389.75</f>
        <v>7475.05</v>
      </c>
      <c r="E28" s="28"/>
    </row>
    <row r="29" spans="1:5" x14ac:dyDescent="0.25">
      <c r="A29" s="24" t="s">
        <v>27</v>
      </c>
      <c r="B29" s="30" t="s">
        <v>28</v>
      </c>
      <c r="C29" s="20"/>
      <c r="D29" s="22">
        <f>D30+D31</f>
        <v>93581.239999999991</v>
      </c>
      <c r="E29" s="26">
        <f>E30</f>
        <v>18543.365679999999</v>
      </c>
    </row>
    <row r="30" spans="1:5" x14ac:dyDescent="0.25">
      <c r="A30" s="20">
        <v>1</v>
      </c>
      <c r="B30" s="31" t="s">
        <v>229</v>
      </c>
      <c r="C30" s="20"/>
      <c r="D30" s="31">
        <v>91798.84</v>
      </c>
      <c r="E30" s="28">
        <f>D30*20.2%</f>
        <v>18543.365679999999</v>
      </c>
    </row>
    <row r="31" spans="1:5" x14ac:dyDescent="0.25">
      <c r="A31" s="20">
        <v>2</v>
      </c>
      <c r="B31" s="31" t="s">
        <v>26</v>
      </c>
      <c r="C31" s="20"/>
      <c r="D31" s="31">
        <v>1782.4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D33+D34+D35+D36+D37+D38</f>
        <v>59141.331930000008</v>
      </c>
      <c r="E32" s="20"/>
    </row>
    <row r="33" spans="1:5" x14ac:dyDescent="0.25">
      <c r="A33" s="20"/>
      <c r="B33" s="20" t="s">
        <v>31</v>
      </c>
      <c r="C33" s="20"/>
      <c r="D33" s="28">
        <f>D19*4.7%</f>
        <v>28966.061930000003</v>
      </c>
      <c r="E33" s="20"/>
    </row>
    <row r="34" spans="1:5" x14ac:dyDescent="0.25">
      <c r="A34" s="20"/>
      <c r="B34" s="20" t="s">
        <v>57</v>
      </c>
      <c r="C34" s="20"/>
      <c r="D34" s="20">
        <v>1658.7</v>
      </c>
      <c r="E34" s="20"/>
    </row>
    <row r="35" spans="1:5" x14ac:dyDescent="0.25">
      <c r="A35" s="20"/>
      <c r="B35" s="20" t="s">
        <v>33</v>
      </c>
      <c r="C35" s="20"/>
      <c r="D35" s="28">
        <v>13418.49</v>
      </c>
      <c r="E35" s="20"/>
    </row>
    <row r="36" spans="1:5" x14ac:dyDescent="0.25">
      <c r="A36" s="20"/>
      <c r="B36" s="27" t="s">
        <v>131</v>
      </c>
      <c r="C36" s="20"/>
      <c r="D36" s="20">
        <v>344</v>
      </c>
      <c r="E36" s="20"/>
    </row>
    <row r="37" spans="1:5" x14ac:dyDescent="0.25">
      <c r="A37" s="20"/>
      <c r="B37" s="27" t="s">
        <v>35</v>
      </c>
      <c r="C37" s="20"/>
      <c r="D37" s="20">
        <v>8455.2800000000007</v>
      </c>
      <c r="E37" s="20"/>
    </row>
    <row r="38" spans="1:5" x14ac:dyDescent="0.25">
      <c r="A38" s="20"/>
      <c r="B38" s="31" t="s">
        <v>37</v>
      </c>
      <c r="C38" s="20"/>
      <c r="D38" s="20">
        <v>6298.8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86787.64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D22+E22+D29+E29+D32+D39+E39</f>
        <v>408361.14570999995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D19*6%</f>
        <v>36977.951400000005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445339.09710999997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D17-D42+19962.89</f>
        <v>4353.8828900000517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D10+D44</f>
        <v>-120699.95710999994</v>
      </c>
      <c r="E45" s="20"/>
    </row>
    <row r="46" spans="1:5" x14ac:dyDescent="0.25">
      <c r="A46" s="34"/>
      <c r="B46" s="35" t="s">
        <v>16</v>
      </c>
      <c r="C46" s="34"/>
      <c r="D46" s="36">
        <f>D11+D18</f>
        <v>452095.41000000003</v>
      </c>
      <c r="E46" s="34"/>
    </row>
    <row r="47" spans="1:5" x14ac:dyDescent="0.25">
      <c r="A47" s="34"/>
      <c r="B47" s="433" t="s">
        <v>226</v>
      </c>
      <c r="C47" s="34"/>
      <c r="D47" s="36">
        <f>314990.21+19962.89</f>
        <v>334953.10000000003</v>
      </c>
      <c r="E47" s="34"/>
    </row>
    <row r="48" spans="1:5" x14ac:dyDescent="0.25">
      <c r="A48" s="34"/>
      <c r="B48" s="433" t="s">
        <v>115</v>
      </c>
      <c r="C48" s="34"/>
      <c r="D48" s="36">
        <f>D46-D47</f>
        <v>117142.31</v>
      </c>
      <c r="E48" s="34"/>
    </row>
    <row r="49" spans="1:5" x14ac:dyDescent="0.25">
      <c r="A49" s="34"/>
      <c r="B49" s="384" t="s">
        <v>77</v>
      </c>
      <c r="C49" s="34"/>
      <c r="D49" s="386" t="s">
        <v>46</v>
      </c>
      <c r="E49" s="34"/>
    </row>
    <row r="50" spans="1:5" x14ac:dyDescent="0.25">
      <c r="A50" s="37"/>
      <c r="B50" s="37" t="s">
        <v>47</v>
      </c>
      <c r="C50" s="37"/>
      <c r="D50" s="37" t="s">
        <v>48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2" workbookViewId="0">
      <selection activeCell="D40" sqref="D40"/>
    </sheetView>
  </sheetViews>
  <sheetFormatPr defaultRowHeight="15" x14ac:dyDescent="0.25"/>
  <cols>
    <col min="2" max="2" width="35.42578125" customWidth="1"/>
    <col min="4" max="4" width="15.140625" customWidth="1"/>
    <col min="5" max="5" width="15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230</v>
      </c>
    </row>
    <row r="7" spans="1:5" x14ac:dyDescent="0.25">
      <c r="A7" s="2"/>
      <c r="B7" s="2"/>
      <c r="C7" s="2"/>
      <c r="D7" s="3"/>
      <c r="E7" s="4"/>
    </row>
    <row r="8" spans="1:5" ht="15.75" x14ac:dyDescent="0.25">
      <c r="A8" s="5"/>
      <c r="B8" s="6" t="s">
        <v>3</v>
      </c>
      <c r="C8" s="7" t="s">
        <v>4</v>
      </c>
      <c r="D8" s="502" t="s">
        <v>5</v>
      </c>
      <c r="E8" s="503"/>
    </row>
    <row r="9" spans="1:5" ht="15.75" x14ac:dyDescent="0.25">
      <c r="A9" s="8"/>
      <c r="B9" s="6" t="s">
        <v>6</v>
      </c>
      <c r="C9" s="7" t="s">
        <v>7</v>
      </c>
      <c r="D9" s="504" t="s">
        <v>231</v>
      </c>
      <c r="E9" s="505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100</v>
      </c>
      <c r="C11" s="9"/>
      <c r="D11" s="10">
        <v>-66948.59</v>
      </c>
      <c r="E11" s="11"/>
    </row>
    <row r="12" spans="1:5" x14ac:dyDescent="0.25">
      <c r="A12" s="9"/>
      <c r="B12" s="12" t="s">
        <v>101</v>
      </c>
      <c r="C12" s="9"/>
      <c r="D12" s="10">
        <v>177417.05</v>
      </c>
      <c r="E12" s="11"/>
    </row>
    <row r="13" spans="1:5" x14ac:dyDescent="0.25">
      <c r="A13" s="13"/>
      <c r="B13" s="14" t="s">
        <v>9</v>
      </c>
      <c r="C13" s="13" t="s">
        <v>10</v>
      </c>
      <c r="D13" s="13">
        <v>6804.5</v>
      </c>
      <c r="E13" s="13"/>
    </row>
    <row r="14" spans="1:5" x14ac:dyDescent="0.25">
      <c r="A14" s="13"/>
      <c r="B14" s="14" t="s">
        <v>11</v>
      </c>
      <c r="C14" s="13" t="s">
        <v>10</v>
      </c>
      <c r="D14" s="13">
        <v>5184.7</v>
      </c>
      <c r="E14" s="13"/>
    </row>
    <row r="15" spans="1:5" x14ac:dyDescent="0.25">
      <c r="A15" s="13"/>
      <c r="B15" s="15" t="s">
        <v>12</v>
      </c>
      <c r="C15" s="13" t="s">
        <v>13</v>
      </c>
      <c r="D15" s="462">
        <v>607920.38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14</v>
      </c>
      <c r="C17" s="13"/>
      <c r="D17" s="13"/>
      <c r="E17" s="13"/>
    </row>
    <row r="18" spans="1:5" x14ac:dyDescent="0.25">
      <c r="A18" s="13">
        <v>1</v>
      </c>
      <c r="B18" s="13" t="s">
        <v>15</v>
      </c>
      <c r="C18" s="13" t="s">
        <v>13</v>
      </c>
      <c r="D18" s="17">
        <v>479102.99</v>
      </c>
      <c r="E18" s="13"/>
    </row>
    <row r="19" spans="1:5" x14ac:dyDescent="0.25">
      <c r="A19" s="13">
        <v>2</v>
      </c>
      <c r="B19" s="13" t="s">
        <v>16</v>
      </c>
      <c r="C19" s="13"/>
      <c r="D19" s="17">
        <v>126078.66</v>
      </c>
      <c r="E19" s="13"/>
    </row>
    <row r="20" spans="1:5" x14ac:dyDescent="0.25">
      <c r="A20" s="13">
        <v>3</v>
      </c>
      <c r="B20" s="13" t="s">
        <v>119</v>
      </c>
      <c r="C20" s="13"/>
      <c r="D20" s="17">
        <v>12000</v>
      </c>
      <c r="E20" s="13"/>
    </row>
    <row r="21" spans="1:5" ht="15.75" x14ac:dyDescent="0.25">
      <c r="A21" s="13"/>
      <c r="B21" s="16" t="s">
        <v>17</v>
      </c>
      <c r="C21" s="13"/>
      <c r="D21" s="18">
        <f>D18+D19+D20</f>
        <v>617181.65</v>
      </c>
      <c r="E21" s="13"/>
    </row>
    <row r="22" spans="1:5" ht="15.75" x14ac:dyDescent="0.25">
      <c r="A22" s="13"/>
      <c r="B22" s="16"/>
      <c r="C22" s="13"/>
      <c r="D22" s="19"/>
      <c r="E22" s="13"/>
    </row>
    <row r="23" spans="1:5" ht="15.75" x14ac:dyDescent="0.25">
      <c r="A23" s="20"/>
      <c r="B23" s="21" t="s">
        <v>18</v>
      </c>
      <c r="C23" s="20"/>
      <c r="D23" s="22"/>
      <c r="E23" s="23" t="s">
        <v>19</v>
      </c>
    </row>
    <row r="24" spans="1:5" x14ac:dyDescent="0.25">
      <c r="A24" s="24" t="s">
        <v>20</v>
      </c>
      <c r="B24" s="25" t="s">
        <v>21</v>
      </c>
      <c r="C24" s="20"/>
      <c r="D24" s="22">
        <f>D25+D28</f>
        <v>67654.3</v>
      </c>
      <c r="E24" s="26">
        <f>E25</f>
        <v>13422.730320000001</v>
      </c>
    </row>
    <row r="25" spans="1:5" x14ac:dyDescent="0.25">
      <c r="A25" s="20">
        <v>1</v>
      </c>
      <c r="B25" s="22" t="s">
        <v>22</v>
      </c>
      <c r="C25" s="27" t="s">
        <v>13</v>
      </c>
      <c r="D25" s="22">
        <f>D26+D27</f>
        <v>66449.16</v>
      </c>
      <c r="E25" s="26">
        <f>E26+E27</f>
        <v>13422.730320000001</v>
      </c>
    </row>
    <row r="26" spans="1:5" x14ac:dyDescent="0.25">
      <c r="A26" s="20"/>
      <c r="B26" s="20" t="s">
        <v>23</v>
      </c>
      <c r="C26" s="20"/>
      <c r="D26" s="20">
        <v>66449.16</v>
      </c>
      <c r="E26" s="28">
        <f>D26*20.2%</f>
        <v>13422.730320000001</v>
      </c>
    </row>
    <row r="27" spans="1:5" x14ac:dyDescent="0.25">
      <c r="A27" s="20"/>
      <c r="B27" s="27" t="s">
        <v>75</v>
      </c>
      <c r="C27" s="13"/>
      <c r="D27" s="13">
        <v>0</v>
      </c>
      <c r="E27" s="28">
        <f>D27*20.2%</f>
        <v>0</v>
      </c>
    </row>
    <row r="28" spans="1:5" x14ac:dyDescent="0.25">
      <c r="A28" s="20">
        <v>2</v>
      </c>
      <c r="B28" s="27" t="s">
        <v>26</v>
      </c>
      <c r="C28" s="20"/>
      <c r="D28" s="20">
        <f>1119.5+85.64</f>
        <v>1205.1400000000001</v>
      </c>
      <c r="E28" s="28"/>
    </row>
    <row r="29" spans="1:5" x14ac:dyDescent="0.25">
      <c r="A29" s="24" t="s">
        <v>27</v>
      </c>
      <c r="B29" s="30" t="s">
        <v>28</v>
      </c>
      <c r="C29" s="20"/>
      <c r="D29" s="22">
        <f>D30+D31</f>
        <v>105337.95000000001</v>
      </c>
      <c r="E29" s="26">
        <f>E30</f>
        <v>18617.697639999999</v>
      </c>
    </row>
    <row r="30" spans="1:5" x14ac:dyDescent="0.25">
      <c r="A30" s="20">
        <v>1</v>
      </c>
      <c r="B30" s="31" t="s">
        <v>229</v>
      </c>
      <c r="C30" s="20"/>
      <c r="D30" s="31">
        <v>92166.82</v>
      </c>
      <c r="E30" s="28">
        <f>D30*20.2%</f>
        <v>18617.697639999999</v>
      </c>
    </row>
    <row r="31" spans="1:5" x14ac:dyDescent="0.25">
      <c r="A31" s="20">
        <v>2</v>
      </c>
      <c r="B31" s="31" t="s">
        <v>26</v>
      </c>
      <c r="C31" s="20"/>
      <c r="D31" s="31">
        <v>13171.13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D33+D34+D36+D37+D35+D38</f>
        <v>90713.44</v>
      </c>
      <c r="E32" s="20"/>
    </row>
    <row r="33" spans="1:5" x14ac:dyDescent="0.25">
      <c r="A33" s="20"/>
      <c r="B33" s="20" t="s">
        <v>32</v>
      </c>
      <c r="C33" s="20"/>
      <c r="D33" s="20">
        <v>6286</v>
      </c>
      <c r="E33" s="20"/>
    </row>
    <row r="34" spans="1:5" x14ac:dyDescent="0.25">
      <c r="A34" s="20"/>
      <c r="B34" s="20" t="s">
        <v>33</v>
      </c>
      <c r="C34" s="20"/>
      <c r="D34" s="28">
        <v>13472.28</v>
      </c>
      <c r="E34" s="20"/>
    </row>
    <row r="35" spans="1:5" x14ac:dyDescent="0.25">
      <c r="A35" s="20"/>
      <c r="B35" s="31" t="s">
        <v>219</v>
      </c>
      <c r="C35" s="20"/>
      <c r="D35" s="20">
        <v>2000</v>
      </c>
      <c r="E35" s="20"/>
    </row>
    <row r="36" spans="1:5" x14ac:dyDescent="0.25">
      <c r="A36" s="20"/>
      <c r="B36" s="27" t="s">
        <v>35</v>
      </c>
      <c r="C36" s="20"/>
      <c r="D36" s="20">
        <v>8489.17</v>
      </c>
      <c r="E36" s="20"/>
    </row>
    <row r="37" spans="1:5" x14ac:dyDescent="0.25">
      <c r="A37" s="20"/>
      <c r="B37" s="27" t="s">
        <v>36</v>
      </c>
      <c r="C37" s="20"/>
      <c r="D37" s="32">
        <v>56730.66</v>
      </c>
      <c r="E37" s="20"/>
    </row>
    <row r="38" spans="1:5" x14ac:dyDescent="0.25">
      <c r="A38" s="20"/>
      <c r="B38" s="27" t="s">
        <v>131</v>
      </c>
      <c r="C38" s="20"/>
      <c r="D38" s="32">
        <v>3735.33</v>
      </c>
      <c r="E38" s="20"/>
    </row>
    <row r="39" spans="1:5" x14ac:dyDescent="0.25">
      <c r="A39" s="73" t="s">
        <v>82</v>
      </c>
      <c r="B39" s="22" t="s">
        <v>38</v>
      </c>
      <c r="C39" s="20"/>
      <c r="D39" s="26">
        <v>122456.26</v>
      </c>
      <c r="E39" s="26"/>
    </row>
    <row r="40" spans="1:5" x14ac:dyDescent="0.25">
      <c r="A40" s="73" t="s">
        <v>83</v>
      </c>
      <c r="B40" s="22" t="s">
        <v>41</v>
      </c>
      <c r="C40" s="20"/>
      <c r="D40" s="26">
        <f>D24+E24+D29+E29+D32+D39+E39</f>
        <v>418202.37796000007</v>
      </c>
      <c r="E40" s="20"/>
    </row>
    <row r="41" spans="1:5" x14ac:dyDescent="0.25">
      <c r="A41" s="73" t="s">
        <v>84</v>
      </c>
      <c r="B41" s="20" t="s">
        <v>42</v>
      </c>
      <c r="C41" s="20"/>
      <c r="D41" s="26">
        <f>D21*6%</f>
        <v>37030.898999999998</v>
      </c>
      <c r="E41" s="20"/>
    </row>
    <row r="42" spans="1:5" x14ac:dyDescent="0.25">
      <c r="A42" s="73" t="s">
        <v>85</v>
      </c>
      <c r="B42" s="22" t="s">
        <v>43</v>
      </c>
      <c r="C42" s="20"/>
      <c r="D42" s="26">
        <f>D40+D41</f>
        <v>455233.27696000005</v>
      </c>
      <c r="E42" s="20"/>
    </row>
    <row r="43" spans="1:5" x14ac:dyDescent="0.25">
      <c r="A43" s="73"/>
      <c r="B43" s="20"/>
      <c r="C43" s="20"/>
      <c r="D43" s="20"/>
      <c r="E43" s="20"/>
    </row>
    <row r="44" spans="1:5" x14ac:dyDescent="0.25">
      <c r="A44" s="73" t="s">
        <v>86</v>
      </c>
      <c r="B44" s="22" t="s">
        <v>135</v>
      </c>
      <c r="C44" s="20"/>
      <c r="D44" s="26">
        <f>D18+D20-D42</f>
        <v>35869.713039999944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D11+D44+13112.18</f>
        <v>-17966.696960000052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s="431" t="s">
        <v>124</v>
      </c>
      <c r="C49" s="34"/>
      <c r="D49" s="36">
        <f>D12+D19</f>
        <v>303495.70999999996</v>
      </c>
      <c r="E49" s="34"/>
    </row>
    <row r="50" spans="1:5" x14ac:dyDescent="0.25">
      <c r="A50" s="34"/>
      <c r="B50" s="431"/>
      <c r="C50" s="34"/>
      <c r="D50" s="36"/>
      <c r="E50" s="34"/>
    </row>
    <row r="51" spans="1:5" x14ac:dyDescent="0.25">
      <c r="A51" s="34"/>
      <c r="B51" s="431" t="s">
        <v>103</v>
      </c>
      <c r="C51" s="34"/>
      <c r="D51" s="36">
        <f>92323.71+13112.18</f>
        <v>105435.89000000001</v>
      </c>
      <c r="E51" s="34"/>
    </row>
    <row r="52" spans="1:5" x14ac:dyDescent="0.25">
      <c r="A52" s="34"/>
      <c r="B52" s="431"/>
      <c r="C52" s="34"/>
      <c r="D52" s="36"/>
      <c r="E52" s="34"/>
    </row>
    <row r="53" spans="1:5" x14ac:dyDescent="0.25">
      <c r="A53" s="34"/>
      <c r="B53" s="431" t="s">
        <v>115</v>
      </c>
      <c r="C53" s="34"/>
      <c r="D53" s="36">
        <f>D49-D51</f>
        <v>198059.81999999995</v>
      </c>
      <c r="E53" s="34"/>
    </row>
    <row r="54" spans="1:5" x14ac:dyDescent="0.25">
      <c r="A54" s="34"/>
      <c r="B54" s="431"/>
      <c r="C54" s="34"/>
      <c r="D54" s="36"/>
      <c r="E54" s="34"/>
    </row>
    <row r="55" spans="1:5" x14ac:dyDescent="0.25">
      <c r="A55" s="34"/>
      <c r="B55" s="431"/>
      <c r="C55" s="34"/>
      <c r="D55" s="36"/>
      <c r="E55" s="34"/>
    </row>
    <row r="56" spans="1:5" x14ac:dyDescent="0.25">
      <c r="A56" s="34"/>
      <c r="B56" s="431"/>
      <c r="C56" s="34"/>
      <c r="D56" s="36"/>
      <c r="E56" s="34"/>
    </row>
    <row r="57" spans="1:5" x14ac:dyDescent="0.25">
      <c r="A57" s="34"/>
      <c r="B57" s="35"/>
      <c r="C57" s="34"/>
      <c r="D57" s="36"/>
      <c r="E57" s="34"/>
    </row>
    <row r="58" spans="1:5" x14ac:dyDescent="0.25">
      <c r="B58" t="s">
        <v>45</v>
      </c>
      <c r="D58" t="s">
        <v>46</v>
      </c>
    </row>
    <row r="59" spans="1:5" x14ac:dyDescent="0.25">
      <c r="B59" t="s">
        <v>47</v>
      </c>
      <c r="D59" t="s">
        <v>48</v>
      </c>
    </row>
    <row r="60" spans="1:5" x14ac:dyDescent="0.25">
      <c r="A60" s="37"/>
      <c r="B60" s="37"/>
    </row>
  </sheetData>
  <mergeCells count="2"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0" workbookViewId="0">
      <selection activeCell="G30" sqref="G30:J46"/>
    </sheetView>
  </sheetViews>
  <sheetFormatPr defaultRowHeight="15" x14ac:dyDescent="0.25"/>
  <cols>
    <col min="2" max="2" width="40.140625" customWidth="1"/>
    <col min="4" max="4" width="11.7109375" customWidth="1"/>
    <col min="5" max="5" width="12.5703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201</v>
      </c>
    </row>
    <row r="5" spans="1:5" x14ac:dyDescent="0.25">
      <c r="A5" s="501"/>
      <c r="B5" s="501"/>
      <c r="C5" s="501"/>
      <c r="D5" s="397"/>
      <c r="E5" s="58"/>
    </row>
    <row r="6" spans="1:5" ht="15.75" x14ac:dyDescent="0.25">
      <c r="A6" s="5"/>
      <c r="B6" s="6" t="s">
        <v>3</v>
      </c>
      <c r="C6" s="7" t="s">
        <v>4</v>
      </c>
      <c r="D6" s="502" t="s">
        <v>5</v>
      </c>
      <c r="E6" s="503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8</v>
      </c>
      <c r="C8" s="13"/>
      <c r="D8" s="429">
        <v>102486.12</v>
      </c>
      <c r="E8" s="381"/>
    </row>
    <row r="9" spans="1:5" x14ac:dyDescent="0.25">
      <c r="A9" s="13"/>
      <c r="B9" s="14" t="s">
        <v>9</v>
      </c>
      <c r="C9" s="13" t="s">
        <v>10</v>
      </c>
      <c r="D9" s="13">
        <v>5925.2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4452.3</v>
      </c>
      <c r="E10" s="13"/>
    </row>
    <row r="11" spans="1:5" x14ac:dyDescent="0.25">
      <c r="A11" s="13"/>
      <c r="B11" s="15" t="s">
        <v>12</v>
      </c>
      <c r="C11" s="13" t="s">
        <v>13</v>
      </c>
      <c r="D11" s="462">
        <v>340278.4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3">
        <v>332338.12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17</v>
      </c>
      <c r="C16" s="13"/>
      <c r="D16" s="19">
        <f>D14+D15</f>
        <v>332338.12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6">
        <f>D20+D24+D23</f>
        <v>31051.11</v>
      </c>
      <c r="E19" s="26">
        <f>E20</f>
        <v>5224.7905999999994</v>
      </c>
    </row>
    <row r="20" spans="1:5" x14ac:dyDescent="0.25">
      <c r="A20" s="20">
        <v>1</v>
      </c>
      <c r="B20" s="22" t="s">
        <v>22</v>
      </c>
      <c r="C20" s="27" t="s">
        <v>13</v>
      </c>
      <c r="D20" s="26">
        <f>D21+D22</f>
        <v>25865.3</v>
      </c>
      <c r="E20" s="26">
        <f>E21+E22</f>
        <v>5224.7905999999994</v>
      </c>
    </row>
    <row r="21" spans="1:5" x14ac:dyDescent="0.25">
      <c r="A21" s="20"/>
      <c r="B21" s="20" t="s">
        <v>23</v>
      </c>
      <c r="C21" s="20"/>
      <c r="D21" s="20">
        <v>25865.3</v>
      </c>
      <c r="E21" s="28">
        <f>D21*20.2%</f>
        <v>5224.7905999999994</v>
      </c>
    </row>
    <row r="22" spans="1:5" x14ac:dyDescent="0.25">
      <c r="A22" s="20"/>
      <c r="B22" s="27" t="s">
        <v>75</v>
      </c>
      <c r="C22" s="20"/>
      <c r="D22" s="29">
        <v>0</v>
      </c>
      <c r="E22" s="28">
        <f>D22*20.2%</f>
        <v>0</v>
      </c>
    </row>
    <row r="23" spans="1:5" x14ac:dyDescent="0.25">
      <c r="A23" s="20"/>
      <c r="B23" s="20" t="s">
        <v>212</v>
      </c>
      <c r="C23" s="20"/>
      <c r="D23" s="29">
        <v>4468.75</v>
      </c>
      <c r="E23" s="28"/>
    </row>
    <row r="24" spans="1:5" x14ac:dyDescent="0.25">
      <c r="A24" s="20">
        <v>2</v>
      </c>
      <c r="B24" s="27" t="s">
        <v>26</v>
      </c>
      <c r="C24" s="20"/>
      <c r="D24" s="20">
        <f>73.54+643.52</f>
        <v>717.06</v>
      </c>
      <c r="E24" s="28"/>
    </row>
    <row r="25" spans="1:5" x14ac:dyDescent="0.25">
      <c r="A25" s="24" t="s">
        <v>27</v>
      </c>
      <c r="B25" s="30" t="s">
        <v>28</v>
      </c>
      <c r="C25" s="20"/>
      <c r="D25" s="26">
        <f>D26+D27</f>
        <v>124531.81</v>
      </c>
      <c r="E25" s="26">
        <f>E26</f>
        <v>15987.728339999998</v>
      </c>
    </row>
    <row r="26" spans="1:5" x14ac:dyDescent="0.25">
      <c r="A26" s="20">
        <v>1</v>
      </c>
      <c r="B26" s="31" t="s">
        <v>229</v>
      </c>
      <c r="C26" s="20"/>
      <c r="D26" s="31">
        <v>79147.17</v>
      </c>
      <c r="E26" s="28">
        <f>D26*20.2%</f>
        <v>15987.728339999998</v>
      </c>
    </row>
    <row r="27" spans="1:5" x14ac:dyDescent="0.25">
      <c r="A27" s="20">
        <v>2</v>
      </c>
      <c r="B27" s="31" t="s">
        <v>26</v>
      </c>
      <c r="C27" s="20"/>
      <c r="D27" s="31">
        <f>571.98+44812.66</f>
        <v>45384.640000000007</v>
      </c>
      <c r="E27" s="28"/>
    </row>
    <row r="28" spans="1:5" x14ac:dyDescent="0.25">
      <c r="A28" s="24" t="s">
        <v>29</v>
      </c>
      <c r="B28" s="22" t="s">
        <v>30</v>
      </c>
      <c r="C28" s="20"/>
      <c r="D28" s="26">
        <f>D29+D30+D31+D32+D33+D34+D35+D36</f>
        <v>46414.271639999992</v>
      </c>
      <c r="E28" s="20"/>
    </row>
    <row r="29" spans="1:5" x14ac:dyDescent="0.25">
      <c r="A29" s="20"/>
      <c r="B29" s="20" t="s">
        <v>31</v>
      </c>
      <c r="C29" s="20"/>
      <c r="D29" s="28">
        <f>D16*4.7%</f>
        <v>15619.89164</v>
      </c>
      <c r="E29" s="20"/>
    </row>
    <row r="30" spans="1:5" x14ac:dyDescent="0.25">
      <c r="A30" s="20"/>
      <c r="B30" s="20" t="s">
        <v>57</v>
      </c>
      <c r="C30" s="20"/>
      <c r="D30" s="31">
        <v>1517.54</v>
      </c>
      <c r="E30" s="20"/>
    </row>
    <row r="31" spans="1:5" x14ac:dyDescent="0.25">
      <c r="A31" s="20"/>
      <c r="B31" s="20" t="s">
        <v>33</v>
      </c>
      <c r="C31" s="20"/>
      <c r="D31" s="28">
        <v>11569.16</v>
      </c>
      <c r="E31" s="20"/>
    </row>
    <row r="32" spans="1:5" x14ac:dyDescent="0.25">
      <c r="A32" s="20"/>
      <c r="B32" s="31" t="s">
        <v>32</v>
      </c>
      <c r="C32" s="20"/>
      <c r="D32" s="20">
        <v>3143</v>
      </c>
      <c r="E32" s="20"/>
    </row>
    <row r="33" spans="1:5" x14ac:dyDescent="0.25">
      <c r="A33" s="20"/>
      <c r="B33" s="27" t="s">
        <v>35</v>
      </c>
      <c r="C33" s="20"/>
      <c r="D33" s="20">
        <v>7289.98</v>
      </c>
      <c r="E33" s="20"/>
    </row>
    <row r="34" spans="1:5" x14ac:dyDescent="0.25">
      <c r="A34" s="20"/>
      <c r="B34" s="27" t="s">
        <v>210</v>
      </c>
      <c r="C34" s="20"/>
      <c r="D34" s="20">
        <v>1500</v>
      </c>
      <c r="E34" s="20"/>
    </row>
    <row r="35" spans="1:5" x14ac:dyDescent="0.25">
      <c r="A35" s="20"/>
      <c r="B35" s="27" t="s">
        <v>131</v>
      </c>
      <c r="C35" s="20"/>
      <c r="D35" s="20">
        <v>344</v>
      </c>
      <c r="E35" s="20"/>
    </row>
    <row r="36" spans="1:5" x14ac:dyDescent="0.25">
      <c r="A36" s="20"/>
      <c r="B36" s="31" t="s">
        <v>37</v>
      </c>
      <c r="C36" s="20"/>
      <c r="D36" s="20">
        <v>5430.7</v>
      </c>
      <c r="E36" s="20"/>
    </row>
    <row r="37" spans="1:5" x14ac:dyDescent="0.25">
      <c r="A37" s="73" t="s">
        <v>82</v>
      </c>
      <c r="B37" s="22" t="s">
        <v>38</v>
      </c>
      <c r="C37" s="20"/>
      <c r="D37" s="26">
        <v>77430.559999999998</v>
      </c>
      <c r="E37" s="26"/>
    </row>
    <row r="38" spans="1:5" x14ac:dyDescent="0.25">
      <c r="A38" s="73" t="s">
        <v>83</v>
      </c>
      <c r="B38" s="22" t="s">
        <v>41</v>
      </c>
      <c r="C38" s="20"/>
      <c r="D38" s="26">
        <f>D19+E19+D25+E25+D28+D37</f>
        <v>300640.27058000001</v>
      </c>
      <c r="E38" s="20"/>
    </row>
    <row r="39" spans="1:5" x14ac:dyDescent="0.25">
      <c r="A39" s="73" t="s">
        <v>84</v>
      </c>
      <c r="B39" s="20" t="s">
        <v>42</v>
      </c>
      <c r="C39" s="20"/>
      <c r="D39" s="26">
        <f>D16*6%</f>
        <v>19940.287199999999</v>
      </c>
      <c r="E39" s="20"/>
    </row>
    <row r="40" spans="1:5" x14ac:dyDescent="0.25">
      <c r="A40" s="73" t="s">
        <v>85</v>
      </c>
      <c r="B40" s="22" t="s">
        <v>43</v>
      </c>
      <c r="C40" s="20"/>
      <c r="D40" s="26">
        <f>D38+D39</f>
        <v>320580.55778000003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86</v>
      </c>
      <c r="B42" s="22" t="s">
        <v>135</v>
      </c>
      <c r="C42" s="20"/>
      <c r="D42" s="26">
        <f>D16-D40</f>
        <v>11757.562219999963</v>
      </c>
      <c r="E42" s="20"/>
    </row>
    <row r="43" spans="1:5" x14ac:dyDescent="0.25">
      <c r="A43" s="73" t="s">
        <v>87</v>
      </c>
      <c r="B43" s="22" t="s">
        <v>44</v>
      </c>
      <c r="C43" s="20"/>
      <c r="D43" s="26">
        <f>D8+D42</f>
        <v>114243.68221999996</v>
      </c>
      <c r="E43" s="20"/>
    </row>
    <row r="44" spans="1:5" x14ac:dyDescent="0.25">
      <c r="A44" s="34"/>
      <c r="B44" s="35"/>
      <c r="C44" s="34"/>
      <c r="D44" s="36"/>
      <c r="E44" s="34"/>
    </row>
    <row r="45" spans="1:5" x14ac:dyDescent="0.25">
      <c r="A45" s="34"/>
      <c r="B45" t="s">
        <v>45</v>
      </c>
      <c r="D45" t="s">
        <v>46</v>
      </c>
      <c r="E45" s="34"/>
    </row>
    <row r="46" spans="1:5" x14ac:dyDescent="0.25">
      <c r="A46" s="37"/>
      <c r="B46" s="37" t="s">
        <v>47</v>
      </c>
      <c r="C46" s="37"/>
      <c r="D46" s="37" t="s">
        <v>48</v>
      </c>
      <c r="E46" s="37"/>
    </row>
  </sheetData>
  <mergeCells count="3">
    <mergeCell ref="D7:E7"/>
    <mergeCell ref="A5:C5"/>
    <mergeCell ref="D6:E6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G29" sqref="G29:J50"/>
    </sheetView>
  </sheetViews>
  <sheetFormatPr defaultRowHeight="15" x14ac:dyDescent="0.25"/>
  <cols>
    <col min="1" max="1" width="6.5703125" customWidth="1"/>
    <col min="2" max="2" width="47.28515625" customWidth="1"/>
    <col min="4" max="4" width="11.85546875" customWidth="1"/>
    <col min="5" max="5" width="11.71093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202</v>
      </c>
    </row>
    <row r="5" spans="1:5" x14ac:dyDescent="0.25">
      <c r="A5" s="603"/>
      <c r="B5" s="501"/>
      <c r="C5" s="501"/>
      <c r="D5" s="397"/>
      <c r="E5" s="58"/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111</v>
      </c>
      <c r="C8" s="13"/>
      <c r="D8" s="429">
        <v>-23781.34</v>
      </c>
      <c r="E8" s="381"/>
    </row>
    <row r="9" spans="1:5" x14ac:dyDescent="0.25">
      <c r="A9" s="9"/>
      <c r="B9" s="12" t="s">
        <v>120</v>
      </c>
      <c r="C9" s="9"/>
      <c r="D9" s="10">
        <v>90894.38</v>
      </c>
      <c r="E9" s="11"/>
    </row>
    <row r="10" spans="1:5" x14ac:dyDescent="0.25">
      <c r="A10" s="13"/>
      <c r="B10" s="14" t="s">
        <v>9</v>
      </c>
      <c r="C10" s="13" t="s">
        <v>10</v>
      </c>
      <c r="D10" s="13">
        <v>3706.7</v>
      </c>
      <c r="E10" s="13"/>
    </row>
    <row r="11" spans="1:5" x14ac:dyDescent="0.25">
      <c r="A11" s="13"/>
      <c r="B11" s="14" t="s">
        <v>11</v>
      </c>
      <c r="C11" s="13" t="s">
        <v>10</v>
      </c>
      <c r="D11" s="13">
        <v>2593.8200000000002</v>
      </c>
      <c r="E11" s="13"/>
    </row>
    <row r="12" spans="1:5" x14ac:dyDescent="0.25">
      <c r="A12" s="13"/>
      <c r="B12" s="15" t="s">
        <v>12</v>
      </c>
      <c r="C12" s="13" t="s">
        <v>13</v>
      </c>
      <c r="D12" s="462">
        <v>306051.99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14</v>
      </c>
      <c r="C14" s="13"/>
      <c r="D14" s="13"/>
      <c r="E14" s="13"/>
    </row>
    <row r="15" spans="1:5" x14ac:dyDescent="0.25">
      <c r="A15" s="13">
        <v>1</v>
      </c>
      <c r="B15" s="13" t="s">
        <v>15</v>
      </c>
      <c r="C15" s="13" t="s">
        <v>13</v>
      </c>
      <c r="D15" s="13">
        <v>210322.73</v>
      </c>
      <c r="E15" s="13"/>
    </row>
    <row r="16" spans="1:5" x14ac:dyDescent="0.25">
      <c r="A16" s="13">
        <v>2</v>
      </c>
      <c r="B16" s="13" t="s">
        <v>16</v>
      </c>
      <c r="C16" s="13"/>
      <c r="D16" s="13">
        <v>84813.71</v>
      </c>
      <c r="E16" s="13"/>
    </row>
    <row r="17" spans="1:5" x14ac:dyDescent="0.25">
      <c r="A17" s="13">
        <v>3</v>
      </c>
      <c r="B17" s="13" t="s">
        <v>92</v>
      </c>
      <c r="C17" s="13"/>
      <c r="D17" s="13">
        <v>24000</v>
      </c>
      <c r="E17" s="13"/>
    </row>
    <row r="18" spans="1:5" ht="15.75" x14ac:dyDescent="0.25">
      <c r="A18" s="13"/>
      <c r="B18" s="16" t="s">
        <v>17</v>
      </c>
      <c r="C18" s="13"/>
      <c r="D18" s="19">
        <f>D15+D16+D17</f>
        <v>319136.44</v>
      </c>
      <c r="E18" s="13"/>
    </row>
    <row r="19" spans="1:5" ht="15.75" x14ac:dyDescent="0.25">
      <c r="A19" s="13"/>
      <c r="B19" s="16"/>
      <c r="C19" s="13"/>
      <c r="D19" s="19"/>
      <c r="E19" s="13" t="s">
        <v>19</v>
      </c>
    </row>
    <row r="20" spans="1:5" ht="15.75" x14ac:dyDescent="0.25">
      <c r="A20" s="20"/>
      <c r="B20" s="21" t="s">
        <v>18</v>
      </c>
      <c r="C20" s="13"/>
      <c r="D20" s="19"/>
      <c r="E20" s="13"/>
    </row>
    <row r="21" spans="1:5" x14ac:dyDescent="0.25">
      <c r="A21" s="24" t="s">
        <v>20</v>
      </c>
      <c r="B21" s="25" t="s">
        <v>21</v>
      </c>
      <c r="C21" s="13"/>
      <c r="D21" s="19">
        <f>D22+D26+D27+D28</f>
        <v>75003.01999999999</v>
      </c>
      <c r="E21" s="379">
        <f>E22</f>
        <v>12813.108459999999</v>
      </c>
    </row>
    <row r="22" spans="1:5" x14ac:dyDescent="0.25">
      <c r="A22" s="20">
        <v>1</v>
      </c>
      <c r="B22" s="22" t="s">
        <v>22</v>
      </c>
      <c r="C22" s="13" t="s">
        <v>13</v>
      </c>
      <c r="D22" s="19">
        <f>D23+D24+D25</f>
        <v>63431.229999999996</v>
      </c>
      <c r="E22" s="18">
        <f>E23+E24+E25</f>
        <v>12813.108459999999</v>
      </c>
    </row>
    <row r="23" spans="1:5" x14ac:dyDescent="0.25">
      <c r="A23" s="20"/>
      <c r="B23" s="20" t="s">
        <v>23</v>
      </c>
      <c r="C23" s="13"/>
      <c r="D23" s="13">
        <v>14140.77</v>
      </c>
      <c r="E23" s="17">
        <f>D23*20.2%</f>
        <v>2856.4355399999999</v>
      </c>
    </row>
    <row r="24" spans="1:5" x14ac:dyDescent="0.25">
      <c r="A24" s="20"/>
      <c r="B24" s="20" t="s">
        <v>24</v>
      </c>
      <c r="C24" s="13"/>
      <c r="D24" s="13">
        <v>23530.32</v>
      </c>
      <c r="E24" s="17">
        <f t="shared" ref="E24:E25" si="0">D24*20.2%</f>
        <v>4753.12464</v>
      </c>
    </row>
    <row r="25" spans="1:5" x14ac:dyDescent="0.25">
      <c r="A25" s="20"/>
      <c r="B25" s="20" t="s">
        <v>25</v>
      </c>
      <c r="C25" s="13"/>
      <c r="D25" s="13">
        <v>25760.14</v>
      </c>
      <c r="E25" s="17">
        <f t="shared" si="0"/>
        <v>5203.5482799999991</v>
      </c>
    </row>
    <row r="26" spans="1:5" x14ac:dyDescent="0.25">
      <c r="A26" s="20">
        <v>2</v>
      </c>
      <c r="B26" s="20" t="s">
        <v>213</v>
      </c>
      <c r="C26" s="13"/>
      <c r="D26" s="13">
        <v>3062.5</v>
      </c>
      <c r="E26" s="17"/>
    </row>
    <row r="27" spans="1:5" x14ac:dyDescent="0.25">
      <c r="A27" s="20">
        <v>3</v>
      </c>
      <c r="B27" s="27" t="s">
        <v>26</v>
      </c>
      <c r="C27" s="13"/>
      <c r="D27" s="13">
        <f>42.84+4524.45</f>
        <v>4567.29</v>
      </c>
      <c r="E27" s="17"/>
    </row>
    <row r="28" spans="1:5" x14ac:dyDescent="0.25">
      <c r="A28" s="20">
        <v>4</v>
      </c>
      <c r="B28" s="31" t="s">
        <v>177</v>
      </c>
      <c r="C28" s="13"/>
      <c r="D28" s="13">
        <v>3942</v>
      </c>
      <c r="E28" s="17"/>
    </row>
    <row r="29" spans="1:5" x14ac:dyDescent="0.25">
      <c r="A29" s="24" t="s">
        <v>27</v>
      </c>
      <c r="B29" s="30" t="s">
        <v>28</v>
      </c>
      <c r="C29" s="13"/>
      <c r="D29" s="426">
        <f>D30+D31</f>
        <v>60864.72</v>
      </c>
      <c r="E29" s="379">
        <f>E30</f>
        <v>9314.1270800000002</v>
      </c>
    </row>
    <row r="30" spans="1:5" x14ac:dyDescent="0.25">
      <c r="A30" s="20">
        <v>1</v>
      </c>
      <c r="B30" s="31" t="s">
        <v>229</v>
      </c>
      <c r="C30" s="13"/>
      <c r="D30" s="13">
        <v>46109.54</v>
      </c>
      <c r="E30" s="17">
        <f>D30*20.2%</f>
        <v>9314.1270800000002</v>
      </c>
    </row>
    <row r="31" spans="1:5" x14ac:dyDescent="0.25">
      <c r="A31" s="20">
        <v>2</v>
      </c>
      <c r="B31" s="31" t="s">
        <v>26</v>
      </c>
      <c r="C31" s="13"/>
      <c r="D31" s="427">
        <v>14755.18</v>
      </c>
      <c r="E31" s="13"/>
    </row>
    <row r="32" spans="1:5" x14ac:dyDescent="0.25">
      <c r="A32" s="13">
        <v>3</v>
      </c>
      <c r="B32" s="19" t="s">
        <v>30</v>
      </c>
      <c r="C32" s="13"/>
      <c r="D32" s="18">
        <f>D33+D34+D35+D36+D37</f>
        <v>30638.282679999997</v>
      </c>
      <c r="E32" s="13"/>
    </row>
    <row r="33" spans="1:5" x14ac:dyDescent="0.25">
      <c r="A33" s="13"/>
      <c r="B33" s="13" t="s">
        <v>31</v>
      </c>
      <c r="C33" s="13"/>
      <c r="D33" s="17">
        <f>D18*4.7%</f>
        <v>14999.412679999999</v>
      </c>
      <c r="E33" s="13"/>
    </row>
    <row r="34" spans="1:5" x14ac:dyDescent="0.25">
      <c r="A34" s="13"/>
      <c r="B34" s="13" t="s">
        <v>57</v>
      </c>
      <c r="C34" s="13"/>
      <c r="D34" s="13">
        <v>1488.1</v>
      </c>
      <c r="E34" s="13"/>
    </row>
    <row r="35" spans="1:5" x14ac:dyDescent="0.25">
      <c r="A35" s="13"/>
      <c r="B35" s="13" t="s">
        <v>33</v>
      </c>
      <c r="C35" s="13"/>
      <c r="D35" s="13">
        <v>6739.96</v>
      </c>
      <c r="E35" s="13"/>
    </row>
    <row r="36" spans="1:5" x14ac:dyDescent="0.25">
      <c r="A36" s="13"/>
      <c r="B36" s="27" t="s">
        <v>35</v>
      </c>
      <c r="C36" s="13"/>
      <c r="D36" s="13">
        <v>4246.99</v>
      </c>
      <c r="E36" s="13"/>
    </row>
    <row r="37" spans="1:5" x14ac:dyDescent="0.25">
      <c r="A37" s="13"/>
      <c r="B37" s="13" t="s">
        <v>37</v>
      </c>
      <c r="C37" s="13"/>
      <c r="D37" s="13">
        <v>3163.82</v>
      </c>
      <c r="E37" s="13"/>
    </row>
    <row r="38" spans="1:5" x14ac:dyDescent="0.25">
      <c r="A38" s="14" t="s">
        <v>82</v>
      </c>
      <c r="B38" s="19" t="s">
        <v>38</v>
      </c>
      <c r="C38" s="13"/>
      <c r="D38" s="18">
        <v>44124.99</v>
      </c>
      <c r="E38" s="379"/>
    </row>
    <row r="39" spans="1:5" x14ac:dyDescent="0.25">
      <c r="A39" s="14" t="s">
        <v>83</v>
      </c>
      <c r="B39" s="19" t="s">
        <v>41</v>
      </c>
      <c r="C39" s="13"/>
      <c r="D39" s="18">
        <f>D21+E21+D29+E29+D32+D38</f>
        <v>232758.24822000001</v>
      </c>
      <c r="E39" s="13"/>
    </row>
    <row r="40" spans="1:5" x14ac:dyDescent="0.25">
      <c r="A40" s="14" t="s">
        <v>84</v>
      </c>
      <c r="B40" s="19" t="s">
        <v>42</v>
      </c>
      <c r="C40" s="13"/>
      <c r="D40" s="18">
        <f>D18*6%</f>
        <v>19148.186399999999</v>
      </c>
      <c r="E40" s="13"/>
    </row>
    <row r="41" spans="1:5" x14ac:dyDescent="0.25">
      <c r="A41" s="14" t="s">
        <v>85</v>
      </c>
      <c r="B41" s="19" t="s">
        <v>43</v>
      </c>
      <c r="C41" s="13"/>
      <c r="D41" s="18">
        <f>D39+D40</f>
        <v>251906.43462000001</v>
      </c>
      <c r="E41" s="13"/>
    </row>
    <row r="42" spans="1:5" x14ac:dyDescent="0.25">
      <c r="A42" s="14"/>
      <c r="B42" s="19"/>
      <c r="C42" s="13"/>
      <c r="D42" s="13"/>
      <c r="E42" s="13"/>
    </row>
    <row r="43" spans="1:5" x14ac:dyDescent="0.25">
      <c r="A43" s="14" t="s">
        <v>86</v>
      </c>
      <c r="B43" s="19" t="s">
        <v>135</v>
      </c>
      <c r="C43" s="13"/>
      <c r="D43" s="18">
        <f>D15+D17-D41</f>
        <v>-17583.704620000004</v>
      </c>
      <c r="E43" s="13"/>
    </row>
    <row r="44" spans="1:5" x14ac:dyDescent="0.25">
      <c r="A44" s="448" t="s">
        <v>87</v>
      </c>
      <c r="B44" s="19" t="s">
        <v>76</v>
      </c>
      <c r="C44" s="429"/>
      <c r="D44" s="18">
        <f>D8+D43+8820.63</f>
        <v>-32544.414620000003</v>
      </c>
      <c r="E44" s="381"/>
    </row>
    <row r="45" spans="1:5" x14ac:dyDescent="0.25">
      <c r="A45" s="382"/>
      <c r="B45" s="433" t="s">
        <v>16</v>
      </c>
      <c r="C45" s="57"/>
      <c r="D45" s="433">
        <f>D9+D16</f>
        <v>175708.09000000003</v>
      </c>
      <c r="E45" s="57"/>
    </row>
    <row r="46" spans="1:5" x14ac:dyDescent="0.25">
      <c r="A46" s="382"/>
      <c r="B46" s="433" t="s">
        <v>226</v>
      </c>
      <c r="C46" s="57"/>
      <c r="D46" s="433">
        <f>112594.6+8820.63</f>
        <v>121415.23000000001</v>
      </c>
      <c r="E46" s="57"/>
    </row>
    <row r="47" spans="1:5" x14ac:dyDescent="0.25">
      <c r="A47" s="382"/>
      <c r="B47" s="433" t="s">
        <v>115</v>
      </c>
      <c r="C47" s="57"/>
      <c r="D47" s="433">
        <f>D45-D46</f>
        <v>54292.860000000015</v>
      </c>
      <c r="E47" s="57"/>
    </row>
    <row r="49" spans="2:4" x14ac:dyDescent="0.25">
      <c r="B49" t="s">
        <v>45</v>
      </c>
      <c r="D49" t="s">
        <v>46</v>
      </c>
    </row>
    <row r="50" spans="2:4" x14ac:dyDescent="0.25">
      <c r="B50" t="s">
        <v>47</v>
      </c>
      <c r="D50" t="s">
        <v>48</v>
      </c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4" workbookViewId="0">
      <selection activeCell="G29" sqref="G29:J44"/>
    </sheetView>
  </sheetViews>
  <sheetFormatPr defaultRowHeight="15" x14ac:dyDescent="0.25"/>
  <cols>
    <col min="2" max="2" width="39.28515625" customWidth="1"/>
    <col min="4" max="4" width="12.140625" customWidth="1"/>
    <col min="5" max="5" width="12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121</v>
      </c>
    </row>
    <row r="5" spans="1:5" x14ac:dyDescent="0.25">
      <c r="B5" t="s">
        <v>88</v>
      </c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95</v>
      </c>
      <c r="E7" s="505"/>
    </row>
    <row r="8" spans="1:5" x14ac:dyDescent="0.25">
      <c r="A8" s="13"/>
      <c r="B8" s="14" t="s">
        <v>8</v>
      </c>
      <c r="C8" s="13"/>
      <c r="D8" s="429">
        <v>220926.33</v>
      </c>
      <c r="E8" s="381"/>
    </row>
    <row r="9" spans="1:5" x14ac:dyDescent="0.25">
      <c r="A9" s="13"/>
      <c r="B9" s="14" t="s">
        <v>9</v>
      </c>
      <c r="C9" s="13" t="s">
        <v>10</v>
      </c>
      <c r="D9" s="17">
        <v>5523.2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4451.0200000000004</v>
      </c>
      <c r="E10" s="13"/>
    </row>
    <row r="11" spans="1:5" x14ac:dyDescent="0.25">
      <c r="A11" s="13"/>
      <c r="B11" s="15" t="s">
        <v>12</v>
      </c>
      <c r="C11" s="13" t="s">
        <v>13</v>
      </c>
      <c r="D11" s="462">
        <v>331516.06</v>
      </c>
      <c r="E11" s="13"/>
    </row>
    <row r="12" spans="1:5" ht="15.75" x14ac:dyDescent="0.25">
      <c r="A12" s="13"/>
      <c r="B12" s="16" t="s">
        <v>14</v>
      </c>
      <c r="C12" s="13"/>
      <c r="D12" s="13"/>
      <c r="E12" s="13"/>
    </row>
    <row r="13" spans="1:5" x14ac:dyDescent="0.25">
      <c r="A13" s="13">
        <v>1</v>
      </c>
      <c r="B13" s="13" t="s">
        <v>15</v>
      </c>
      <c r="C13" s="13" t="s">
        <v>13</v>
      </c>
      <c r="D13" s="17">
        <v>332461.65000000002</v>
      </c>
      <c r="E13" s="13"/>
    </row>
    <row r="14" spans="1:5" x14ac:dyDescent="0.25">
      <c r="A14" s="13">
        <v>2</v>
      </c>
      <c r="B14" s="13" t="s">
        <v>92</v>
      </c>
      <c r="C14" s="13"/>
      <c r="D14" s="17">
        <f>286000+6000</f>
        <v>292000</v>
      </c>
      <c r="E14" s="13"/>
    </row>
    <row r="15" spans="1:5" ht="15.75" x14ac:dyDescent="0.25">
      <c r="A15" s="13"/>
      <c r="B15" s="16" t="s">
        <v>17</v>
      </c>
      <c r="C15" s="13"/>
      <c r="D15" s="18">
        <f>D13+D14</f>
        <v>624461.65</v>
      </c>
      <c r="E15" s="13"/>
    </row>
    <row r="16" spans="1:5" ht="15.75" x14ac:dyDescent="0.25">
      <c r="A16" s="13"/>
      <c r="B16" s="16"/>
      <c r="C16" s="13"/>
      <c r="D16" s="19"/>
      <c r="E16" s="13"/>
    </row>
    <row r="17" spans="1:5" ht="15.75" x14ac:dyDescent="0.25">
      <c r="A17" s="20"/>
      <c r="B17" s="21" t="s">
        <v>18</v>
      </c>
      <c r="C17" s="20"/>
      <c r="D17" s="22"/>
      <c r="E17" s="23" t="s">
        <v>19</v>
      </c>
    </row>
    <row r="18" spans="1:5" x14ac:dyDescent="0.25">
      <c r="A18" s="24" t="s">
        <v>20</v>
      </c>
      <c r="B18" s="25" t="s">
        <v>21</v>
      </c>
      <c r="C18" s="20"/>
      <c r="D18" s="22">
        <f>D19+D22+D23</f>
        <v>111295.90999999999</v>
      </c>
      <c r="E18" s="26">
        <f>E19</f>
        <v>21342.835199999998</v>
      </c>
    </row>
    <row r="19" spans="1:5" x14ac:dyDescent="0.25">
      <c r="A19" s="20">
        <v>1</v>
      </c>
      <c r="B19" s="22" t="s">
        <v>22</v>
      </c>
      <c r="C19" s="27" t="s">
        <v>13</v>
      </c>
      <c r="D19" s="22">
        <f>D20+D21</f>
        <v>105657.59999999999</v>
      </c>
      <c r="E19" s="26">
        <f>E20+E21</f>
        <v>21342.835199999998</v>
      </c>
    </row>
    <row r="20" spans="1:5" x14ac:dyDescent="0.25">
      <c r="A20" s="20"/>
      <c r="B20" s="20" t="s">
        <v>23</v>
      </c>
      <c r="C20" s="20"/>
      <c r="D20" s="20">
        <v>96319.37</v>
      </c>
      <c r="E20" s="28">
        <f>D20*20.2%</f>
        <v>19456.512739999998</v>
      </c>
    </row>
    <row r="21" spans="1:5" x14ac:dyDescent="0.25">
      <c r="A21" s="20"/>
      <c r="B21" s="27" t="s">
        <v>75</v>
      </c>
      <c r="C21" s="13"/>
      <c r="D21" s="13">
        <v>9338.23</v>
      </c>
      <c r="E21" s="28">
        <f>D21*20.2%</f>
        <v>1886.3224599999999</v>
      </c>
    </row>
    <row r="22" spans="1:5" x14ac:dyDescent="0.25">
      <c r="A22" s="20">
        <v>2</v>
      </c>
      <c r="B22" s="27" t="s">
        <v>213</v>
      </c>
      <c r="C22" s="13"/>
      <c r="D22" s="13">
        <v>4495.09</v>
      </c>
      <c r="E22" s="28"/>
    </row>
    <row r="23" spans="1:5" x14ac:dyDescent="0.25">
      <c r="A23" s="20">
        <v>3</v>
      </c>
      <c r="B23" s="27" t="s">
        <v>26</v>
      </c>
      <c r="C23" s="20"/>
      <c r="D23" s="20">
        <f>1069.7+73.52</f>
        <v>1143.22</v>
      </c>
      <c r="E23" s="28"/>
    </row>
    <row r="24" spans="1:5" x14ac:dyDescent="0.25">
      <c r="A24" s="24" t="s">
        <v>27</v>
      </c>
      <c r="B24" s="30" t="s">
        <v>28</v>
      </c>
      <c r="C24" s="20"/>
      <c r="D24" s="22">
        <f>D25+D26</f>
        <v>117067.84</v>
      </c>
      <c r="E24" s="26">
        <f>E25</f>
        <v>15983.13082</v>
      </c>
    </row>
    <row r="25" spans="1:5" x14ac:dyDescent="0.25">
      <c r="A25" s="20">
        <v>1</v>
      </c>
      <c r="B25" s="31" t="s">
        <v>229</v>
      </c>
      <c r="C25" s="20"/>
      <c r="D25" s="31">
        <v>79124.41</v>
      </c>
      <c r="E25" s="28">
        <f>D25*20.2%</f>
        <v>15983.13082</v>
      </c>
    </row>
    <row r="26" spans="1:5" x14ac:dyDescent="0.25">
      <c r="A26" s="20">
        <v>2</v>
      </c>
      <c r="B26" s="31" t="s">
        <v>26</v>
      </c>
      <c r="C26" s="20"/>
      <c r="D26" s="31">
        <f>33690.9+4252.53</f>
        <v>37943.43</v>
      </c>
      <c r="E26" s="20"/>
    </row>
    <row r="27" spans="1:5" x14ac:dyDescent="0.25">
      <c r="A27" s="24" t="s">
        <v>29</v>
      </c>
      <c r="B27" s="22" t="s">
        <v>30</v>
      </c>
      <c r="C27" s="20"/>
      <c r="D27" s="26">
        <f>D28+D29+D31+D33+D34+D35+D36+D37+D30+D32</f>
        <v>289194.11250000005</v>
      </c>
      <c r="E27" s="20"/>
    </row>
    <row r="28" spans="1:5" x14ac:dyDescent="0.25">
      <c r="A28" s="20"/>
      <c r="B28" s="20" t="s">
        <v>31</v>
      </c>
      <c r="C28" s="20"/>
      <c r="D28" s="28">
        <f>D15*5%</f>
        <v>31223.082500000004</v>
      </c>
      <c r="E28" s="20"/>
    </row>
    <row r="29" spans="1:5" x14ac:dyDescent="0.25">
      <c r="A29" s="20"/>
      <c r="B29" s="20" t="s">
        <v>57</v>
      </c>
      <c r="C29" s="20"/>
      <c r="D29" s="20">
        <v>1518.13</v>
      </c>
      <c r="E29" s="20"/>
    </row>
    <row r="30" spans="1:5" x14ac:dyDescent="0.25">
      <c r="A30" s="20"/>
      <c r="B30" s="13" t="s">
        <v>32</v>
      </c>
      <c r="C30" s="13"/>
      <c r="D30" s="17">
        <v>6204</v>
      </c>
      <c r="E30" s="20"/>
    </row>
    <row r="31" spans="1:5" x14ac:dyDescent="0.25">
      <c r="A31" s="20"/>
      <c r="B31" s="20" t="s">
        <v>33</v>
      </c>
      <c r="C31" s="20"/>
      <c r="D31" s="28">
        <v>11565.84</v>
      </c>
      <c r="E31" s="20"/>
    </row>
    <row r="32" spans="1:5" x14ac:dyDescent="0.25">
      <c r="A32" s="20"/>
      <c r="B32" s="13" t="s">
        <v>168</v>
      </c>
      <c r="C32" s="20"/>
      <c r="D32" s="28">
        <v>161000</v>
      </c>
      <c r="E32" s="20"/>
    </row>
    <row r="33" spans="1:5" x14ac:dyDescent="0.25">
      <c r="A33" s="31"/>
      <c r="B33" s="27" t="s">
        <v>36</v>
      </c>
      <c r="C33" s="13"/>
      <c r="D33" s="13">
        <v>56730.66</v>
      </c>
      <c r="E33" s="20"/>
    </row>
    <row r="34" spans="1:5" x14ac:dyDescent="0.25">
      <c r="A34" s="31"/>
      <c r="B34" s="27" t="s">
        <v>210</v>
      </c>
      <c r="C34" s="13"/>
      <c r="D34" s="13">
        <v>4500</v>
      </c>
      <c r="E34" s="20"/>
    </row>
    <row r="35" spans="1:5" x14ac:dyDescent="0.25">
      <c r="A35" s="27"/>
      <c r="B35" s="27" t="s">
        <v>35</v>
      </c>
      <c r="C35" s="20"/>
      <c r="D35" s="20">
        <v>7287.88</v>
      </c>
      <c r="E35" s="20"/>
    </row>
    <row r="36" spans="1:5" x14ac:dyDescent="0.25">
      <c r="A36" s="20"/>
      <c r="B36" s="31" t="s">
        <v>37</v>
      </c>
      <c r="C36" s="20"/>
      <c r="D36" s="20">
        <v>5429.19</v>
      </c>
      <c r="E36" s="20"/>
    </row>
    <row r="37" spans="1:5" x14ac:dyDescent="0.25">
      <c r="A37" s="20"/>
      <c r="B37" s="27" t="s">
        <v>131</v>
      </c>
      <c r="C37" s="20"/>
      <c r="D37" s="20">
        <v>3735.33</v>
      </c>
      <c r="E37" s="20"/>
    </row>
    <row r="38" spans="1:5" x14ac:dyDescent="0.25">
      <c r="A38" s="73" t="s">
        <v>82</v>
      </c>
      <c r="B38" s="22" t="s">
        <v>228</v>
      </c>
      <c r="C38" s="20"/>
      <c r="D38" s="26">
        <v>80053.3</v>
      </c>
      <c r="E38" s="26"/>
    </row>
    <row r="39" spans="1:5" x14ac:dyDescent="0.25">
      <c r="A39" s="73" t="s">
        <v>83</v>
      </c>
      <c r="B39" s="22" t="s">
        <v>41</v>
      </c>
      <c r="C39" s="20"/>
      <c r="D39" s="26">
        <f>D18+E18+D24+E24+D27+D38</f>
        <v>634937.12852000003</v>
      </c>
      <c r="E39" s="20"/>
    </row>
    <row r="40" spans="1:5" x14ac:dyDescent="0.25">
      <c r="A40" s="73" t="s">
        <v>84</v>
      </c>
      <c r="B40" s="20" t="s">
        <v>42</v>
      </c>
      <c r="C40" s="20"/>
      <c r="D40" s="26">
        <f>D15*6%</f>
        <v>37467.699000000001</v>
      </c>
      <c r="E40" s="20"/>
    </row>
    <row r="41" spans="1:5" x14ac:dyDescent="0.25">
      <c r="A41" s="73" t="s">
        <v>85</v>
      </c>
      <c r="B41" s="22" t="s">
        <v>43</v>
      </c>
      <c r="C41" s="20"/>
      <c r="D41" s="26">
        <f>D39+D40</f>
        <v>672404.82752000005</v>
      </c>
      <c r="E41" s="20"/>
    </row>
    <row r="42" spans="1:5" x14ac:dyDescent="0.25">
      <c r="A42" s="73"/>
      <c r="B42" s="20"/>
      <c r="C42" s="20"/>
      <c r="D42" s="20"/>
      <c r="E42" s="20"/>
    </row>
    <row r="43" spans="1:5" x14ac:dyDescent="0.25">
      <c r="A43" s="73" t="s">
        <v>86</v>
      </c>
      <c r="B43" s="22" t="s">
        <v>135</v>
      </c>
      <c r="C43" s="20"/>
      <c r="D43" s="26">
        <f>D15-D41</f>
        <v>-47943.177520000027</v>
      </c>
      <c r="E43" s="20"/>
    </row>
    <row r="44" spans="1:5" x14ac:dyDescent="0.25">
      <c r="A44" s="73" t="s">
        <v>87</v>
      </c>
      <c r="B44" s="22" t="s">
        <v>44</v>
      </c>
      <c r="C44" s="20"/>
      <c r="D44" s="26">
        <f>D8+D43</f>
        <v>172983.15247999996</v>
      </c>
      <c r="E44" s="20"/>
    </row>
    <row r="45" spans="1:5" x14ac:dyDescent="0.25">
      <c r="A45" s="37"/>
      <c r="B45" s="35"/>
      <c r="C45" s="34"/>
      <c r="D45" s="36"/>
      <c r="E45" s="37"/>
    </row>
    <row r="46" spans="1:5" x14ac:dyDescent="0.25">
      <c r="B46" t="s">
        <v>45</v>
      </c>
      <c r="D46" t="s">
        <v>46</v>
      </c>
    </row>
    <row r="47" spans="1:5" x14ac:dyDescent="0.25">
      <c r="B47" s="37" t="s">
        <v>47</v>
      </c>
      <c r="C47" s="37"/>
      <c r="D47" s="37" t="s">
        <v>48</v>
      </c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4" workbookViewId="0">
      <selection activeCell="D39" sqref="D39"/>
    </sheetView>
  </sheetViews>
  <sheetFormatPr defaultRowHeight="15" x14ac:dyDescent="0.25"/>
  <cols>
    <col min="1" max="1" width="6.7109375" customWidth="1"/>
    <col min="2" max="2" width="43.42578125" customWidth="1"/>
    <col min="4" max="4" width="11.14062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203</v>
      </c>
    </row>
    <row r="5" spans="1:5" x14ac:dyDescent="0.25">
      <c r="B5" t="s">
        <v>55</v>
      </c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8</v>
      </c>
      <c r="C8" s="13"/>
      <c r="D8" s="429">
        <v>44453.11</v>
      </c>
      <c r="E8" s="381"/>
    </row>
    <row r="9" spans="1:5" x14ac:dyDescent="0.25">
      <c r="A9" s="13"/>
      <c r="B9" s="14" t="s">
        <v>9</v>
      </c>
      <c r="C9" s="13" t="s">
        <v>10</v>
      </c>
      <c r="D9" s="13">
        <v>5531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4431.24</v>
      </c>
      <c r="E10" s="13"/>
    </row>
    <row r="11" spans="1:5" x14ac:dyDescent="0.25">
      <c r="A11" s="13"/>
      <c r="B11" s="15" t="s">
        <v>12</v>
      </c>
      <c r="C11" s="13" t="s">
        <v>13</v>
      </c>
      <c r="D11" s="462">
        <v>338764.08</v>
      </c>
      <c r="E11" s="13"/>
    </row>
    <row r="12" spans="1:5" x14ac:dyDescent="0.25">
      <c r="A12" s="13"/>
      <c r="B12" s="13"/>
      <c r="C12" s="13"/>
      <c r="D12" s="13"/>
      <c r="E12" s="13"/>
    </row>
    <row r="13" spans="1:5" ht="15.75" x14ac:dyDescent="0.25">
      <c r="A13" s="13"/>
      <c r="B13" s="16" t="s">
        <v>14</v>
      </c>
      <c r="C13" s="13"/>
      <c r="D13" s="13"/>
      <c r="E13" s="13"/>
    </row>
    <row r="14" spans="1:5" x14ac:dyDescent="0.25">
      <c r="A14" s="13">
        <v>1</v>
      </c>
      <c r="B14" s="13" t="s">
        <v>15</v>
      </c>
      <c r="C14" s="13" t="s">
        <v>13</v>
      </c>
      <c r="D14" s="17">
        <v>352660.56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17</v>
      </c>
      <c r="C16" s="13"/>
      <c r="D16" s="18">
        <f>D14</f>
        <v>352660.56</v>
      </c>
      <c r="E16" s="13"/>
    </row>
    <row r="17" spans="1:5" ht="15.75" x14ac:dyDescent="0.25">
      <c r="A17" s="13"/>
      <c r="B17" s="16"/>
      <c r="C17" s="13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2">
        <f>D20+D23+D24</f>
        <v>82296</v>
      </c>
      <c r="E19" s="26">
        <f>E20</f>
        <v>15824.926439999997</v>
      </c>
    </row>
    <row r="20" spans="1:5" x14ac:dyDescent="0.25">
      <c r="A20" s="20">
        <v>1</v>
      </c>
      <c r="B20" s="22" t="s">
        <v>22</v>
      </c>
      <c r="C20" s="27" t="s">
        <v>13</v>
      </c>
      <c r="D20" s="22">
        <f>D21+D22</f>
        <v>78341.22</v>
      </c>
      <c r="E20" s="26">
        <f>E21+E22</f>
        <v>15824.926439999997</v>
      </c>
    </row>
    <row r="21" spans="1:5" x14ac:dyDescent="0.25">
      <c r="A21" s="20"/>
      <c r="B21" s="20" t="s">
        <v>23</v>
      </c>
      <c r="C21" s="20"/>
      <c r="D21" s="20">
        <v>71382.34</v>
      </c>
      <c r="E21" s="28">
        <f>D21*20.2%</f>
        <v>14419.232679999997</v>
      </c>
    </row>
    <row r="22" spans="1:5" x14ac:dyDescent="0.25">
      <c r="A22" s="20"/>
      <c r="B22" s="27" t="s">
        <v>75</v>
      </c>
      <c r="C22" s="13"/>
      <c r="D22" s="13">
        <v>6958.88</v>
      </c>
      <c r="E22" s="28">
        <f>D22*20.2%</f>
        <v>1405.6937599999999</v>
      </c>
    </row>
    <row r="23" spans="1:5" x14ac:dyDescent="0.25">
      <c r="A23" s="20">
        <v>2</v>
      </c>
      <c r="B23" s="27" t="s">
        <v>213</v>
      </c>
      <c r="C23" s="13"/>
      <c r="D23" s="13">
        <v>1580.2</v>
      </c>
      <c r="E23" s="28"/>
    </row>
    <row r="24" spans="1:5" x14ac:dyDescent="0.25">
      <c r="A24" s="20">
        <v>3</v>
      </c>
      <c r="B24" s="27" t="s">
        <v>26</v>
      </c>
      <c r="C24" s="20"/>
      <c r="D24" s="20">
        <f>73.2+2301.38</f>
        <v>2374.58</v>
      </c>
      <c r="E24" s="28"/>
    </row>
    <row r="25" spans="1:5" x14ac:dyDescent="0.25">
      <c r="A25" s="24" t="s">
        <v>27</v>
      </c>
      <c r="B25" s="30" t="s">
        <v>28</v>
      </c>
      <c r="C25" s="20"/>
      <c r="D25" s="26">
        <f>D26+D27</f>
        <v>80156.539999999994</v>
      </c>
      <c r="E25" s="26">
        <f>E26</f>
        <v>15912.103579999997</v>
      </c>
    </row>
    <row r="26" spans="1:5" x14ac:dyDescent="0.25">
      <c r="A26" s="20">
        <v>1</v>
      </c>
      <c r="B26" s="31" t="s">
        <v>229</v>
      </c>
      <c r="C26" s="20"/>
      <c r="D26" s="31">
        <v>78772.789999999994</v>
      </c>
      <c r="E26" s="28">
        <f>D26*20.2%</f>
        <v>15912.103579999997</v>
      </c>
    </row>
    <row r="27" spans="1:5" x14ac:dyDescent="0.25">
      <c r="A27" s="20">
        <v>2</v>
      </c>
      <c r="B27" s="31" t="s">
        <v>26</v>
      </c>
      <c r="C27" s="20"/>
      <c r="D27" s="31">
        <f>660.79+722.96</f>
        <v>1383.75</v>
      </c>
      <c r="E27" s="28"/>
    </row>
    <row r="28" spans="1:5" x14ac:dyDescent="0.25">
      <c r="A28" s="24" t="s">
        <v>29</v>
      </c>
      <c r="B28" s="22" t="s">
        <v>30</v>
      </c>
      <c r="C28" s="20"/>
      <c r="D28" s="26">
        <f>D29+D30+D31+D32+D33+D34+D35+D36</f>
        <v>48646.746320000006</v>
      </c>
      <c r="E28" s="20"/>
    </row>
    <row r="29" spans="1:5" x14ac:dyDescent="0.25">
      <c r="A29" s="20"/>
      <c r="B29" s="20" t="s">
        <v>31</v>
      </c>
      <c r="C29" s="20"/>
      <c r="D29" s="28">
        <f>D16*4.7%</f>
        <v>16575.046320000001</v>
      </c>
      <c r="E29" s="20"/>
    </row>
    <row r="30" spans="1:5" x14ac:dyDescent="0.25">
      <c r="A30" s="20"/>
      <c r="B30" s="20" t="s">
        <v>57</v>
      </c>
      <c r="C30" s="20"/>
      <c r="D30" s="20">
        <v>3045.75</v>
      </c>
      <c r="E30" s="20"/>
    </row>
    <row r="31" spans="1:5" x14ac:dyDescent="0.25">
      <c r="A31" s="20"/>
      <c r="B31" s="20" t="s">
        <v>33</v>
      </c>
      <c r="C31" s="20"/>
      <c r="D31" s="28">
        <v>11514.44</v>
      </c>
      <c r="E31" s="20"/>
    </row>
    <row r="32" spans="1:5" x14ac:dyDescent="0.25">
      <c r="A32" s="20"/>
      <c r="B32" s="31" t="s">
        <v>32</v>
      </c>
      <c r="C32" s="20"/>
      <c r="D32" s="20">
        <v>3143</v>
      </c>
      <c r="E32" s="20"/>
    </row>
    <row r="33" spans="1:5" x14ac:dyDescent="0.25">
      <c r="A33" s="20"/>
      <c r="B33" s="31" t="s">
        <v>210</v>
      </c>
      <c r="C33" s="20"/>
      <c r="D33" s="20">
        <v>1536</v>
      </c>
      <c r="E33" s="20"/>
    </row>
    <row r="34" spans="1:5" x14ac:dyDescent="0.25">
      <c r="A34" s="20"/>
      <c r="B34" s="27" t="s">
        <v>35</v>
      </c>
      <c r="C34" s="20"/>
      <c r="D34" s="20">
        <v>7255.5</v>
      </c>
      <c r="E34" s="20"/>
    </row>
    <row r="35" spans="1:5" x14ac:dyDescent="0.25">
      <c r="A35" s="20"/>
      <c r="B35" s="27" t="s">
        <v>131</v>
      </c>
      <c r="C35" s="20"/>
      <c r="D35" s="20">
        <v>172</v>
      </c>
      <c r="E35" s="20"/>
    </row>
    <row r="36" spans="1:5" x14ac:dyDescent="0.25">
      <c r="A36" s="20"/>
      <c r="B36" s="31" t="s">
        <v>37</v>
      </c>
      <c r="C36" s="20"/>
      <c r="D36" s="20">
        <v>5405.01</v>
      </c>
      <c r="E36" s="20"/>
    </row>
    <row r="37" spans="1:5" x14ac:dyDescent="0.25">
      <c r="A37" s="73" t="s">
        <v>82</v>
      </c>
      <c r="B37" s="22" t="s">
        <v>38</v>
      </c>
      <c r="C37" s="20"/>
      <c r="D37" s="26">
        <v>78292.45</v>
      </c>
      <c r="E37" s="28"/>
    </row>
    <row r="38" spans="1:5" x14ac:dyDescent="0.25">
      <c r="A38" s="73" t="s">
        <v>83</v>
      </c>
      <c r="B38" s="22" t="s">
        <v>41</v>
      </c>
      <c r="C38" s="20"/>
      <c r="D38" s="26">
        <f>D19+E19+D25+E25+D28+D37+E37</f>
        <v>321128.76633999997</v>
      </c>
      <c r="E38" s="20"/>
    </row>
    <row r="39" spans="1:5" x14ac:dyDescent="0.25">
      <c r="A39" s="73" t="s">
        <v>84</v>
      </c>
      <c r="B39" s="20" t="s">
        <v>42</v>
      </c>
      <c r="C39" s="20"/>
      <c r="D39" s="26">
        <f>D16*6%</f>
        <v>21159.633599999997</v>
      </c>
      <c r="E39" s="20"/>
    </row>
    <row r="40" spans="1:5" x14ac:dyDescent="0.25">
      <c r="A40" s="73" t="s">
        <v>85</v>
      </c>
      <c r="B40" s="22" t="s">
        <v>43</v>
      </c>
      <c r="C40" s="20"/>
      <c r="D40" s="26">
        <f>D38+D39</f>
        <v>342288.39993999997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86</v>
      </c>
      <c r="B42" s="22" t="s">
        <v>135</v>
      </c>
      <c r="C42" s="20"/>
      <c r="D42" s="26">
        <f>D16-D40</f>
        <v>10372.160060000024</v>
      </c>
      <c r="E42" s="20"/>
    </row>
    <row r="43" spans="1:5" x14ac:dyDescent="0.25">
      <c r="A43" s="73" t="s">
        <v>87</v>
      </c>
      <c r="B43" s="22" t="s">
        <v>44</v>
      </c>
      <c r="C43" s="20"/>
      <c r="D43" s="26">
        <f>D8+D42</f>
        <v>54825.270060000024</v>
      </c>
      <c r="E43" s="20"/>
    </row>
    <row r="44" spans="1:5" x14ac:dyDescent="0.25">
      <c r="A44" s="34"/>
      <c r="B44" s="35"/>
      <c r="C44" s="34"/>
      <c r="D44" s="36"/>
      <c r="E44" s="34"/>
    </row>
    <row r="45" spans="1:5" x14ac:dyDescent="0.25">
      <c r="A45" s="34"/>
      <c r="B45" t="s">
        <v>45</v>
      </c>
      <c r="D45" t="s">
        <v>46</v>
      </c>
      <c r="E45" s="34"/>
    </row>
    <row r="46" spans="1:5" x14ac:dyDescent="0.25">
      <c r="A46" s="37"/>
      <c r="B46" s="37" t="s">
        <v>47</v>
      </c>
      <c r="C46" s="37"/>
      <c r="D46" s="37" t="s">
        <v>48</v>
      </c>
      <c r="E46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5" workbookViewId="0">
      <selection activeCell="H33" sqref="H33:J46"/>
    </sheetView>
  </sheetViews>
  <sheetFormatPr defaultRowHeight="15" x14ac:dyDescent="0.25"/>
  <cols>
    <col min="2" max="2" width="37.140625" customWidth="1"/>
    <col min="4" max="4" width="10.42578125" customWidth="1"/>
    <col min="5" max="5" width="9.7109375" customWidth="1"/>
  </cols>
  <sheetData>
    <row r="1" spans="1:5" ht="15.75" x14ac:dyDescent="0.25">
      <c r="A1" s="107"/>
      <c r="B1" s="108" t="s">
        <v>0</v>
      </c>
      <c r="C1" s="107"/>
      <c r="D1" s="107"/>
      <c r="E1" s="107"/>
    </row>
    <row r="2" spans="1:5" x14ac:dyDescent="0.25">
      <c r="A2" s="107"/>
      <c r="B2" s="107"/>
      <c r="C2" s="107"/>
      <c r="D2" s="107"/>
      <c r="E2" s="107"/>
    </row>
    <row r="3" spans="1:5" x14ac:dyDescent="0.25">
      <c r="A3" s="107"/>
      <c r="B3" s="107" t="s">
        <v>54</v>
      </c>
      <c r="C3" s="107"/>
      <c r="D3" s="107"/>
      <c r="E3" s="107"/>
    </row>
    <row r="4" spans="1:5" x14ac:dyDescent="0.25">
      <c r="A4" s="107"/>
      <c r="B4" s="109" t="s">
        <v>139</v>
      </c>
      <c r="C4" s="107"/>
      <c r="D4" s="107"/>
      <c r="E4" s="107"/>
    </row>
    <row r="5" spans="1:5" x14ac:dyDescent="0.25">
      <c r="A5" s="517"/>
      <c r="B5" s="517"/>
      <c r="C5" s="517"/>
      <c r="D5" s="389"/>
      <c r="E5" s="110"/>
    </row>
    <row r="6" spans="1:5" ht="15.75" x14ac:dyDescent="0.25">
      <c r="A6" s="111"/>
      <c r="B6" s="112" t="s">
        <v>3</v>
      </c>
      <c r="C6" s="113" t="s">
        <v>4</v>
      </c>
      <c r="D6" s="518" t="s">
        <v>5</v>
      </c>
      <c r="E6" s="519"/>
    </row>
    <row r="7" spans="1:5" ht="15.75" x14ac:dyDescent="0.25">
      <c r="A7" s="114"/>
      <c r="B7" s="112" t="s">
        <v>6</v>
      </c>
      <c r="C7" s="113" t="s">
        <v>7</v>
      </c>
      <c r="D7" s="515" t="s">
        <v>140</v>
      </c>
      <c r="E7" s="516"/>
    </row>
    <row r="8" spans="1:5" x14ac:dyDescent="0.25">
      <c r="A8" s="115"/>
      <c r="B8" s="115"/>
      <c r="C8" s="115"/>
      <c r="D8" s="116"/>
      <c r="E8" s="117"/>
    </row>
    <row r="9" spans="1:5" x14ac:dyDescent="0.25">
      <c r="A9" s="115"/>
      <c r="B9" s="118" t="s">
        <v>62</v>
      </c>
      <c r="C9" s="115"/>
      <c r="D9" s="116">
        <v>64971.73</v>
      </c>
      <c r="E9" s="117"/>
    </row>
    <row r="10" spans="1:5" x14ac:dyDescent="0.25">
      <c r="A10" s="119"/>
      <c r="B10" s="120" t="s">
        <v>9</v>
      </c>
      <c r="C10" s="119" t="s">
        <v>10</v>
      </c>
      <c r="D10" s="119">
        <v>4726.8</v>
      </c>
      <c r="E10" s="119"/>
    </row>
    <row r="11" spans="1:5" x14ac:dyDescent="0.25">
      <c r="A11" s="119"/>
      <c r="B11" s="120" t="s">
        <v>11</v>
      </c>
      <c r="C11" s="119" t="s">
        <v>10</v>
      </c>
      <c r="D11" s="119">
        <v>4499.26</v>
      </c>
      <c r="E11" s="119"/>
    </row>
    <row r="12" spans="1:5" x14ac:dyDescent="0.25">
      <c r="A12" s="119"/>
      <c r="B12" s="121" t="s">
        <v>12</v>
      </c>
      <c r="C12" s="119" t="s">
        <v>13</v>
      </c>
      <c r="D12" s="119">
        <v>338791.86</v>
      </c>
      <c r="E12" s="119"/>
    </row>
    <row r="13" spans="1:5" x14ac:dyDescent="0.25">
      <c r="A13" s="119"/>
      <c r="B13" s="119"/>
      <c r="C13" s="119"/>
      <c r="D13" s="119"/>
      <c r="E13" s="119"/>
    </row>
    <row r="14" spans="1:5" ht="15.75" x14ac:dyDescent="0.25">
      <c r="A14" s="119"/>
      <c r="B14" s="122" t="s">
        <v>14</v>
      </c>
      <c r="C14" s="119"/>
      <c r="D14" s="119"/>
      <c r="E14" s="119"/>
    </row>
    <row r="15" spans="1:5" x14ac:dyDescent="0.25">
      <c r="A15" s="119">
        <v>1</v>
      </c>
      <c r="B15" s="119" t="s">
        <v>15</v>
      </c>
      <c r="C15" s="119" t="s">
        <v>13</v>
      </c>
      <c r="D15" s="119">
        <v>336992.7</v>
      </c>
      <c r="E15" s="119"/>
    </row>
    <row r="16" spans="1:5" x14ac:dyDescent="0.25">
      <c r="A16" s="119">
        <v>2</v>
      </c>
      <c r="B16" s="119" t="s">
        <v>92</v>
      </c>
      <c r="C16" s="119"/>
      <c r="D16" s="119">
        <v>7200</v>
      </c>
      <c r="E16" s="119"/>
    </row>
    <row r="17" spans="1:5" ht="15.75" x14ac:dyDescent="0.25">
      <c r="A17" s="119"/>
      <c r="B17" s="122" t="s">
        <v>17</v>
      </c>
      <c r="C17" s="119"/>
      <c r="D17" s="123">
        <f>D15+D16</f>
        <v>344192.7</v>
      </c>
      <c r="E17" s="119"/>
    </row>
    <row r="18" spans="1:5" ht="15.75" x14ac:dyDescent="0.25">
      <c r="A18" s="119"/>
      <c r="B18" s="122"/>
      <c r="C18" s="119"/>
      <c r="D18" s="123"/>
      <c r="E18" s="119"/>
    </row>
    <row r="19" spans="1:5" ht="15.75" x14ac:dyDescent="0.25">
      <c r="A19" s="20"/>
      <c r="B19" s="21" t="s">
        <v>18</v>
      </c>
      <c r="C19" s="20"/>
      <c r="D19" s="22"/>
      <c r="E19" s="31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D21+D26+D27</f>
        <v>41052.859999999993</v>
      </c>
      <c r="E20" s="26">
        <f>E21</f>
        <v>7674.7475999999988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D22+D25</f>
        <v>37993.799999999996</v>
      </c>
      <c r="E21" s="26">
        <f>E22+E25</f>
        <v>7674.7475999999988</v>
      </c>
    </row>
    <row r="22" spans="1:5" x14ac:dyDescent="0.25">
      <c r="A22" s="20"/>
      <c r="B22" s="20" t="s">
        <v>23</v>
      </c>
      <c r="C22" s="20"/>
      <c r="D22" s="119">
        <v>36317.99</v>
      </c>
      <c r="E22" s="28">
        <f>D22*20.2%</f>
        <v>7336.2339799999991</v>
      </c>
    </row>
    <row r="23" spans="1:5" x14ac:dyDescent="0.25">
      <c r="A23" s="20"/>
      <c r="B23" s="20" t="s">
        <v>24</v>
      </c>
      <c r="C23" s="20"/>
      <c r="D23" s="119">
        <v>0</v>
      </c>
      <c r="E23" s="28">
        <f t="shared" ref="E23:E25" si="0">D23*20.2%</f>
        <v>0</v>
      </c>
    </row>
    <row r="24" spans="1:5" x14ac:dyDescent="0.25">
      <c r="A24" s="20"/>
      <c r="B24" s="20" t="s">
        <v>25</v>
      </c>
      <c r="C24" s="20"/>
      <c r="D24" s="119">
        <v>0</v>
      </c>
      <c r="E24" s="28">
        <f t="shared" si="0"/>
        <v>0</v>
      </c>
    </row>
    <row r="25" spans="1:5" x14ac:dyDescent="0.25">
      <c r="A25" s="20"/>
      <c r="B25" s="31" t="s">
        <v>75</v>
      </c>
      <c r="C25" s="20"/>
      <c r="D25" s="119">
        <v>1675.81</v>
      </c>
      <c r="E25" s="28">
        <f t="shared" si="0"/>
        <v>338.51361999999995</v>
      </c>
    </row>
    <row r="26" spans="1:5" x14ac:dyDescent="0.25">
      <c r="A26" s="20">
        <v>2</v>
      </c>
      <c r="B26" s="27" t="s">
        <v>26</v>
      </c>
      <c r="C26" s="20"/>
      <c r="D26" s="119">
        <v>2897.61</v>
      </c>
      <c r="E26" s="28"/>
    </row>
    <row r="27" spans="1:5" x14ac:dyDescent="0.25">
      <c r="A27" s="20">
        <v>3</v>
      </c>
      <c r="B27" s="27" t="s">
        <v>213</v>
      </c>
      <c r="C27" s="20"/>
      <c r="D27" s="119">
        <v>161.44999999999999</v>
      </c>
      <c r="E27" s="28"/>
    </row>
    <row r="28" spans="1:5" x14ac:dyDescent="0.25">
      <c r="A28" s="24" t="s">
        <v>27</v>
      </c>
      <c r="B28" s="30" t="s">
        <v>28</v>
      </c>
      <c r="C28" s="20"/>
      <c r="D28" s="22">
        <f>D29+D30+D31</f>
        <v>92035.200000000012</v>
      </c>
      <c r="E28" s="26">
        <f>E29</f>
        <v>16156.35592</v>
      </c>
    </row>
    <row r="29" spans="1:5" x14ac:dyDescent="0.25">
      <c r="A29" s="20">
        <v>1</v>
      </c>
      <c r="B29" s="31" t="s">
        <v>229</v>
      </c>
      <c r="C29" s="20"/>
      <c r="D29" s="31">
        <v>79981.960000000006</v>
      </c>
      <c r="E29" s="33">
        <f>D29*20.2%</f>
        <v>16156.35592</v>
      </c>
    </row>
    <row r="30" spans="1:5" x14ac:dyDescent="0.25">
      <c r="A30" s="20">
        <v>2</v>
      </c>
      <c r="B30" s="31" t="s">
        <v>26</v>
      </c>
      <c r="C30" s="20"/>
      <c r="D30" s="31">
        <f>1618.22+2674.02</f>
        <v>4292.24</v>
      </c>
      <c r="E30" s="20"/>
    </row>
    <row r="31" spans="1:5" x14ac:dyDescent="0.25">
      <c r="A31" s="20">
        <v>3</v>
      </c>
      <c r="B31" s="31" t="s">
        <v>60</v>
      </c>
      <c r="C31" s="20"/>
      <c r="D31" s="31">
        <v>7761</v>
      </c>
      <c r="E31" s="20"/>
    </row>
    <row r="32" spans="1:5" x14ac:dyDescent="0.25">
      <c r="A32" s="24" t="s">
        <v>29</v>
      </c>
      <c r="B32" s="22" t="s">
        <v>30</v>
      </c>
      <c r="C32" s="20"/>
      <c r="D32" s="26">
        <f>D33+D34+D35+D36+D37+D38+D39</f>
        <v>44522.165000000008</v>
      </c>
      <c r="E32" s="20"/>
    </row>
    <row r="33" spans="1:5" x14ac:dyDescent="0.25">
      <c r="A33" s="20"/>
      <c r="B33" s="20" t="s">
        <v>31</v>
      </c>
      <c r="C33" s="20"/>
      <c r="D33" s="28">
        <f>D17*5%</f>
        <v>17209.635000000002</v>
      </c>
      <c r="E33" s="20"/>
    </row>
    <row r="34" spans="1:5" x14ac:dyDescent="0.25">
      <c r="A34" s="20"/>
      <c r="B34" s="20" t="s">
        <v>57</v>
      </c>
      <c r="C34" s="20"/>
      <c r="D34" s="20">
        <v>2594.4899999999998</v>
      </c>
      <c r="E34" s="20"/>
    </row>
    <row r="35" spans="1:5" x14ac:dyDescent="0.25">
      <c r="A35" s="20"/>
      <c r="B35" s="20" t="s">
        <v>33</v>
      </c>
      <c r="C35" s="20"/>
      <c r="D35" s="28">
        <v>11691.19</v>
      </c>
      <c r="E35" s="20"/>
    </row>
    <row r="36" spans="1:5" x14ac:dyDescent="0.25">
      <c r="A36" s="20"/>
      <c r="B36" s="27" t="s">
        <v>131</v>
      </c>
      <c r="C36" s="20"/>
      <c r="D36" s="20">
        <v>172</v>
      </c>
      <c r="E36" s="20"/>
    </row>
    <row r="37" spans="1:5" x14ac:dyDescent="0.25">
      <c r="A37" s="20"/>
      <c r="B37" s="27" t="s">
        <v>63</v>
      </c>
      <c r="C37" s="20"/>
      <c r="D37" s="20">
        <v>0</v>
      </c>
      <c r="E37" s="20"/>
    </row>
    <row r="38" spans="1:5" x14ac:dyDescent="0.25">
      <c r="A38" s="20"/>
      <c r="B38" s="27" t="s">
        <v>35</v>
      </c>
      <c r="C38" s="20"/>
      <c r="D38" s="28">
        <v>7366.87</v>
      </c>
      <c r="E38" s="20"/>
    </row>
    <row r="39" spans="1:5" x14ac:dyDescent="0.25">
      <c r="A39" s="20"/>
      <c r="B39" s="20" t="s">
        <v>37</v>
      </c>
      <c r="C39" s="20"/>
      <c r="D39" s="20">
        <v>5487.98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76832.850000000006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D20+E20+D28+E28+D32+D40+E40</f>
        <v>278274.17852000002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D17*6%</f>
        <v>20651.562000000002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298925.74051999999</v>
      </c>
      <c r="E43" s="20"/>
    </row>
    <row r="44" spans="1:5" x14ac:dyDescent="0.25">
      <c r="A44" s="73" t="s">
        <v>86</v>
      </c>
      <c r="B44" s="22" t="s">
        <v>135</v>
      </c>
      <c r="C44" s="20"/>
      <c r="D44" s="26">
        <f>D17-D43</f>
        <v>45266.95948000002</v>
      </c>
      <c r="E44" s="20"/>
    </row>
    <row r="45" spans="1:5" x14ac:dyDescent="0.25">
      <c r="A45" s="73" t="s">
        <v>87</v>
      </c>
      <c r="B45" s="22" t="s">
        <v>44</v>
      </c>
      <c r="C45" s="20"/>
      <c r="D45" s="26">
        <f>D9+D44</f>
        <v>110238.68948000003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7"/>
      <c r="B47" s="37" t="s">
        <v>45</v>
      </c>
      <c r="C47" s="37"/>
      <c r="D47" s="37" t="s">
        <v>46</v>
      </c>
      <c r="E47" s="37"/>
    </row>
    <row r="48" spans="1:5" x14ac:dyDescent="0.25">
      <c r="A48" s="107"/>
      <c r="B48" s="107" t="s">
        <v>47</v>
      </c>
      <c r="C48" s="107"/>
      <c r="D48" s="107" t="s">
        <v>48</v>
      </c>
      <c r="E48" s="107"/>
    </row>
  </sheetData>
  <mergeCells count="3">
    <mergeCell ref="D7:E7"/>
    <mergeCell ref="A5:C5"/>
    <mergeCell ref="D6:E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3" workbookViewId="0">
      <selection activeCell="H30" sqref="H30:I45"/>
    </sheetView>
  </sheetViews>
  <sheetFormatPr defaultRowHeight="15" x14ac:dyDescent="0.25"/>
  <cols>
    <col min="2" max="2" width="44.7109375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204</v>
      </c>
    </row>
    <row r="5" spans="1:5" x14ac:dyDescent="0.25">
      <c r="B5" t="s">
        <v>89</v>
      </c>
    </row>
    <row r="6" spans="1:5" ht="15.75" x14ac:dyDescent="0.25">
      <c r="A6" s="2"/>
      <c r="B6" s="445" t="s">
        <v>3</v>
      </c>
      <c r="C6" s="446" t="s">
        <v>90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8</v>
      </c>
      <c r="C8" s="13"/>
      <c r="D8" s="429">
        <v>15523.34</v>
      </c>
      <c r="E8" s="381"/>
    </row>
    <row r="9" spans="1:5" x14ac:dyDescent="0.25">
      <c r="A9" s="13"/>
      <c r="B9" s="14" t="s">
        <v>9</v>
      </c>
      <c r="C9" s="13" t="s">
        <v>10</v>
      </c>
      <c r="D9" s="13">
        <v>5597.1</v>
      </c>
      <c r="E9" s="13"/>
    </row>
    <row r="10" spans="1:5" x14ac:dyDescent="0.25">
      <c r="A10" s="13"/>
      <c r="B10" s="14" t="s">
        <v>11</v>
      </c>
      <c r="C10" s="13" t="s">
        <v>10</v>
      </c>
      <c r="D10" s="13">
        <v>4207.8</v>
      </c>
      <c r="E10" s="13"/>
    </row>
    <row r="11" spans="1:5" x14ac:dyDescent="0.25">
      <c r="A11" s="13"/>
      <c r="B11" s="15" t="s">
        <v>12</v>
      </c>
      <c r="C11" s="13" t="s">
        <v>13</v>
      </c>
      <c r="D11" s="462">
        <v>303545.62</v>
      </c>
      <c r="E11" s="13"/>
    </row>
    <row r="12" spans="1:5" ht="15.75" x14ac:dyDescent="0.25">
      <c r="A12" s="13"/>
      <c r="B12" s="16" t="s">
        <v>14</v>
      </c>
      <c r="C12" s="13"/>
      <c r="D12" s="13"/>
      <c r="E12" s="13"/>
    </row>
    <row r="13" spans="1:5" x14ac:dyDescent="0.25">
      <c r="A13" s="13">
        <v>1</v>
      </c>
      <c r="B13" s="13" t="s">
        <v>15</v>
      </c>
      <c r="C13" s="13" t="s">
        <v>13</v>
      </c>
      <c r="D13" s="13">
        <v>348572.02</v>
      </c>
      <c r="E13" s="13"/>
    </row>
    <row r="14" spans="1:5" x14ac:dyDescent="0.25">
      <c r="A14" s="13">
        <v>2</v>
      </c>
      <c r="B14" s="13" t="s">
        <v>92</v>
      </c>
      <c r="C14" s="13"/>
      <c r="D14" s="13">
        <v>8205</v>
      </c>
      <c r="E14" s="13"/>
    </row>
    <row r="15" spans="1:5" ht="15.75" x14ac:dyDescent="0.25">
      <c r="A15" s="13"/>
      <c r="B15" s="16" t="s">
        <v>17</v>
      </c>
      <c r="C15" s="13" t="s">
        <v>13</v>
      </c>
      <c r="D15" s="19">
        <f>D13+D14</f>
        <v>356777.02</v>
      </c>
      <c r="E15" s="13"/>
    </row>
    <row r="16" spans="1:5" ht="15.75" x14ac:dyDescent="0.25">
      <c r="A16" s="13"/>
      <c r="B16" s="16"/>
      <c r="C16" s="13"/>
      <c r="D16" s="19"/>
      <c r="E16" s="13"/>
    </row>
    <row r="17" spans="1:5" ht="15.75" x14ac:dyDescent="0.25">
      <c r="A17" s="20"/>
      <c r="B17" s="21" t="s">
        <v>18</v>
      </c>
      <c r="C17" s="20"/>
      <c r="D17" s="22"/>
      <c r="E17" s="23" t="s">
        <v>19</v>
      </c>
    </row>
    <row r="18" spans="1:5" x14ac:dyDescent="0.25">
      <c r="A18" s="24" t="s">
        <v>20</v>
      </c>
      <c r="B18" s="25" t="s">
        <v>21</v>
      </c>
      <c r="C18" s="20"/>
      <c r="D18" s="22">
        <f>D19+D22+D23</f>
        <v>67615.149999999994</v>
      </c>
      <c r="E18" s="26">
        <f>E19</f>
        <v>12426.474399999999</v>
      </c>
    </row>
    <row r="19" spans="1:5" x14ac:dyDescent="0.25">
      <c r="A19" s="20">
        <v>1</v>
      </c>
      <c r="B19" s="22" t="s">
        <v>22</v>
      </c>
      <c r="C19" s="27" t="s">
        <v>13</v>
      </c>
      <c r="D19" s="22">
        <f>D20+D21</f>
        <v>61517.2</v>
      </c>
      <c r="E19" s="26">
        <f>E20+E21</f>
        <v>12426.474399999999</v>
      </c>
    </row>
    <row r="20" spans="1:5" x14ac:dyDescent="0.25">
      <c r="A20" s="20"/>
      <c r="B20" s="20" t="s">
        <v>23</v>
      </c>
      <c r="C20" s="20"/>
      <c r="D20" s="20">
        <v>61517.2</v>
      </c>
      <c r="E20" s="28">
        <f>D20*20.2%</f>
        <v>12426.474399999999</v>
      </c>
    </row>
    <row r="21" spans="1:5" x14ac:dyDescent="0.25">
      <c r="A21" s="20"/>
      <c r="B21" s="27" t="s">
        <v>75</v>
      </c>
      <c r="C21" s="20"/>
      <c r="D21" s="20">
        <v>0</v>
      </c>
      <c r="E21" s="28">
        <f>D21*20.2%</f>
        <v>0</v>
      </c>
    </row>
    <row r="22" spans="1:5" x14ac:dyDescent="0.25">
      <c r="A22" s="20">
        <v>2</v>
      </c>
      <c r="B22" s="27" t="s">
        <v>213</v>
      </c>
      <c r="C22" s="20"/>
      <c r="D22" s="20">
        <v>4401.91</v>
      </c>
      <c r="E22" s="28"/>
    </row>
    <row r="23" spans="1:5" x14ac:dyDescent="0.25">
      <c r="A23" s="20">
        <v>3</v>
      </c>
      <c r="B23" s="27" t="s">
        <v>26</v>
      </c>
      <c r="C23" s="20"/>
      <c r="D23" s="20">
        <f>69.5+1626.54</f>
        <v>1696.04</v>
      </c>
      <c r="E23" s="28"/>
    </row>
    <row r="24" spans="1:5" x14ac:dyDescent="0.25">
      <c r="A24" s="24" t="s">
        <v>27</v>
      </c>
      <c r="B24" s="30" t="s">
        <v>28</v>
      </c>
      <c r="C24" s="20"/>
      <c r="D24" s="22">
        <f>D25+D26</f>
        <v>92034.77</v>
      </c>
      <c r="E24" s="26">
        <f>E25</f>
        <v>15109.75554</v>
      </c>
    </row>
    <row r="25" spans="1:5" x14ac:dyDescent="0.25">
      <c r="A25" s="20">
        <v>1</v>
      </c>
      <c r="B25" s="31" t="s">
        <v>229</v>
      </c>
      <c r="C25" s="20"/>
      <c r="D25" s="31">
        <v>74800.77</v>
      </c>
      <c r="E25" s="28">
        <f>D25*20.2%</f>
        <v>15109.75554</v>
      </c>
    </row>
    <row r="26" spans="1:5" x14ac:dyDescent="0.25">
      <c r="A26" s="20">
        <v>2</v>
      </c>
      <c r="B26" s="31" t="s">
        <v>26</v>
      </c>
      <c r="C26" s="20"/>
      <c r="D26" s="31">
        <f>13292.61+3941.39</f>
        <v>17234</v>
      </c>
      <c r="E26" s="28"/>
    </row>
    <row r="27" spans="1:5" x14ac:dyDescent="0.25">
      <c r="A27" s="24" t="s">
        <v>29</v>
      </c>
      <c r="B27" s="22" t="s">
        <v>30</v>
      </c>
      <c r="C27" s="20"/>
      <c r="D27" s="26">
        <f>D28+D29+D30+D31+D34+D35+D36+D32+D33</f>
        <v>54739.419940000007</v>
      </c>
      <c r="E27" s="20"/>
    </row>
    <row r="28" spans="1:5" x14ac:dyDescent="0.25">
      <c r="A28" s="20"/>
      <c r="B28" s="20" t="s">
        <v>31</v>
      </c>
      <c r="C28" s="20"/>
      <c r="D28" s="28">
        <f>D15*4.7%</f>
        <v>16768.519940000002</v>
      </c>
      <c r="E28" s="20"/>
    </row>
    <row r="29" spans="1:5" x14ac:dyDescent="0.25">
      <c r="A29" s="20"/>
      <c r="B29" s="20" t="s">
        <v>57</v>
      </c>
      <c r="C29" s="20"/>
      <c r="D29" s="20">
        <v>2101.1999999999998</v>
      </c>
      <c r="E29" s="20"/>
    </row>
    <row r="30" spans="1:5" x14ac:dyDescent="0.25">
      <c r="A30" s="20"/>
      <c r="B30" s="31" t="s">
        <v>32</v>
      </c>
      <c r="C30" s="20"/>
      <c r="D30" s="20">
        <v>6200</v>
      </c>
      <c r="E30" s="20"/>
    </row>
    <row r="31" spans="1:5" x14ac:dyDescent="0.25">
      <c r="A31" s="20"/>
      <c r="B31" s="20" t="s">
        <v>33</v>
      </c>
      <c r="C31" s="20"/>
      <c r="D31" s="28">
        <v>10933.84</v>
      </c>
      <c r="E31" s="20"/>
    </row>
    <row r="32" spans="1:5" x14ac:dyDescent="0.25">
      <c r="A32" s="20"/>
      <c r="B32" s="27" t="s">
        <v>131</v>
      </c>
      <c r="C32" s="20"/>
      <c r="D32" s="20">
        <v>172</v>
      </c>
      <c r="E32" s="20"/>
    </row>
    <row r="33" spans="1:5" x14ac:dyDescent="0.25">
      <c r="A33" s="20"/>
      <c r="B33" s="27" t="s">
        <v>210</v>
      </c>
      <c r="C33" s="20"/>
      <c r="D33" s="20">
        <v>1500</v>
      </c>
      <c r="E33" s="20"/>
    </row>
    <row r="34" spans="1:5" x14ac:dyDescent="0.25">
      <c r="A34" s="20"/>
      <c r="B34" s="31" t="s">
        <v>35</v>
      </c>
      <c r="C34" s="20"/>
      <c r="D34" s="20">
        <v>6889.65</v>
      </c>
      <c r="E34" s="20"/>
    </row>
    <row r="35" spans="1:5" x14ac:dyDescent="0.25">
      <c r="A35" s="20"/>
      <c r="B35" s="27" t="s">
        <v>61</v>
      </c>
      <c r="C35" s="20"/>
      <c r="D35" s="20">
        <v>5041.74</v>
      </c>
      <c r="E35" s="20"/>
    </row>
    <row r="36" spans="1:5" x14ac:dyDescent="0.25">
      <c r="A36" s="20"/>
      <c r="B36" s="31" t="s">
        <v>37</v>
      </c>
      <c r="C36" s="20"/>
      <c r="D36" s="20">
        <v>5132.47</v>
      </c>
      <c r="E36" s="20"/>
    </row>
    <row r="37" spans="1:5" x14ac:dyDescent="0.25">
      <c r="A37" s="73" t="s">
        <v>82</v>
      </c>
      <c r="B37" s="22" t="s">
        <v>38</v>
      </c>
      <c r="C37" s="20"/>
      <c r="D37" s="26">
        <v>70746.37</v>
      </c>
      <c r="E37" s="26"/>
    </row>
    <row r="38" spans="1:5" x14ac:dyDescent="0.25">
      <c r="A38" s="73" t="s">
        <v>83</v>
      </c>
      <c r="B38" s="22" t="s">
        <v>41</v>
      </c>
      <c r="C38" s="20"/>
      <c r="D38" s="26">
        <f>D18+E18+D24+E24+D27+D37</f>
        <v>312671.93988000002</v>
      </c>
      <c r="E38" s="20"/>
    </row>
    <row r="39" spans="1:5" x14ac:dyDescent="0.25">
      <c r="A39" s="73" t="s">
        <v>84</v>
      </c>
      <c r="B39" s="20" t="s">
        <v>42</v>
      </c>
      <c r="C39" s="20"/>
      <c r="D39" s="26">
        <f>D15*6%</f>
        <v>21406.621200000001</v>
      </c>
      <c r="E39" s="20"/>
    </row>
    <row r="40" spans="1:5" x14ac:dyDescent="0.25">
      <c r="A40" s="73" t="s">
        <v>85</v>
      </c>
      <c r="B40" s="22" t="s">
        <v>43</v>
      </c>
      <c r="C40" s="20"/>
      <c r="D40" s="26">
        <f>D38+D39</f>
        <v>334078.56108000001</v>
      </c>
      <c r="E40" s="20"/>
    </row>
    <row r="41" spans="1:5" x14ac:dyDescent="0.25">
      <c r="A41" s="73"/>
      <c r="B41" s="20"/>
      <c r="C41" s="20"/>
      <c r="D41" s="20"/>
      <c r="E41" s="20"/>
    </row>
    <row r="42" spans="1:5" x14ac:dyDescent="0.25">
      <c r="A42" s="73" t="s">
        <v>86</v>
      </c>
      <c r="B42" s="22" t="s">
        <v>135</v>
      </c>
      <c r="C42" s="20"/>
      <c r="D42" s="26">
        <f>D15-D40</f>
        <v>22698.458920000005</v>
      </c>
      <c r="E42" s="20"/>
    </row>
    <row r="43" spans="1:5" x14ac:dyDescent="0.25">
      <c r="A43" s="73" t="s">
        <v>87</v>
      </c>
      <c r="B43" s="22" t="s">
        <v>44</v>
      </c>
      <c r="C43" s="20"/>
      <c r="D43" s="26">
        <f>D8+D42</f>
        <v>38221.798920000001</v>
      </c>
      <c r="E43" s="20"/>
    </row>
    <row r="44" spans="1:5" x14ac:dyDescent="0.25">
      <c r="A44" s="34"/>
      <c r="B44" s="35"/>
      <c r="C44" s="34"/>
      <c r="D44" s="36"/>
      <c r="E44" s="34"/>
    </row>
    <row r="45" spans="1:5" x14ac:dyDescent="0.25">
      <c r="A45" s="37"/>
      <c r="B45" s="37" t="s">
        <v>45</v>
      </c>
      <c r="C45" s="37"/>
      <c r="D45" s="37" t="s">
        <v>46</v>
      </c>
      <c r="E45" s="37"/>
    </row>
    <row r="46" spans="1:5" x14ac:dyDescent="0.25">
      <c r="A46" s="37"/>
      <c r="B46" s="37" t="s">
        <v>47</v>
      </c>
      <c r="C46" s="37"/>
      <c r="D46" s="37" t="s">
        <v>48</v>
      </c>
      <c r="E46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0" workbookViewId="0">
      <selection activeCell="J38" sqref="J38"/>
    </sheetView>
  </sheetViews>
  <sheetFormatPr defaultRowHeight="15" x14ac:dyDescent="0.25"/>
  <cols>
    <col min="2" max="2" width="41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205</v>
      </c>
    </row>
    <row r="5" spans="1:5" x14ac:dyDescent="0.25">
      <c r="B5" t="s">
        <v>59</v>
      </c>
    </row>
    <row r="6" spans="1:5" ht="15.75" x14ac:dyDescent="0.25">
      <c r="A6" s="2"/>
      <c r="B6" s="445" t="s">
        <v>3</v>
      </c>
      <c r="C6" s="446" t="s">
        <v>4</v>
      </c>
      <c r="D6" s="598" t="s">
        <v>5</v>
      </c>
      <c r="E6" s="599"/>
    </row>
    <row r="7" spans="1:5" ht="15.75" x14ac:dyDescent="0.25">
      <c r="A7" s="8"/>
      <c r="B7" s="6" t="s">
        <v>6</v>
      </c>
      <c r="C7" s="7" t="s">
        <v>7</v>
      </c>
      <c r="D7" s="504" t="s">
        <v>152</v>
      </c>
      <c r="E7" s="505"/>
    </row>
    <row r="8" spans="1:5" x14ac:dyDescent="0.25">
      <c r="A8" s="13"/>
      <c r="B8" s="14" t="s">
        <v>122</v>
      </c>
      <c r="C8" s="13"/>
      <c r="D8" s="449">
        <v>-62119.87</v>
      </c>
      <c r="E8" s="381"/>
    </row>
    <row r="9" spans="1:5" x14ac:dyDescent="0.25">
      <c r="A9" s="9"/>
      <c r="B9" s="12" t="s">
        <v>123</v>
      </c>
      <c r="C9" s="9"/>
      <c r="D9" s="434">
        <v>117964.07</v>
      </c>
      <c r="E9" s="11"/>
    </row>
    <row r="10" spans="1:5" x14ac:dyDescent="0.25">
      <c r="A10" s="13"/>
      <c r="B10" s="14" t="s">
        <v>9</v>
      </c>
      <c r="C10" s="14" t="s">
        <v>10</v>
      </c>
      <c r="D10" s="17">
        <v>4619.5</v>
      </c>
      <c r="E10" s="13"/>
    </row>
    <row r="11" spans="1:5" x14ac:dyDescent="0.25">
      <c r="A11" s="13"/>
      <c r="B11" s="14" t="s">
        <v>11</v>
      </c>
      <c r="C11" s="14" t="s">
        <v>10</v>
      </c>
      <c r="D11" s="17">
        <v>3701.3</v>
      </c>
      <c r="E11" s="13"/>
    </row>
    <row r="12" spans="1:5" x14ac:dyDescent="0.25">
      <c r="A12" s="13"/>
      <c r="B12" s="15" t="s">
        <v>12</v>
      </c>
      <c r="C12" s="14" t="s">
        <v>13</v>
      </c>
      <c r="D12" s="463">
        <v>376456.97</v>
      </c>
      <c r="E12" s="13"/>
    </row>
    <row r="13" spans="1:5" ht="15.75" x14ac:dyDescent="0.25">
      <c r="A13" s="13"/>
      <c r="B13" s="16" t="s">
        <v>14</v>
      </c>
      <c r="C13" s="14"/>
      <c r="D13" s="17"/>
      <c r="E13" s="13"/>
    </row>
    <row r="14" spans="1:5" x14ac:dyDescent="0.25">
      <c r="A14" s="13">
        <v>1</v>
      </c>
      <c r="B14" s="13" t="s">
        <v>15</v>
      </c>
      <c r="C14" s="14" t="s">
        <v>13</v>
      </c>
      <c r="D14" s="17">
        <v>281617.28999999998</v>
      </c>
      <c r="E14" s="13"/>
    </row>
    <row r="15" spans="1:5" x14ac:dyDescent="0.25">
      <c r="A15" s="13">
        <v>2</v>
      </c>
      <c r="B15" s="13" t="s">
        <v>16</v>
      </c>
      <c r="C15" s="14" t="s">
        <v>13</v>
      </c>
      <c r="D15" s="17">
        <v>74306.42</v>
      </c>
      <c r="E15" s="13"/>
    </row>
    <row r="16" spans="1:5" ht="15.75" x14ac:dyDescent="0.25">
      <c r="A16" s="13"/>
      <c r="B16" s="16" t="s">
        <v>17</v>
      </c>
      <c r="C16" s="14"/>
      <c r="D16" s="18">
        <f>SUM(D14:D15)</f>
        <v>355923.70999999996</v>
      </c>
      <c r="E16" s="13"/>
    </row>
    <row r="17" spans="1:5" ht="15.75" x14ac:dyDescent="0.25">
      <c r="A17" s="13"/>
      <c r="B17" s="16"/>
      <c r="C17" s="14"/>
      <c r="D17" s="19"/>
      <c r="E17" s="13"/>
    </row>
    <row r="18" spans="1:5" ht="15.75" x14ac:dyDescent="0.25">
      <c r="A18" s="20"/>
      <c r="B18" s="21" t="s">
        <v>18</v>
      </c>
      <c r="C18" s="20"/>
      <c r="D18" s="22"/>
      <c r="E18" s="23" t="s">
        <v>19</v>
      </c>
    </row>
    <row r="19" spans="1:5" x14ac:dyDescent="0.25">
      <c r="A19" s="24" t="s">
        <v>20</v>
      </c>
      <c r="B19" s="25" t="s">
        <v>21</v>
      </c>
      <c r="C19" s="20"/>
      <c r="D19" s="22">
        <f>D20+D22</f>
        <v>38540.519999999997</v>
      </c>
      <c r="E19" s="26">
        <f>E20</f>
        <v>7749.5138599999991</v>
      </c>
    </row>
    <row r="20" spans="1:5" x14ac:dyDescent="0.25">
      <c r="A20" s="20">
        <v>1</v>
      </c>
      <c r="B20" s="22" t="s">
        <v>22</v>
      </c>
      <c r="C20" s="27" t="s">
        <v>13</v>
      </c>
      <c r="D20" s="22">
        <f>D21</f>
        <v>38363.93</v>
      </c>
      <c r="E20" s="26">
        <f>E21</f>
        <v>7749.5138599999991</v>
      </c>
    </row>
    <row r="21" spans="1:5" x14ac:dyDescent="0.25">
      <c r="A21" s="20"/>
      <c r="B21" s="20" t="s">
        <v>23</v>
      </c>
      <c r="C21" s="20"/>
      <c r="D21" s="20">
        <v>38363.93</v>
      </c>
      <c r="E21" s="28">
        <f>D21*20.2%</f>
        <v>7749.5138599999991</v>
      </c>
    </row>
    <row r="22" spans="1:5" x14ac:dyDescent="0.25">
      <c r="A22" s="20">
        <v>2</v>
      </c>
      <c r="B22" s="27" t="s">
        <v>26</v>
      </c>
      <c r="C22" s="20"/>
      <c r="D22" s="20">
        <f>61.14+115.45</f>
        <v>176.59</v>
      </c>
      <c r="E22" s="28"/>
    </row>
    <row r="23" spans="1:5" x14ac:dyDescent="0.25">
      <c r="A23" s="24" t="s">
        <v>27</v>
      </c>
      <c r="B23" s="30" t="s">
        <v>28</v>
      </c>
      <c r="C23" s="20"/>
      <c r="D23" s="22">
        <f>D24+D25</f>
        <v>66939.62</v>
      </c>
      <c r="E23" s="26">
        <f>E24</f>
        <v>13290.967739999998</v>
      </c>
    </row>
    <row r="24" spans="1:5" x14ac:dyDescent="0.25">
      <c r="A24" s="20">
        <v>1</v>
      </c>
      <c r="B24" s="31" t="s">
        <v>229</v>
      </c>
      <c r="C24" s="20"/>
      <c r="D24" s="31">
        <v>65796.87</v>
      </c>
      <c r="E24" s="28">
        <f>D24*20.2%</f>
        <v>13290.967739999998</v>
      </c>
    </row>
    <row r="25" spans="1:5" x14ac:dyDescent="0.25">
      <c r="A25" s="20">
        <v>2</v>
      </c>
      <c r="B25" s="31" t="s">
        <v>26</v>
      </c>
      <c r="C25" s="20"/>
      <c r="D25" s="31">
        <v>1142.75</v>
      </c>
      <c r="E25" s="28"/>
    </row>
    <row r="26" spans="1:5" x14ac:dyDescent="0.25">
      <c r="A26" s="24" t="s">
        <v>29</v>
      </c>
      <c r="B26" s="22" t="s">
        <v>30</v>
      </c>
      <c r="C26" s="20"/>
      <c r="D26" s="26">
        <f>D27+D28+D29+D30+D31+D32+D33+D34</f>
        <v>44387.914369999999</v>
      </c>
      <c r="E26" s="20"/>
    </row>
    <row r="27" spans="1:5" x14ac:dyDescent="0.25">
      <c r="A27" s="20"/>
      <c r="B27" s="20" t="s">
        <v>31</v>
      </c>
      <c r="C27" s="20"/>
      <c r="D27" s="28">
        <f>D16*4.7%</f>
        <v>16728.414369999999</v>
      </c>
      <c r="E27" s="20"/>
    </row>
    <row r="28" spans="1:5" x14ac:dyDescent="0.25">
      <c r="A28" s="20"/>
      <c r="B28" s="20" t="s">
        <v>57</v>
      </c>
      <c r="C28" s="20"/>
      <c r="D28" s="20">
        <v>0</v>
      </c>
      <c r="E28" s="20"/>
    </row>
    <row r="29" spans="1:5" x14ac:dyDescent="0.25">
      <c r="A29" s="20"/>
      <c r="B29" s="13" t="s">
        <v>32</v>
      </c>
      <c r="C29" s="20"/>
      <c r="D29" s="20">
        <v>0</v>
      </c>
      <c r="E29" s="20"/>
    </row>
    <row r="30" spans="1:5" x14ac:dyDescent="0.25">
      <c r="A30" s="20"/>
      <c r="B30" s="20" t="s">
        <v>33</v>
      </c>
      <c r="C30" s="20"/>
      <c r="D30" s="28">
        <v>9617.7099999999991</v>
      </c>
      <c r="E30" s="20"/>
    </row>
    <row r="31" spans="1:5" x14ac:dyDescent="0.25">
      <c r="A31" s="20"/>
      <c r="B31" s="27" t="s">
        <v>131</v>
      </c>
      <c r="C31" s="20"/>
      <c r="D31" s="20">
        <v>172</v>
      </c>
      <c r="E31" s="20"/>
    </row>
    <row r="32" spans="1:5" x14ac:dyDescent="0.25">
      <c r="A32" s="20"/>
      <c r="B32" s="27" t="s">
        <v>35</v>
      </c>
      <c r="C32" s="20"/>
      <c r="D32" s="20">
        <v>6041.95</v>
      </c>
      <c r="E32" s="20"/>
    </row>
    <row r="33" spans="1:5" x14ac:dyDescent="0.25">
      <c r="A33" s="20"/>
      <c r="B33" s="27" t="s">
        <v>61</v>
      </c>
      <c r="C33" s="20"/>
      <c r="D33" s="20">
        <v>7343.39</v>
      </c>
      <c r="E33" s="20"/>
    </row>
    <row r="34" spans="1:5" x14ac:dyDescent="0.25">
      <c r="A34" s="20"/>
      <c r="B34" s="31" t="s">
        <v>37</v>
      </c>
      <c r="C34" s="20"/>
      <c r="D34" s="20">
        <v>4484.45</v>
      </c>
      <c r="E34" s="20"/>
    </row>
    <row r="35" spans="1:5" x14ac:dyDescent="0.25">
      <c r="A35" s="73" t="s">
        <v>82</v>
      </c>
      <c r="B35" s="22" t="s">
        <v>38</v>
      </c>
      <c r="C35" s="20"/>
      <c r="D35" s="26">
        <v>64348.6</v>
      </c>
      <c r="E35" s="26"/>
    </row>
    <row r="36" spans="1:5" x14ac:dyDescent="0.25">
      <c r="A36" s="73" t="s">
        <v>83</v>
      </c>
      <c r="B36" s="22" t="s">
        <v>41</v>
      </c>
      <c r="C36" s="20"/>
      <c r="D36" s="26">
        <f>D19+E19+D23+E23+D26+D35+E35</f>
        <v>235257.13596999997</v>
      </c>
      <c r="E36" s="20"/>
    </row>
    <row r="37" spans="1:5" x14ac:dyDescent="0.25">
      <c r="A37" s="73" t="s">
        <v>84</v>
      </c>
      <c r="B37" s="20" t="s">
        <v>42</v>
      </c>
      <c r="C37" s="20"/>
      <c r="D37" s="26">
        <f>D16*6%</f>
        <v>21355.422599999998</v>
      </c>
      <c r="E37" s="20"/>
    </row>
    <row r="38" spans="1:5" x14ac:dyDescent="0.25">
      <c r="A38" s="73" t="s">
        <v>85</v>
      </c>
      <c r="B38" s="22" t="s">
        <v>43</v>
      </c>
      <c r="C38" s="20"/>
      <c r="D38" s="26">
        <f>D36+D37</f>
        <v>256612.55856999996</v>
      </c>
      <c r="E38" s="20"/>
    </row>
    <row r="39" spans="1:5" x14ac:dyDescent="0.25">
      <c r="A39" s="73"/>
      <c r="B39" s="20"/>
      <c r="C39" s="20"/>
      <c r="D39" s="20"/>
      <c r="E39" s="20"/>
    </row>
    <row r="40" spans="1:5" x14ac:dyDescent="0.25">
      <c r="A40" s="73" t="s">
        <v>86</v>
      </c>
      <c r="B40" s="22" t="s">
        <v>135</v>
      </c>
      <c r="C40" s="20"/>
      <c r="D40" s="26">
        <f>D14-D38</f>
        <v>25004.731430000014</v>
      </c>
      <c r="E40" s="20"/>
    </row>
    <row r="41" spans="1:5" x14ac:dyDescent="0.25">
      <c r="A41" s="73" t="s">
        <v>87</v>
      </c>
      <c r="B41" s="22" t="s">
        <v>44</v>
      </c>
      <c r="C41" s="20"/>
      <c r="D41" s="26">
        <f>D8+D40</f>
        <v>-37115.138569999988</v>
      </c>
      <c r="E41" s="20"/>
    </row>
    <row r="42" spans="1:5" x14ac:dyDescent="0.25">
      <c r="A42" s="34"/>
      <c r="B42" s="35" t="s">
        <v>16</v>
      </c>
      <c r="C42" s="34"/>
      <c r="D42" s="36">
        <f>D9+D15</f>
        <v>192270.49</v>
      </c>
      <c r="E42" s="34"/>
    </row>
    <row r="43" spans="1:5" x14ac:dyDescent="0.25">
      <c r="A43" s="34"/>
      <c r="B43" s="35" t="s">
        <v>226</v>
      </c>
      <c r="C43" s="34"/>
      <c r="D43" s="36">
        <f>114608.3+131800</f>
        <v>246408.3</v>
      </c>
      <c r="E43" s="34"/>
    </row>
    <row r="44" spans="1:5" x14ac:dyDescent="0.25">
      <c r="A44" s="34"/>
      <c r="B44" s="35" t="s">
        <v>115</v>
      </c>
      <c r="C44" s="34"/>
      <c r="D44" s="36">
        <f>D42-D43</f>
        <v>-54137.81</v>
      </c>
      <c r="E44" s="34"/>
    </row>
    <row r="45" spans="1:5" x14ac:dyDescent="0.25">
      <c r="A45" s="34"/>
      <c r="B45" s="35"/>
      <c r="C45" s="34"/>
      <c r="D45" s="36"/>
      <c r="E45" s="34"/>
    </row>
    <row r="46" spans="1:5" x14ac:dyDescent="0.25">
      <c r="A46" s="34"/>
      <c r="B46" t="s">
        <v>45</v>
      </c>
      <c r="D46" t="s">
        <v>46</v>
      </c>
      <c r="E46" s="34"/>
    </row>
    <row r="47" spans="1:5" x14ac:dyDescent="0.25">
      <c r="A47" s="37"/>
      <c r="B47" s="37" t="s">
        <v>47</v>
      </c>
      <c r="C47" s="37"/>
      <c r="D47" s="37" t="s">
        <v>48</v>
      </c>
      <c r="E47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5" workbookViewId="0">
      <selection activeCell="H31" sqref="H31:I44"/>
    </sheetView>
  </sheetViews>
  <sheetFormatPr defaultRowHeight="15" x14ac:dyDescent="0.25"/>
  <cols>
    <col min="2" max="2" width="38.28515625" customWidth="1"/>
    <col min="4" max="4" width="10.42578125" customWidth="1"/>
  </cols>
  <sheetData>
    <row r="1" spans="1:5" ht="15.75" x14ac:dyDescent="0.25">
      <c r="A1" s="107"/>
      <c r="B1" s="108" t="s">
        <v>0</v>
      </c>
      <c r="C1" s="107"/>
      <c r="D1" s="107"/>
      <c r="E1" s="107"/>
    </row>
    <row r="2" spans="1:5" x14ac:dyDescent="0.25">
      <c r="A2" s="107"/>
      <c r="B2" s="107"/>
      <c r="C2" s="107"/>
      <c r="D2" s="107"/>
      <c r="E2" s="107"/>
    </row>
    <row r="3" spans="1:5" x14ac:dyDescent="0.25">
      <c r="A3" s="107"/>
      <c r="B3" s="107" t="s">
        <v>1</v>
      </c>
      <c r="C3" s="107"/>
      <c r="D3" s="107"/>
      <c r="E3" s="107"/>
    </row>
    <row r="4" spans="1:5" x14ac:dyDescent="0.25">
      <c r="A4" s="107"/>
      <c r="B4" s="109" t="s">
        <v>142</v>
      </c>
      <c r="C4" s="107"/>
      <c r="D4" s="107"/>
      <c r="E4" s="107"/>
    </row>
    <row r="5" spans="1:5" x14ac:dyDescent="0.25">
      <c r="A5" s="517"/>
      <c r="B5" s="517"/>
      <c r="C5" s="517"/>
      <c r="D5" s="389"/>
      <c r="E5" s="110"/>
    </row>
    <row r="6" spans="1:5" ht="15.75" x14ac:dyDescent="0.25">
      <c r="A6" s="111"/>
      <c r="B6" s="112" t="s">
        <v>3</v>
      </c>
      <c r="C6" s="113" t="s">
        <v>4</v>
      </c>
      <c r="D6" s="518" t="s">
        <v>5</v>
      </c>
      <c r="E6" s="519"/>
    </row>
    <row r="7" spans="1:5" ht="15.75" x14ac:dyDescent="0.25">
      <c r="A7" s="114"/>
      <c r="B7" s="112" t="s">
        <v>6</v>
      </c>
      <c r="C7" s="113" t="s">
        <v>7</v>
      </c>
      <c r="D7" s="515" t="s">
        <v>141</v>
      </c>
      <c r="E7" s="516"/>
    </row>
    <row r="8" spans="1:5" x14ac:dyDescent="0.25">
      <c r="A8" s="115"/>
      <c r="B8" s="115"/>
      <c r="C8" s="115"/>
      <c r="D8" s="116"/>
      <c r="E8" s="117"/>
    </row>
    <row r="9" spans="1:5" x14ac:dyDescent="0.25">
      <c r="A9" s="115"/>
      <c r="B9" s="118" t="s">
        <v>8</v>
      </c>
      <c r="C9" s="115"/>
      <c r="D9" s="116">
        <v>95672.3</v>
      </c>
      <c r="E9" s="117"/>
    </row>
    <row r="10" spans="1:5" x14ac:dyDescent="0.25">
      <c r="A10" s="119"/>
      <c r="B10" s="120" t="s">
        <v>9</v>
      </c>
      <c r="C10" s="119" t="s">
        <v>10</v>
      </c>
      <c r="D10" s="119">
        <v>4428.1000000000004</v>
      </c>
      <c r="E10" s="119"/>
    </row>
    <row r="11" spans="1:5" x14ac:dyDescent="0.25">
      <c r="A11" s="119"/>
      <c r="B11" s="120" t="s">
        <v>11</v>
      </c>
      <c r="C11" s="119" t="s">
        <v>10</v>
      </c>
      <c r="D11" s="119">
        <v>3467.4</v>
      </c>
      <c r="E11" s="119"/>
    </row>
    <row r="12" spans="1:5" x14ac:dyDescent="0.25">
      <c r="A12" s="119"/>
      <c r="B12" s="121" t="s">
        <v>12</v>
      </c>
      <c r="C12" s="119" t="s">
        <v>13</v>
      </c>
      <c r="D12" s="119">
        <v>266711.98</v>
      </c>
      <c r="E12" s="119"/>
    </row>
    <row r="13" spans="1:5" x14ac:dyDescent="0.25">
      <c r="A13" s="119"/>
      <c r="B13" s="119"/>
      <c r="C13" s="119"/>
      <c r="D13" s="119"/>
      <c r="E13" s="119"/>
    </row>
    <row r="14" spans="1:5" ht="15.75" x14ac:dyDescent="0.25">
      <c r="A14" s="119"/>
      <c r="B14" s="122" t="s">
        <v>14</v>
      </c>
      <c r="C14" s="119"/>
      <c r="D14" s="119"/>
      <c r="E14" s="119"/>
    </row>
    <row r="15" spans="1:5" x14ac:dyDescent="0.25">
      <c r="A15" s="119">
        <v>1</v>
      </c>
      <c r="B15" s="119" t="s">
        <v>15</v>
      </c>
      <c r="C15" s="119" t="s">
        <v>13</v>
      </c>
      <c r="D15" s="119">
        <v>276043.27</v>
      </c>
      <c r="E15" s="119"/>
    </row>
    <row r="16" spans="1:5" x14ac:dyDescent="0.25">
      <c r="A16" s="119">
        <v>2</v>
      </c>
      <c r="B16" s="119" t="s">
        <v>92</v>
      </c>
      <c r="C16" s="119" t="s">
        <v>13</v>
      </c>
      <c r="D16" s="119">
        <v>7200</v>
      </c>
      <c r="E16" s="119"/>
    </row>
    <row r="17" spans="1:5" ht="15.75" x14ac:dyDescent="0.25">
      <c r="A17" s="119"/>
      <c r="B17" s="122" t="s">
        <v>17</v>
      </c>
      <c r="C17" s="119"/>
      <c r="D17" s="123">
        <f>D15+D16</f>
        <v>283243.27</v>
      </c>
      <c r="E17" s="119"/>
    </row>
    <row r="18" spans="1:5" ht="15.75" x14ac:dyDescent="0.25">
      <c r="A18" s="119"/>
      <c r="B18" s="122"/>
      <c r="C18" s="119"/>
      <c r="D18" s="123"/>
      <c r="E18" s="119"/>
    </row>
    <row r="19" spans="1:5" ht="15.75" x14ac:dyDescent="0.25">
      <c r="A19" s="20"/>
      <c r="B19" s="21" t="s">
        <v>18</v>
      </c>
      <c r="C19" s="20"/>
      <c r="D19" s="22"/>
      <c r="E19" s="119" t="s">
        <v>19</v>
      </c>
    </row>
    <row r="20" spans="1:5" x14ac:dyDescent="0.25">
      <c r="A20" s="24" t="s">
        <v>20</v>
      </c>
      <c r="B20" s="25" t="s">
        <v>21</v>
      </c>
      <c r="C20" s="20"/>
      <c r="D20" s="22">
        <f>D21+D25+D26</f>
        <v>29595.960000000003</v>
      </c>
      <c r="E20" s="26">
        <f>E21</f>
        <v>5078.7142999999996</v>
      </c>
    </row>
    <row r="21" spans="1:5" x14ac:dyDescent="0.25">
      <c r="A21" s="20">
        <v>1</v>
      </c>
      <c r="B21" s="22" t="s">
        <v>22</v>
      </c>
      <c r="C21" s="27" t="s">
        <v>13</v>
      </c>
      <c r="D21" s="22">
        <f>D22+D24</f>
        <v>25142.15</v>
      </c>
      <c r="E21" s="26">
        <f>E22+E24</f>
        <v>5078.7142999999996</v>
      </c>
    </row>
    <row r="22" spans="1:5" x14ac:dyDescent="0.25">
      <c r="A22" s="20"/>
      <c r="B22" s="20" t="s">
        <v>23</v>
      </c>
      <c r="C22" s="20"/>
      <c r="D22" s="20">
        <v>24196.720000000001</v>
      </c>
      <c r="E22" s="28">
        <f>D22*20.2%</f>
        <v>4887.7374399999999</v>
      </c>
    </row>
    <row r="23" spans="1:5" x14ac:dyDescent="0.25">
      <c r="A23" s="20"/>
      <c r="B23" s="20" t="s">
        <v>25</v>
      </c>
      <c r="C23" s="20"/>
      <c r="D23" s="20">
        <v>0</v>
      </c>
      <c r="E23" s="28">
        <f t="shared" ref="E23:E24" si="0">D23*20.2%</f>
        <v>0</v>
      </c>
    </row>
    <row r="24" spans="1:5" x14ac:dyDescent="0.25">
      <c r="A24" s="20"/>
      <c r="B24" s="31" t="s">
        <v>75</v>
      </c>
      <c r="C24" s="20"/>
      <c r="D24" s="20">
        <v>945.43</v>
      </c>
      <c r="E24" s="28">
        <f t="shared" si="0"/>
        <v>190.97685999999999</v>
      </c>
    </row>
    <row r="25" spans="1:5" x14ac:dyDescent="0.25">
      <c r="A25" s="20">
        <v>2</v>
      </c>
      <c r="B25" s="27" t="s">
        <v>26</v>
      </c>
      <c r="C25" s="20"/>
      <c r="D25" s="20">
        <f>57.27+1432.86</f>
        <v>1490.1299999999999</v>
      </c>
      <c r="E25" s="28"/>
    </row>
    <row r="26" spans="1:5" x14ac:dyDescent="0.25">
      <c r="A26" s="20">
        <v>3</v>
      </c>
      <c r="B26" s="27" t="s">
        <v>213</v>
      </c>
      <c r="C26" s="20"/>
      <c r="D26" s="20">
        <v>2963.68</v>
      </c>
      <c r="E26" s="28"/>
    </row>
    <row r="27" spans="1:5" x14ac:dyDescent="0.25">
      <c r="A27" s="24" t="s">
        <v>27</v>
      </c>
      <c r="B27" s="30" t="s">
        <v>28</v>
      </c>
      <c r="C27" s="20"/>
      <c r="D27" s="22">
        <f>D28+D29+D30</f>
        <v>68748.179999999993</v>
      </c>
      <c r="E27" s="26">
        <f>E28</f>
        <v>12451.057799999999</v>
      </c>
    </row>
    <row r="28" spans="1:5" x14ac:dyDescent="0.25">
      <c r="A28" s="20">
        <v>1</v>
      </c>
      <c r="B28" s="31" t="s">
        <v>229</v>
      </c>
      <c r="C28" s="20"/>
      <c r="D28" s="31">
        <v>61638.9</v>
      </c>
      <c r="E28" s="28">
        <f>D28*20.2%</f>
        <v>12451.057799999999</v>
      </c>
    </row>
    <row r="29" spans="1:5" x14ac:dyDescent="0.25">
      <c r="A29" s="20">
        <v>2</v>
      </c>
      <c r="B29" s="31" t="s">
        <v>26</v>
      </c>
      <c r="C29" s="20"/>
      <c r="D29" s="31">
        <v>1177.28</v>
      </c>
      <c r="E29" s="20"/>
    </row>
    <row r="30" spans="1:5" x14ac:dyDescent="0.25">
      <c r="A30" s="20">
        <v>3</v>
      </c>
      <c r="B30" s="31" t="s">
        <v>64</v>
      </c>
      <c r="C30" s="20"/>
      <c r="D30" s="31">
        <v>5932</v>
      </c>
      <c r="E30" s="20"/>
    </row>
    <row r="31" spans="1:5" x14ac:dyDescent="0.25">
      <c r="A31" s="24" t="s">
        <v>29</v>
      </c>
      <c r="B31" s="22" t="s">
        <v>30</v>
      </c>
      <c r="C31" s="20"/>
      <c r="D31" s="26">
        <f>D32+D33+D34+D35+D36+D37+D38+D39</f>
        <v>49943.483500000009</v>
      </c>
      <c r="E31" s="20"/>
    </row>
    <row r="32" spans="1:5" x14ac:dyDescent="0.25">
      <c r="A32" s="20"/>
      <c r="B32" s="20" t="s">
        <v>31</v>
      </c>
      <c r="C32" s="20"/>
      <c r="D32" s="28">
        <f>D17*5%</f>
        <v>14162.163500000002</v>
      </c>
      <c r="E32" s="20"/>
    </row>
    <row r="33" spans="1:5" x14ac:dyDescent="0.25">
      <c r="A33" s="20"/>
      <c r="B33" s="20" t="s">
        <v>57</v>
      </c>
      <c r="C33" s="20"/>
      <c r="D33" s="20">
        <v>1863.27</v>
      </c>
      <c r="E33" s="20"/>
    </row>
    <row r="34" spans="1:5" x14ac:dyDescent="0.25">
      <c r="A34" s="20"/>
      <c r="B34" s="31" t="s">
        <v>32</v>
      </c>
      <c r="C34" s="20"/>
      <c r="D34" s="28">
        <v>0</v>
      </c>
      <c r="E34" s="20"/>
    </row>
    <row r="35" spans="1:5" x14ac:dyDescent="0.25">
      <c r="A35" s="20"/>
      <c r="B35" s="20" t="s">
        <v>33</v>
      </c>
      <c r="C35" s="20"/>
      <c r="D35" s="28">
        <v>9009.93</v>
      </c>
      <c r="E35" s="20"/>
    </row>
    <row r="36" spans="1:5" x14ac:dyDescent="0.25">
      <c r="A36" s="20"/>
      <c r="B36" s="27" t="s">
        <v>131</v>
      </c>
      <c r="C36" s="20"/>
      <c r="D36" s="20">
        <v>172</v>
      </c>
      <c r="E36" s="20"/>
    </row>
    <row r="37" spans="1:5" x14ac:dyDescent="0.25">
      <c r="A37" s="20"/>
      <c r="B37" s="27" t="s">
        <v>35</v>
      </c>
      <c r="C37" s="20"/>
      <c r="D37" s="20">
        <v>5677.35</v>
      </c>
      <c r="E37" s="20"/>
    </row>
    <row r="38" spans="1:5" x14ac:dyDescent="0.25">
      <c r="A38" s="20"/>
      <c r="B38" s="27" t="s">
        <v>61</v>
      </c>
      <c r="C38" s="20"/>
      <c r="D38" s="20">
        <v>14829.4</v>
      </c>
      <c r="E38" s="20"/>
    </row>
    <row r="39" spans="1:5" x14ac:dyDescent="0.25">
      <c r="A39" s="20"/>
      <c r="B39" s="20" t="s">
        <v>37</v>
      </c>
      <c r="C39" s="20"/>
      <c r="D39" s="20">
        <v>4229.37</v>
      </c>
      <c r="E39" s="20"/>
    </row>
    <row r="40" spans="1:5" x14ac:dyDescent="0.25">
      <c r="A40" s="73" t="s">
        <v>82</v>
      </c>
      <c r="B40" s="22" t="s">
        <v>38</v>
      </c>
      <c r="C40" s="20"/>
      <c r="D40" s="26">
        <v>63133.08</v>
      </c>
      <c r="E40" s="26"/>
    </row>
    <row r="41" spans="1:5" x14ac:dyDescent="0.25">
      <c r="A41" s="73" t="s">
        <v>83</v>
      </c>
      <c r="B41" s="22" t="s">
        <v>41</v>
      </c>
      <c r="C41" s="20"/>
      <c r="D41" s="26">
        <f>D20+E20+D27+E27+D31+D40+E40</f>
        <v>228950.47560000001</v>
      </c>
      <c r="E41" s="20"/>
    </row>
    <row r="42" spans="1:5" x14ac:dyDescent="0.25">
      <c r="A42" s="73" t="s">
        <v>84</v>
      </c>
      <c r="B42" s="20" t="s">
        <v>42</v>
      </c>
      <c r="C42" s="20"/>
      <c r="D42" s="26">
        <f>D17*6%</f>
        <v>16994.5962</v>
      </c>
      <c r="E42" s="20"/>
    </row>
    <row r="43" spans="1:5" x14ac:dyDescent="0.25">
      <c r="A43" s="73" t="s">
        <v>85</v>
      </c>
      <c r="B43" s="22" t="s">
        <v>43</v>
      </c>
      <c r="C43" s="20"/>
      <c r="D43" s="26">
        <f>D41+D42</f>
        <v>245945.07180000001</v>
      </c>
      <c r="E43" s="20"/>
    </row>
    <row r="44" spans="1:5" x14ac:dyDescent="0.25">
      <c r="A44" s="73"/>
      <c r="B44" s="22"/>
      <c r="C44" s="20"/>
      <c r="D44" s="26"/>
      <c r="E44" s="20"/>
    </row>
    <row r="45" spans="1:5" x14ac:dyDescent="0.25">
      <c r="A45" s="73" t="s">
        <v>86</v>
      </c>
      <c r="B45" s="22" t="s">
        <v>135</v>
      </c>
      <c r="C45" s="20"/>
      <c r="D45" s="26">
        <f>D17-D43</f>
        <v>37298.198200000013</v>
      </c>
      <c r="E45" s="20"/>
    </row>
    <row r="46" spans="1:5" x14ac:dyDescent="0.25">
      <c r="A46" s="73" t="s">
        <v>87</v>
      </c>
      <c r="B46" s="22" t="s">
        <v>44</v>
      </c>
      <c r="C46" s="20"/>
      <c r="D46" s="26">
        <f>D9+D45</f>
        <v>132970.49820000003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45</v>
      </c>
      <c r="C48" s="37"/>
      <c r="D48" s="37" t="s">
        <v>46</v>
      </c>
      <c r="E48" s="37"/>
    </row>
    <row r="49" spans="1:5" x14ac:dyDescent="0.25">
      <c r="A49" s="37"/>
      <c r="B49" s="37" t="s">
        <v>47</v>
      </c>
      <c r="C49" s="37"/>
      <c r="D49" s="37" t="s">
        <v>48</v>
      </c>
      <c r="E49" s="37"/>
    </row>
  </sheetData>
  <mergeCells count="3">
    <mergeCell ref="D7:E7"/>
    <mergeCell ref="A5:C5"/>
    <mergeCell ref="D6:E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33" workbookViewId="0">
      <selection activeCell="D59" sqref="D59"/>
    </sheetView>
  </sheetViews>
  <sheetFormatPr defaultRowHeight="15" x14ac:dyDescent="0.25"/>
  <cols>
    <col min="2" max="2" width="36" customWidth="1"/>
    <col min="4" max="4" width="13.42578125" customWidth="1"/>
    <col min="5" max="5" width="11.28515625" customWidth="1"/>
  </cols>
  <sheetData>
    <row r="1" spans="1:5" ht="15.75" x14ac:dyDescent="0.25">
      <c r="A1" s="38"/>
      <c r="B1" s="39" t="s">
        <v>0</v>
      </c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 t="s">
        <v>72</v>
      </c>
      <c r="C3" s="38"/>
      <c r="D3" s="38"/>
      <c r="E3" s="38"/>
    </row>
    <row r="4" spans="1:5" x14ac:dyDescent="0.25">
      <c r="A4" s="38"/>
      <c r="B4" s="40" t="s">
        <v>143</v>
      </c>
      <c r="C4" s="38"/>
      <c r="D4" s="38"/>
      <c r="E4" s="38"/>
    </row>
    <row r="5" spans="1:5" x14ac:dyDescent="0.25">
      <c r="A5" s="38"/>
      <c r="B5" s="38" t="s">
        <v>49</v>
      </c>
      <c r="C5" s="38"/>
      <c r="D5" s="38"/>
      <c r="E5" s="38"/>
    </row>
    <row r="6" spans="1:5" x14ac:dyDescent="0.25">
      <c r="A6" s="520"/>
      <c r="B6" s="520"/>
      <c r="C6" s="520"/>
      <c r="D6" s="423"/>
      <c r="E6" s="41"/>
    </row>
    <row r="7" spans="1:5" x14ac:dyDescent="0.25">
      <c r="A7" s="42"/>
      <c r="B7" s="42"/>
      <c r="C7" s="42"/>
      <c r="D7" s="43"/>
      <c r="E7" s="44"/>
    </row>
    <row r="8" spans="1:5" ht="15.75" x14ac:dyDescent="0.25">
      <c r="A8" s="42"/>
      <c r="B8" s="45" t="s">
        <v>3</v>
      </c>
      <c r="C8" s="46" t="s">
        <v>4</v>
      </c>
      <c r="D8" s="521" t="s">
        <v>5</v>
      </c>
      <c r="E8" s="522"/>
    </row>
    <row r="9" spans="1:5" ht="15.75" x14ac:dyDescent="0.25">
      <c r="A9" s="47"/>
      <c r="B9" s="45" t="s">
        <v>6</v>
      </c>
      <c r="C9" s="46" t="s">
        <v>50</v>
      </c>
      <c r="D9" s="523" t="s">
        <v>144</v>
      </c>
      <c r="E9" s="524"/>
    </row>
    <row r="10" spans="1:5" x14ac:dyDescent="0.25">
      <c r="A10" s="48"/>
      <c r="B10" s="48"/>
      <c r="C10" s="48"/>
      <c r="D10" s="49"/>
      <c r="E10" s="50"/>
    </row>
    <row r="11" spans="1:5" x14ac:dyDescent="0.25">
      <c r="A11" s="48"/>
      <c r="B11" s="51" t="s">
        <v>113</v>
      </c>
      <c r="C11" s="48"/>
      <c r="D11" s="49">
        <v>-179862.93</v>
      </c>
      <c r="E11" s="50"/>
    </row>
    <row r="12" spans="1:5" x14ac:dyDescent="0.25">
      <c r="A12" s="48"/>
      <c r="B12" s="51" t="s">
        <v>101</v>
      </c>
      <c r="C12" s="48"/>
      <c r="D12" s="49">
        <v>156734.31</v>
      </c>
      <c r="E12" s="50"/>
    </row>
    <row r="13" spans="1:5" x14ac:dyDescent="0.25">
      <c r="A13" s="48"/>
      <c r="B13" s="51" t="s">
        <v>220</v>
      </c>
      <c r="C13" s="48"/>
      <c r="D13" s="49">
        <v>-209138.99</v>
      </c>
      <c r="E13" s="50"/>
    </row>
    <row r="14" spans="1:5" x14ac:dyDescent="0.25">
      <c r="A14" s="52"/>
      <c r="B14" s="53" t="s">
        <v>9</v>
      </c>
      <c r="C14" s="52" t="s">
        <v>10</v>
      </c>
      <c r="D14" s="52">
        <v>3663.44</v>
      </c>
      <c r="E14" s="52"/>
    </row>
    <row r="15" spans="1:5" x14ac:dyDescent="0.25">
      <c r="A15" s="52"/>
      <c r="B15" s="53" t="s">
        <v>11</v>
      </c>
      <c r="C15" s="52" t="s">
        <v>10</v>
      </c>
      <c r="D15" s="52">
        <v>2609.8000000000002</v>
      </c>
      <c r="E15" s="52"/>
    </row>
    <row r="16" spans="1:5" x14ac:dyDescent="0.25">
      <c r="A16" s="52"/>
      <c r="B16" s="54" t="s">
        <v>12</v>
      </c>
      <c r="C16" s="52" t="s">
        <v>13</v>
      </c>
      <c r="D16" s="55">
        <v>1191960.81</v>
      </c>
      <c r="E16" s="52"/>
    </row>
    <row r="17" spans="1:5" x14ac:dyDescent="0.25">
      <c r="A17" s="52"/>
      <c r="B17" s="52"/>
      <c r="C17" s="52"/>
      <c r="D17" s="52"/>
      <c r="E17" s="52"/>
    </row>
    <row r="18" spans="1:5" ht="15.75" x14ac:dyDescent="0.25">
      <c r="A18" s="52"/>
      <c r="B18" s="56" t="s">
        <v>14</v>
      </c>
      <c r="C18" s="52"/>
      <c r="D18" s="52"/>
      <c r="E18" s="52"/>
    </row>
    <row r="19" spans="1:5" x14ac:dyDescent="0.25">
      <c r="A19" s="52">
        <v>1</v>
      </c>
      <c r="B19" s="52" t="s">
        <v>15</v>
      </c>
      <c r="C19" s="52" t="s">
        <v>13</v>
      </c>
      <c r="D19" s="52">
        <v>918733.2</v>
      </c>
      <c r="E19" s="52"/>
    </row>
    <row r="20" spans="1:5" x14ac:dyDescent="0.25">
      <c r="A20" s="52">
        <v>2</v>
      </c>
      <c r="B20" s="52" t="s">
        <v>16</v>
      </c>
      <c r="C20" s="52"/>
      <c r="D20" s="52">
        <v>258611.74</v>
      </c>
      <c r="E20" s="52"/>
    </row>
    <row r="21" spans="1:5" x14ac:dyDescent="0.25">
      <c r="A21" s="52">
        <v>3</v>
      </c>
      <c r="B21" s="52" t="s">
        <v>92</v>
      </c>
      <c r="C21" s="52"/>
      <c r="D21" s="52">
        <v>1145000</v>
      </c>
      <c r="E21" s="52"/>
    </row>
    <row r="22" spans="1:5" ht="15.75" x14ac:dyDescent="0.25">
      <c r="A22" s="52"/>
      <c r="B22" s="56" t="s">
        <v>17</v>
      </c>
      <c r="C22" s="52"/>
      <c r="D22" s="55">
        <f>D19+D20+D21</f>
        <v>2322344.94</v>
      </c>
      <c r="E22" s="52"/>
    </row>
    <row r="23" spans="1:5" ht="15.75" x14ac:dyDescent="0.25">
      <c r="A23" s="52"/>
      <c r="B23" s="56"/>
      <c r="C23" s="52"/>
      <c r="D23" s="55"/>
      <c r="E23" s="52"/>
    </row>
    <row r="24" spans="1:5" ht="15.75" x14ac:dyDescent="0.25">
      <c r="A24" s="20"/>
      <c r="B24" s="21" t="s">
        <v>18</v>
      </c>
      <c r="C24" s="20"/>
      <c r="D24" s="22"/>
      <c r="E24" s="23" t="s">
        <v>19</v>
      </c>
    </row>
    <row r="25" spans="1:5" x14ac:dyDescent="0.25">
      <c r="A25" s="24" t="s">
        <v>20</v>
      </c>
      <c r="B25" s="25" t="s">
        <v>21</v>
      </c>
      <c r="C25" s="20"/>
      <c r="D25" s="26">
        <f>D26+D31+D32</f>
        <v>394085.94</v>
      </c>
      <c r="E25" s="26">
        <f>E26</f>
        <v>77503.002460000003</v>
      </c>
    </row>
    <row r="26" spans="1:5" x14ac:dyDescent="0.25">
      <c r="A26" s="20">
        <v>1</v>
      </c>
      <c r="B26" s="22" t="s">
        <v>22</v>
      </c>
      <c r="C26" s="27" t="s">
        <v>13</v>
      </c>
      <c r="D26" s="26">
        <f>D27+D28+D29+D30</f>
        <v>383678.23</v>
      </c>
      <c r="E26" s="26">
        <f>E27+E28+E29+E30</f>
        <v>77503.002460000003</v>
      </c>
    </row>
    <row r="27" spans="1:5" x14ac:dyDescent="0.25">
      <c r="A27" s="20"/>
      <c r="B27" s="20" t="s">
        <v>23</v>
      </c>
      <c r="C27" s="20"/>
      <c r="D27" s="20">
        <v>87978.62</v>
      </c>
      <c r="E27" s="28">
        <f>D27*20.2%</f>
        <v>17771.681239999998</v>
      </c>
    </row>
    <row r="28" spans="1:5" x14ac:dyDescent="0.25">
      <c r="A28" s="20"/>
      <c r="B28" s="20" t="s">
        <v>24</v>
      </c>
      <c r="C28" s="20"/>
      <c r="D28" s="20">
        <v>252813.62</v>
      </c>
      <c r="E28" s="28">
        <f t="shared" ref="E28:E30" si="0">D28*20.2%</f>
        <v>51068.351239999996</v>
      </c>
    </row>
    <row r="29" spans="1:5" x14ac:dyDescent="0.25">
      <c r="A29" s="20"/>
      <c r="B29" s="20" t="s">
        <v>25</v>
      </c>
      <c r="C29" s="20"/>
      <c r="D29" s="20">
        <v>41694.370000000003</v>
      </c>
      <c r="E29" s="28">
        <f>D29*20.2%</f>
        <v>8422.2627400000001</v>
      </c>
    </row>
    <row r="30" spans="1:5" x14ac:dyDescent="0.25">
      <c r="A30" s="20"/>
      <c r="B30" s="31" t="s">
        <v>75</v>
      </c>
      <c r="C30" s="20"/>
      <c r="D30" s="20">
        <v>1191.6199999999999</v>
      </c>
      <c r="E30" s="28">
        <f t="shared" si="0"/>
        <v>240.70723999999996</v>
      </c>
    </row>
    <row r="31" spans="1:5" x14ac:dyDescent="0.25">
      <c r="A31" s="20"/>
      <c r="B31" s="31" t="s">
        <v>145</v>
      </c>
      <c r="C31" s="20"/>
      <c r="D31" s="20">
        <v>9580</v>
      </c>
      <c r="E31" s="28"/>
    </row>
    <row r="32" spans="1:5" x14ac:dyDescent="0.25">
      <c r="A32" s="20">
        <v>2</v>
      </c>
      <c r="B32" s="27" t="s">
        <v>26</v>
      </c>
      <c r="C32" s="20"/>
      <c r="D32" s="20">
        <f>121.89+705.82</f>
        <v>827.71</v>
      </c>
      <c r="E32" s="28"/>
    </row>
    <row r="33" spans="1:5" x14ac:dyDescent="0.25">
      <c r="A33" s="24" t="s">
        <v>27</v>
      </c>
      <c r="B33" s="30" t="s">
        <v>28</v>
      </c>
      <c r="C33" s="20"/>
      <c r="D33" s="22">
        <f>D34+D35</f>
        <v>155118.03999999998</v>
      </c>
      <c r="E33" s="26">
        <f>E34</f>
        <v>26497.549979999996</v>
      </c>
    </row>
    <row r="34" spans="1:5" x14ac:dyDescent="0.25">
      <c r="A34" s="20">
        <v>1</v>
      </c>
      <c r="B34" s="31" t="s">
        <v>229</v>
      </c>
      <c r="C34" s="20"/>
      <c r="D34" s="31">
        <v>131175.99</v>
      </c>
      <c r="E34" s="28">
        <f>D34*20.2%</f>
        <v>26497.549979999996</v>
      </c>
    </row>
    <row r="35" spans="1:5" x14ac:dyDescent="0.25">
      <c r="A35" s="20">
        <v>2</v>
      </c>
      <c r="B35" s="31" t="s">
        <v>26</v>
      </c>
      <c r="C35" s="20"/>
      <c r="D35" s="31">
        <v>23942.05</v>
      </c>
      <c r="E35" s="20"/>
    </row>
    <row r="36" spans="1:5" x14ac:dyDescent="0.25">
      <c r="A36" s="24" t="s">
        <v>29</v>
      </c>
      <c r="B36" s="22" t="s">
        <v>30</v>
      </c>
      <c r="C36" s="20"/>
      <c r="D36" s="26">
        <f>D37+D38+D39+D41+D42+D44+D40+D43</f>
        <v>228761.41218000001</v>
      </c>
      <c r="E36" s="20"/>
    </row>
    <row r="37" spans="1:5" x14ac:dyDescent="0.25">
      <c r="A37" s="20"/>
      <c r="B37" s="20" t="s">
        <v>31</v>
      </c>
      <c r="C37" s="20"/>
      <c r="D37" s="28">
        <f>D22*4.7%</f>
        <v>109150.21218</v>
      </c>
      <c r="E37" s="20"/>
    </row>
    <row r="38" spans="1:5" x14ac:dyDescent="0.25">
      <c r="A38" s="20"/>
      <c r="B38" s="20" t="s">
        <v>126</v>
      </c>
      <c r="C38" s="20"/>
      <c r="D38" s="20">
        <v>4423.33</v>
      </c>
      <c r="E38" s="20"/>
    </row>
    <row r="39" spans="1:5" x14ac:dyDescent="0.25">
      <c r="A39" s="20"/>
      <c r="B39" s="20" t="s">
        <v>33</v>
      </c>
      <c r="C39" s="20"/>
      <c r="D39" s="28">
        <v>19174.36</v>
      </c>
      <c r="E39" s="20"/>
    </row>
    <row r="40" spans="1:5" x14ac:dyDescent="0.25">
      <c r="A40" s="20"/>
      <c r="B40" s="147" t="s">
        <v>153</v>
      </c>
      <c r="C40" s="20"/>
      <c r="D40" s="28">
        <f>7500</f>
        <v>7500</v>
      </c>
      <c r="E40" s="20"/>
    </row>
    <row r="41" spans="1:5" x14ac:dyDescent="0.25">
      <c r="A41" s="20"/>
      <c r="B41" s="27" t="s">
        <v>35</v>
      </c>
      <c r="C41" s="20"/>
      <c r="D41" s="20">
        <v>12082.18</v>
      </c>
      <c r="E41" s="20"/>
    </row>
    <row r="42" spans="1:5" x14ac:dyDescent="0.25">
      <c r="A42" s="20"/>
      <c r="B42" s="27" t="s">
        <v>34</v>
      </c>
      <c r="C42" s="20"/>
      <c r="D42" s="20">
        <v>10700</v>
      </c>
      <c r="E42" s="20"/>
    </row>
    <row r="43" spans="1:5" x14ac:dyDescent="0.25">
      <c r="A43" s="20"/>
      <c r="B43" s="27" t="s">
        <v>36</v>
      </c>
      <c r="C43" s="20"/>
      <c r="D43" s="20">
        <v>56730.66</v>
      </c>
      <c r="E43" s="20"/>
    </row>
    <row r="44" spans="1:5" x14ac:dyDescent="0.25">
      <c r="A44" s="20"/>
      <c r="B44" s="20" t="s">
        <v>37</v>
      </c>
      <c r="C44" s="20"/>
      <c r="D44" s="20">
        <v>9000.67</v>
      </c>
      <c r="E44" s="20"/>
    </row>
    <row r="45" spans="1:5" x14ac:dyDescent="0.25">
      <c r="A45" s="73" t="s">
        <v>82</v>
      </c>
      <c r="B45" s="22" t="s">
        <v>221</v>
      </c>
      <c r="C45" s="22"/>
      <c r="D45" s="22">
        <v>83468.479999999996</v>
      </c>
      <c r="E45" s="20"/>
    </row>
    <row r="46" spans="1:5" x14ac:dyDescent="0.25">
      <c r="A46" s="450" t="s">
        <v>83</v>
      </c>
      <c r="B46" s="22" t="s">
        <v>38</v>
      </c>
      <c r="C46" s="20"/>
      <c r="D46" s="26">
        <v>123715.2</v>
      </c>
      <c r="E46" s="26"/>
    </row>
    <row r="47" spans="1:5" x14ac:dyDescent="0.25">
      <c r="A47" s="73" t="s">
        <v>84</v>
      </c>
      <c r="B47" s="22" t="s">
        <v>41</v>
      </c>
      <c r="C47" s="20"/>
      <c r="D47" s="26">
        <f>D25+E25+D33+E33+D36+D45+D46</f>
        <v>1089149.6246199999</v>
      </c>
      <c r="E47" s="20"/>
    </row>
    <row r="48" spans="1:5" x14ac:dyDescent="0.25">
      <c r="A48" s="73" t="s">
        <v>85</v>
      </c>
      <c r="B48" s="20" t="s">
        <v>42</v>
      </c>
      <c r="C48" s="20"/>
      <c r="D48" s="26">
        <f>D22*6%</f>
        <v>139340.69639999999</v>
      </c>
      <c r="E48" s="20"/>
    </row>
    <row r="49" spans="1:5" x14ac:dyDescent="0.25">
      <c r="A49" s="73" t="s">
        <v>86</v>
      </c>
      <c r="B49" s="22" t="s">
        <v>43</v>
      </c>
      <c r="C49" s="20"/>
      <c r="D49" s="26">
        <f>D47+D48</f>
        <v>1228490.3210199999</v>
      </c>
      <c r="E49" s="20"/>
    </row>
    <row r="50" spans="1:5" x14ac:dyDescent="0.25">
      <c r="A50" s="73"/>
      <c r="B50" s="20"/>
      <c r="C50" s="20"/>
      <c r="D50" s="20"/>
      <c r="E50" s="20"/>
    </row>
    <row r="51" spans="1:5" x14ac:dyDescent="0.25">
      <c r="A51" s="73" t="s">
        <v>87</v>
      </c>
      <c r="B51" s="22" t="s">
        <v>135</v>
      </c>
      <c r="C51" s="20"/>
      <c r="D51" s="26">
        <f>D19-D49</f>
        <v>-309757.12101999996</v>
      </c>
      <c r="E51" s="20"/>
    </row>
    <row r="52" spans="1:5" x14ac:dyDescent="0.25">
      <c r="A52" s="73" t="s">
        <v>87</v>
      </c>
      <c r="B52" s="22" t="s">
        <v>44</v>
      </c>
      <c r="C52" s="20"/>
      <c r="D52" s="26">
        <f>D11+D51</f>
        <v>-489620.05101999996</v>
      </c>
      <c r="E52" s="20"/>
    </row>
    <row r="53" spans="1:5" x14ac:dyDescent="0.25">
      <c r="A53" s="447"/>
      <c r="B53" s="35" t="s">
        <v>16</v>
      </c>
      <c r="C53" s="34"/>
      <c r="D53" s="36">
        <f>D12+D20</f>
        <v>415346.05</v>
      </c>
      <c r="E53" s="34"/>
    </row>
    <row r="54" spans="1:5" x14ac:dyDescent="0.25">
      <c r="A54" s="447"/>
      <c r="B54" s="35" t="s">
        <v>226</v>
      </c>
      <c r="C54" s="34"/>
      <c r="D54" s="36">
        <f>27671.46+280386.06</f>
        <v>308057.52</v>
      </c>
      <c r="E54" s="34"/>
    </row>
    <row r="55" spans="1:5" x14ac:dyDescent="0.25">
      <c r="A55" s="447"/>
      <c r="B55" s="35" t="s">
        <v>115</v>
      </c>
      <c r="C55" s="34"/>
      <c r="D55" s="36">
        <f>D53-D54</f>
        <v>107288.52999999997</v>
      </c>
      <c r="E55" s="34"/>
    </row>
    <row r="56" spans="1:5" x14ac:dyDescent="0.25">
      <c r="A56" s="447"/>
      <c r="B56" s="35"/>
      <c r="C56" s="34"/>
      <c r="D56" s="36"/>
      <c r="E56" s="34"/>
    </row>
    <row r="57" spans="1:5" x14ac:dyDescent="0.25">
      <c r="A57" s="447"/>
      <c r="B57" s="35" t="s">
        <v>92</v>
      </c>
      <c r="C57" s="34"/>
      <c r="D57" s="36">
        <f>D13+D21</f>
        <v>935861.01</v>
      </c>
      <c r="E57" s="34"/>
    </row>
    <row r="58" spans="1:5" x14ac:dyDescent="0.25">
      <c r="A58" s="447"/>
      <c r="B58" s="35" t="s">
        <v>235</v>
      </c>
      <c r="C58" s="467">
        <v>0.107</v>
      </c>
      <c r="D58" s="36">
        <v>1162515</v>
      </c>
      <c r="E58" s="34"/>
    </row>
    <row r="59" spans="1:5" x14ac:dyDescent="0.25">
      <c r="A59" s="447"/>
      <c r="B59" s="35" t="s">
        <v>233</v>
      </c>
      <c r="C59" s="34"/>
      <c r="D59" s="36">
        <f>D57-D58</f>
        <v>-226653.99</v>
      </c>
      <c r="E59" s="34"/>
    </row>
    <row r="60" spans="1:5" x14ac:dyDescent="0.25">
      <c r="A60" s="447"/>
      <c r="B60" s="35"/>
      <c r="C60" s="34"/>
      <c r="D60" s="36"/>
      <c r="E60" s="34"/>
    </row>
    <row r="61" spans="1:5" x14ac:dyDescent="0.25">
      <c r="A61" s="34"/>
      <c r="B61" s="35" t="s">
        <v>234</v>
      </c>
      <c r="C61" s="34"/>
      <c r="D61" s="36">
        <f>D52+D55+D59</f>
        <v>-608985.51101999998</v>
      </c>
      <c r="E61" s="34"/>
    </row>
    <row r="62" spans="1:5" x14ac:dyDescent="0.25">
      <c r="A62" s="37"/>
      <c r="B62" s="37" t="s">
        <v>45</v>
      </c>
      <c r="C62" s="37"/>
      <c r="D62" s="37" t="s">
        <v>46</v>
      </c>
      <c r="E62" s="37"/>
    </row>
    <row r="63" spans="1:5" x14ac:dyDescent="0.25">
      <c r="A63" s="37"/>
      <c r="B63" s="37" t="s">
        <v>47</v>
      </c>
      <c r="C63" s="37"/>
      <c r="D63" s="37" t="s">
        <v>48</v>
      </c>
      <c r="E63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6" workbookViewId="0">
      <selection activeCell="H29" sqref="H29:J44"/>
    </sheetView>
  </sheetViews>
  <sheetFormatPr defaultRowHeight="15" x14ac:dyDescent="0.25"/>
  <cols>
    <col min="2" max="2" width="40" customWidth="1"/>
    <col min="4" max="4" width="10.140625" customWidth="1"/>
    <col min="5" max="5" width="11.140625" customWidth="1"/>
  </cols>
  <sheetData>
    <row r="1" spans="1:5" ht="15.75" x14ac:dyDescent="0.25">
      <c r="A1" s="124"/>
      <c r="B1" s="125" t="s">
        <v>0</v>
      </c>
      <c r="C1" s="124"/>
      <c r="D1" s="124"/>
      <c r="E1" s="124"/>
    </row>
    <row r="2" spans="1:5" x14ac:dyDescent="0.25">
      <c r="A2" s="124"/>
      <c r="B2" s="124"/>
      <c r="C2" s="124"/>
      <c r="D2" s="124"/>
      <c r="E2" s="124"/>
    </row>
    <row r="3" spans="1:5" x14ac:dyDescent="0.25">
      <c r="A3" s="124"/>
      <c r="B3" s="124" t="s">
        <v>1</v>
      </c>
      <c r="C3" s="124"/>
      <c r="D3" s="124"/>
      <c r="E3" s="124"/>
    </row>
    <row r="4" spans="1:5" x14ac:dyDescent="0.25">
      <c r="A4" s="124"/>
      <c r="B4" s="126" t="s">
        <v>146</v>
      </c>
      <c r="C4" s="124"/>
      <c r="D4" s="124"/>
      <c r="E4" s="124"/>
    </row>
    <row r="5" spans="1:5" x14ac:dyDescent="0.25">
      <c r="A5" s="525"/>
      <c r="B5" s="525"/>
      <c r="C5" s="525"/>
      <c r="D5" s="390"/>
      <c r="E5" s="438"/>
    </row>
    <row r="6" spans="1:5" ht="15.75" x14ac:dyDescent="0.25">
      <c r="A6" s="127"/>
      <c r="B6" s="439" t="s">
        <v>3</v>
      </c>
      <c r="C6" s="440" t="s">
        <v>4</v>
      </c>
      <c r="D6" s="526" t="s">
        <v>5</v>
      </c>
      <c r="E6" s="527"/>
    </row>
    <row r="7" spans="1:5" ht="15.75" x14ac:dyDescent="0.25">
      <c r="A7" s="130"/>
      <c r="B7" s="128" t="s">
        <v>6</v>
      </c>
      <c r="C7" s="129" t="s">
        <v>7</v>
      </c>
      <c r="D7" s="528" t="s">
        <v>141</v>
      </c>
      <c r="E7" s="529"/>
    </row>
    <row r="8" spans="1:5" x14ac:dyDescent="0.25">
      <c r="A8" s="131"/>
      <c r="B8" s="131"/>
      <c r="C8" s="131"/>
      <c r="D8" s="132"/>
      <c r="E8" s="133"/>
    </row>
    <row r="9" spans="1:5" x14ac:dyDescent="0.25">
      <c r="A9" s="131"/>
      <c r="B9" s="134" t="s">
        <v>8</v>
      </c>
      <c r="C9" s="131"/>
      <c r="D9" s="132">
        <v>-207055.26</v>
      </c>
      <c r="E9" s="133"/>
    </row>
    <row r="10" spans="1:5" x14ac:dyDescent="0.25">
      <c r="A10" s="135"/>
      <c r="B10" s="136" t="s">
        <v>9</v>
      </c>
      <c r="C10" s="135" t="s">
        <v>10</v>
      </c>
      <c r="D10" s="135">
        <v>5024.3100000000004</v>
      </c>
      <c r="E10" s="135"/>
    </row>
    <row r="11" spans="1:5" x14ac:dyDescent="0.25">
      <c r="A11" s="135"/>
      <c r="B11" s="136" t="s">
        <v>11</v>
      </c>
      <c r="C11" s="135" t="s">
        <v>10</v>
      </c>
      <c r="D11" s="135">
        <v>3641.7</v>
      </c>
      <c r="E11" s="135"/>
    </row>
    <row r="12" spans="1:5" x14ac:dyDescent="0.25">
      <c r="A12" s="135"/>
      <c r="B12" s="137" t="s">
        <v>12</v>
      </c>
      <c r="C12" s="135" t="s">
        <v>13</v>
      </c>
      <c r="D12" s="135">
        <v>390644.87</v>
      </c>
      <c r="E12" s="135"/>
    </row>
    <row r="13" spans="1:5" x14ac:dyDescent="0.25">
      <c r="A13" s="135"/>
      <c r="B13" s="135"/>
      <c r="C13" s="135"/>
      <c r="D13" s="135"/>
      <c r="E13" s="135"/>
    </row>
    <row r="14" spans="1:5" ht="15.75" x14ac:dyDescent="0.25">
      <c r="A14" s="135"/>
      <c r="B14" s="138" t="s">
        <v>14</v>
      </c>
      <c r="C14" s="135"/>
      <c r="D14" s="135"/>
      <c r="E14" s="135"/>
    </row>
    <row r="15" spans="1:5" x14ac:dyDescent="0.25">
      <c r="A15" s="135">
        <v>1</v>
      </c>
      <c r="B15" s="135" t="s">
        <v>15</v>
      </c>
      <c r="C15" s="135" t="s">
        <v>13</v>
      </c>
      <c r="D15" s="135">
        <v>334578.08</v>
      </c>
      <c r="E15" s="135"/>
    </row>
    <row r="16" spans="1:5" x14ac:dyDescent="0.25">
      <c r="A16" s="135">
        <v>2</v>
      </c>
      <c r="B16" s="135" t="s">
        <v>16</v>
      </c>
      <c r="C16" s="135"/>
      <c r="D16" s="135">
        <v>42601.61</v>
      </c>
      <c r="E16" s="135"/>
    </row>
    <row r="17" spans="1:5" x14ac:dyDescent="0.25">
      <c r="A17" s="135">
        <v>3</v>
      </c>
      <c r="B17" s="135" t="s">
        <v>92</v>
      </c>
      <c r="C17" s="135"/>
      <c r="D17" s="135">
        <v>8400</v>
      </c>
      <c r="E17" s="135"/>
    </row>
    <row r="18" spans="1:5" ht="15.75" x14ac:dyDescent="0.25">
      <c r="A18" s="135"/>
      <c r="B18" s="138" t="s">
        <v>17</v>
      </c>
      <c r="C18" s="135"/>
      <c r="D18" s="139">
        <f>D15+D17+D16</f>
        <v>385579.69</v>
      </c>
      <c r="E18" s="135"/>
    </row>
    <row r="19" spans="1:5" ht="15.75" x14ac:dyDescent="0.25">
      <c r="A19" s="135"/>
      <c r="B19" s="138"/>
      <c r="C19" s="135"/>
      <c r="D19" s="139"/>
      <c r="E19" s="135"/>
    </row>
    <row r="20" spans="1:5" ht="15.75" x14ac:dyDescent="0.25">
      <c r="A20" s="20"/>
      <c r="B20" s="21" t="s">
        <v>18</v>
      </c>
      <c r="C20" s="20"/>
      <c r="D20" s="22"/>
      <c r="E20" s="23" t="s">
        <v>19</v>
      </c>
    </row>
    <row r="21" spans="1:5" x14ac:dyDescent="0.25">
      <c r="A21" s="24" t="s">
        <v>20</v>
      </c>
      <c r="B21" s="25" t="s">
        <v>21</v>
      </c>
      <c r="C21" s="20"/>
      <c r="D21" s="26">
        <f>D22+D28+D29+D27</f>
        <v>102647.18000000001</v>
      </c>
      <c r="E21" s="26">
        <f>E22</f>
        <v>19082.000699999997</v>
      </c>
    </row>
    <row r="22" spans="1:5" x14ac:dyDescent="0.25">
      <c r="A22" s="20">
        <v>1</v>
      </c>
      <c r="B22" s="22" t="s">
        <v>22</v>
      </c>
      <c r="C22" s="27" t="s">
        <v>13</v>
      </c>
      <c r="D22" s="26">
        <f>D23+D24+D26+D25</f>
        <v>94465.35</v>
      </c>
      <c r="E22" s="26">
        <f>E23+E24+E26+E25</f>
        <v>19082.000699999997</v>
      </c>
    </row>
    <row r="23" spans="1:5" x14ac:dyDescent="0.25">
      <c r="A23" s="20"/>
      <c r="B23" s="20" t="s">
        <v>23</v>
      </c>
      <c r="C23" s="20"/>
      <c r="D23" s="135">
        <v>23729.09</v>
      </c>
      <c r="E23" s="28">
        <f>D23*20.2%</f>
        <v>4793.2761799999998</v>
      </c>
    </row>
    <row r="24" spans="1:5" x14ac:dyDescent="0.25">
      <c r="A24" s="20"/>
      <c r="B24" s="20" t="s">
        <v>24</v>
      </c>
      <c r="C24" s="20"/>
      <c r="D24" s="403">
        <v>48246.239999999998</v>
      </c>
      <c r="E24" s="28">
        <f t="shared" ref="E24:E26" si="0">D24*20.2%</f>
        <v>9745.7404799999986</v>
      </c>
    </row>
    <row r="25" spans="1:5" x14ac:dyDescent="0.25">
      <c r="A25" s="20"/>
      <c r="B25" s="20" t="s">
        <v>96</v>
      </c>
      <c r="C25" s="20"/>
      <c r="D25" s="403">
        <v>21899.439999999999</v>
      </c>
      <c r="E25" s="28">
        <f t="shared" si="0"/>
        <v>4423.6868799999993</v>
      </c>
    </row>
    <row r="26" spans="1:5" x14ac:dyDescent="0.25">
      <c r="A26" s="20"/>
      <c r="B26" s="31" t="s">
        <v>97</v>
      </c>
      <c r="C26" s="20"/>
      <c r="D26" s="135">
        <v>590.58000000000004</v>
      </c>
      <c r="E26" s="28">
        <f t="shared" si="0"/>
        <v>119.29716000000001</v>
      </c>
    </row>
    <row r="27" spans="1:5" x14ac:dyDescent="0.25">
      <c r="A27" s="20"/>
      <c r="B27" s="31" t="s">
        <v>238</v>
      </c>
      <c r="C27" s="20"/>
      <c r="D27" s="135">
        <v>574.79999999999995</v>
      </c>
      <c r="E27" s="28"/>
    </row>
    <row r="28" spans="1:5" x14ac:dyDescent="0.25">
      <c r="A28" s="20">
        <v>2</v>
      </c>
      <c r="B28" s="27" t="s">
        <v>26</v>
      </c>
      <c r="C28" s="20"/>
      <c r="D28" s="135">
        <f>60.15+4888.57</f>
        <v>4948.7199999999993</v>
      </c>
      <c r="E28" s="28"/>
    </row>
    <row r="29" spans="1:5" x14ac:dyDescent="0.25">
      <c r="A29" s="20">
        <v>3</v>
      </c>
      <c r="B29" s="27" t="s">
        <v>213</v>
      </c>
      <c r="C29" s="20"/>
      <c r="D29" s="135">
        <v>2658.31</v>
      </c>
      <c r="E29" s="28"/>
    </row>
    <row r="30" spans="1:5" x14ac:dyDescent="0.25">
      <c r="A30" s="24" t="s">
        <v>27</v>
      </c>
      <c r="B30" s="30" t="s">
        <v>28</v>
      </c>
      <c r="C30" s="20"/>
      <c r="D30" s="22">
        <f>D31+D32+D33</f>
        <v>88081.95</v>
      </c>
      <c r="E30" s="26">
        <f>E31</f>
        <v>13076.950759999998</v>
      </c>
    </row>
    <row r="31" spans="1:5" x14ac:dyDescent="0.25">
      <c r="A31" s="20">
        <v>1</v>
      </c>
      <c r="B31" s="31" t="s">
        <v>229</v>
      </c>
      <c r="C31" s="20"/>
      <c r="D31" s="135">
        <v>64737.38</v>
      </c>
      <c r="E31" s="28">
        <f>D31*20.2%</f>
        <v>13076.950759999998</v>
      </c>
    </row>
    <row r="32" spans="1:5" x14ac:dyDescent="0.25">
      <c r="A32" s="20">
        <v>2</v>
      </c>
      <c r="B32" s="31" t="s">
        <v>26</v>
      </c>
      <c r="C32" s="20"/>
      <c r="D32" s="404">
        <v>16868.57</v>
      </c>
      <c r="E32" s="20"/>
    </row>
    <row r="33" spans="1:5" x14ac:dyDescent="0.25">
      <c r="A33" s="20">
        <v>3</v>
      </c>
      <c r="B33" s="31" t="s">
        <v>64</v>
      </c>
      <c r="C33" s="20"/>
      <c r="D33" s="404">
        <v>6476</v>
      </c>
      <c r="E33" s="20"/>
    </row>
    <row r="34" spans="1:5" x14ac:dyDescent="0.25">
      <c r="A34" s="24" t="s">
        <v>29</v>
      </c>
      <c r="B34" s="22" t="s">
        <v>30</v>
      </c>
      <c r="C34" s="20"/>
      <c r="D34" s="26">
        <f>D35+D36+D37+D38+D39+D40+D41</f>
        <v>42246.164500000006</v>
      </c>
      <c r="E34" s="20"/>
    </row>
    <row r="35" spans="1:5" x14ac:dyDescent="0.25">
      <c r="A35" s="20"/>
      <c r="B35" s="20" t="s">
        <v>31</v>
      </c>
      <c r="C35" s="20"/>
      <c r="D35" s="28">
        <f>D18*5%</f>
        <v>19278.984500000002</v>
      </c>
      <c r="E35" s="20"/>
    </row>
    <row r="36" spans="1:5" x14ac:dyDescent="0.25">
      <c r="A36" s="20"/>
      <c r="B36" s="20" t="s">
        <v>57</v>
      </c>
      <c r="C36" s="135"/>
      <c r="D36" s="403">
        <v>903.63</v>
      </c>
      <c r="E36" s="20"/>
    </row>
    <row r="37" spans="1:5" x14ac:dyDescent="0.25">
      <c r="A37" s="20"/>
      <c r="B37" s="135" t="s">
        <v>33</v>
      </c>
      <c r="C37" s="135"/>
      <c r="D37" s="135">
        <v>9462.84</v>
      </c>
      <c r="E37" s="20"/>
    </row>
    <row r="38" spans="1:5" x14ac:dyDescent="0.25">
      <c r="A38" s="20"/>
      <c r="B38" s="27" t="s">
        <v>131</v>
      </c>
      <c r="C38" s="20"/>
      <c r="D38" s="20">
        <v>516</v>
      </c>
      <c r="E38" s="20"/>
    </row>
    <row r="39" spans="1:5" x14ac:dyDescent="0.25">
      <c r="A39" s="20"/>
      <c r="B39" s="27" t="s">
        <v>35</v>
      </c>
      <c r="C39" s="20"/>
      <c r="D39" s="20">
        <v>5962.74</v>
      </c>
      <c r="E39" s="20"/>
    </row>
    <row r="40" spans="1:5" x14ac:dyDescent="0.25">
      <c r="A40" s="20"/>
      <c r="B40" s="27" t="s">
        <v>208</v>
      </c>
      <c r="C40" s="20"/>
      <c r="D40" s="135">
        <v>1680</v>
      </c>
      <c r="E40" s="20"/>
    </row>
    <row r="41" spans="1:5" x14ac:dyDescent="0.25">
      <c r="A41" s="20"/>
      <c r="B41" s="20" t="s">
        <v>37</v>
      </c>
      <c r="C41" s="20"/>
      <c r="D41" s="135">
        <v>4441.97</v>
      </c>
      <c r="E41" s="20"/>
    </row>
    <row r="42" spans="1:5" x14ac:dyDescent="0.25">
      <c r="A42" s="73" t="s">
        <v>82</v>
      </c>
      <c r="B42" s="22" t="s">
        <v>38</v>
      </c>
      <c r="C42" s="20"/>
      <c r="D42" s="26">
        <v>60935.11</v>
      </c>
      <c r="E42" s="26"/>
    </row>
    <row r="43" spans="1:5" x14ac:dyDescent="0.25">
      <c r="A43" s="73" t="s">
        <v>83</v>
      </c>
      <c r="B43" s="22" t="s">
        <v>41</v>
      </c>
      <c r="C43" s="20"/>
      <c r="D43" s="26">
        <f>D21+E21+D30+E30+D34+D42+E42</f>
        <v>326069.35595999996</v>
      </c>
      <c r="E43" s="20"/>
    </row>
    <row r="44" spans="1:5" x14ac:dyDescent="0.25">
      <c r="A44" s="73" t="s">
        <v>84</v>
      </c>
      <c r="B44" s="20" t="s">
        <v>42</v>
      </c>
      <c r="C44" s="20"/>
      <c r="D44" s="26">
        <f>D18*6%</f>
        <v>23134.7814</v>
      </c>
      <c r="E44" s="20"/>
    </row>
    <row r="45" spans="1:5" x14ac:dyDescent="0.25">
      <c r="A45" s="73" t="s">
        <v>85</v>
      </c>
      <c r="B45" s="22" t="s">
        <v>43</v>
      </c>
      <c r="C45" s="20"/>
      <c r="D45" s="26">
        <f>D43+D44</f>
        <v>349204.13735999994</v>
      </c>
      <c r="E45" s="20"/>
    </row>
    <row r="46" spans="1:5" x14ac:dyDescent="0.25">
      <c r="A46" s="73"/>
      <c r="B46" s="20"/>
      <c r="C46" s="20"/>
      <c r="D46" s="20"/>
      <c r="E46" s="20"/>
    </row>
    <row r="47" spans="1:5" x14ac:dyDescent="0.25">
      <c r="A47" s="73" t="s">
        <v>86</v>
      </c>
      <c r="B47" s="22" t="s">
        <v>135</v>
      </c>
      <c r="C47" s="20"/>
      <c r="D47" s="26">
        <f>D15+D17-D45</f>
        <v>-6226.0573599999188</v>
      </c>
      <c r="E47" s="20"/>
    </row>
    <row r="48" spans="1:5" x14ac:dyDescent="0.25">
      <c r="A48" s="73" t="s">
        <v>87</v>
      </c>
      <c r="B48" s="22" t="s">
        <v>44</v>
      </c>
      <c r="C48" s="20"/>
      <c r="D48" s="26">
        <f>D9+D47+4558.37</f>
        <v>-208722.94735999993</v>
      </c>
      <c r="E48" s="20"/>
    </row>
    <row r="49" spans="1:5" x14ac:dyDescent="0.25">
      <c r="A49" s="447"/>
      <c r="B49" s="35"/>
      <c r="C49" s="34"/>
      <c r="D49" s="36"/>
      <c r="E49" s="34"/>
    </row>
    <row r="50" spans="1:5" x14ac:dyDescent="0.25">
      <c r="A50" s="447"/>
      <c r="B50" s="35" t="s">
        <v>16</v>
      </c>
      <c r="C50" s="34"/>
      <c r="D50" s="36">
        <f>D16</f>
        <v>42601.61</v>
      </c>
      <c r="E50" s="34"/>
    </row>
    <row r="51" spans="1:5" x14ac:dyDescent="0.25">
      <c r="A51" s="447"/>
      <c r="B51" s="35"/>
      <c r="C51" s="34"/>
      <c r="D51" s="36"/>
      <c r="E51" s="34"/>
    </row>
    <row r="52" spans="1:5" x14ac:dyDescent="0.25">
      <c r="A52" s="447"/>
      <c r="B52" s="35" t="s">
        <v>226</v>
      </c>
      <c r="C52" s="34"/>
      <c r="D52" s="36">
        <v>4558.37</v>
      </c>
      <c r="E52" s="34"/>
    </row>
    <row r="53" spans="1:5" x14ac:dyDescent="0.25">
      <c r="A53" s="447"/>
      <c r="B53" s="35" t="s">
        <v>115</v>
      </c>
      <c r="C53" s="34"/>
      <c r="D53" s="36">
        <f>D50-D52</f>
        <v>38043.24</v>
      </c>
      <c r="E53" s="34"/>
    </row>
    <row r="54" spans="1:5" x14ac:dyDescent="0.25">
      <c r="A54" s="447"/>
      <c r="B54" s="35"/>
      <c r="C54" s="34"/>
      <c r="D54" s="36"/>
      <c r="E54" s="34"/>
    </row>
    <row r="55" spans="1:5" x14ac:dyDescent="0.25">
      <c r="A55" s="447"/>
      <c r="B55" s="35"/>
      <c r="C55" s="34"/>
      <c r="D55" s="36"/>
      <c r="E55" s="34"/>
    </row>
    <row r="56" spans="1:5" x14ac:dyDescent="0.25">
      <c r="A56" s="37"/>
      <c r="B56" s="37" t="s">
        <v>45</v>
      </c>
      <c r="C56" s="37"/>
      <c r="D56" s="37" t="s">
        <v>46</v>
      </c>
      <c r="E56" s="37"/>
    </row>
    <row r="57" spans="1:5" x14ac:dyDescent="0.25">
      <c r="A57" s="37"/>
      <c r="B57" s="37" t="s">
        <v>47</v>
      </c>
      <c r="C57" s="37"/>
      <c r="D57" s="37" t="s">
        <v>48</v>
      </c>
      <c r="E57" s="37"/>
    </row>
  </sheetData>
  <mergeCells count="3">
    <mergeCell ref="A5:C5"/>
    <mergeCell ref="D6:E6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61</vt:i4>
      </vt:variant>
    </vt:vector>
  </HeadingPairs>
  <TitlesOfParts>
    <vt:vector size="61" baseType="lpstr">
      <vt:lpstr>А18</vt:lpstr>
      <vt:lpstr>А23а</vt:lpstr>
      <vt:lpstr>А25</vt:lpstr>
      <vt:lpstr>В4</vt:lpstr>
      <vt:lpstr>В10</vt:lpstr>
      <vt:lpstr>В12</vt:lpstr>
      <vt:lpstr>В13</vt:lpstr>
      <vt:lpstr>В16</vt:lpstr>
      <vt:lpstr>В17</vt:lpstr>
      <vt:lpstr>В18</vt:lpstr>
      <vt:lpstr>В19</vt:lpstr>
      <vt:lpstr>В20</vt:lpstr>
      <vt:lpstr>В21</vt:lpstr>
      <vt:lpstr>В22</vt:lpstr>
      <vt:lpstr>В23</vt:lpstr>
      <vt:lpstr>В24</vt:lpstr>
      <vt:lpstr>В25</vt:lpstr>
      <vt:lpstr>В26</vt:lpstr>
      <vt:lpstr>В27</vt:lpstr>
      <vt:lpstr>В28</vt:lpstr>
      <vt:lpstr>В30</vt:lpstr>
      <vt:lpstr>В31</vt:lpstr>
      <vt:lpstr>В32</vt:lpstr>
      <vt:lpstr>В34</vt:lpstr>
      <vt:lpstr>В36</vt:lpstr>
      <vt:lpstr>М1</vt:lpstr>
      <vt:lpstr>М18</vt:lpstr>
      <vt:lpstr>М19</vt:lpstr>
      <vt:lpstr>М28</vt:lpstr>
      <vt:lpstr>М30</vt:lpstr>
      <vt:lpstr>М39</vt:lpstr>
      <vt:lpstr>М41</vt:lpstr>
      <vt:lpstr>М43</vt:lpstr>
      <vt:lpstr>Мак.43пр</vt:lpstr>
      <vt:lpstr>М45</vt:lpstr>
      <vt:lpstr>М47</vt:lpstr>
      <vt:lpstr>Т3</vt:lpstr>
      <vt:lpstr>Т4</vt:lpstr>
      <vt:lpstr>Т7</vt:lpstr>
      <vt:lpstr>Т8</vt:lpstr>
      <vt:lpstr>Т9</vt:lpstr>
      <vt:lpstr>Т10</vt:lpstr>
      <vt:lpstr>Т12</vt:lpstr>
      <vt:lpstr>Т13</vt:lpstr>
      <vt:lpstr>Т14</vt:lpstr>
      <vt:lpstr>Т15</vt:lpstr>
      <vt:lpstr>Т16</vt:lpstr>
      <vt:lpstr>Т171</vt:lpstr>
      <vt:lpstr>Т172</vt:lpstr>
      <vt:lpstr>Т18</vt:lpstr>
      <vt:lpstr>Т21</vt:lpstr>
      <vt:lpstr>Т23</vt:lpstr>
      <vt:lpstr>Т27</vt:lpstr>
      <vt:lpstr>П100</vt:lpstr>
      <vt:lpstr>П179а</vt:lpstr>
      <vt:lpstr>П181</vt:lpstr>
      <vt:lpstr>П181а</vt:lpstr>
      <vt:lpstr>П183</vt:lpstr>
      <vt:lpstr>П185</vt:lpstr>
      <vt:lpstr>П187</vt:lpstr>
      <vt:lpstr>П191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2014-04-17T09:29:29Z</dcterms:modified>
</cp:coreProperties>
</file>