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2" activeTab="20"/>
  </bookViews>
  <sheets>
    <sheet name="А18" sheetId="6" r:id="rId1"/>
    <sheet name="А25" sheetId="9" r:id="rId2"/>
    <sheet name="В4" sheetId="8" r:id="rId3"/>
    <sheet name="В10" sheetId="11" r:id="rId4"/>
    <sheet name="В12" sheetId="12" r:id="rId5"/>
    <sheet name="В13" sheetId="10" r:id="rId6"/>
    <sheet name="В15" sheetId="2" r:id="rId7"/>
    <sheet name="В17" sheetId="44" r:id="rId8"/>
    <sheet name="В18" sheetId="43" r:id="rId9"/>
    <sheet name="В19" sheetId="42" r:id="rId10"/>
    <sheet name="В20" sheetId="41" r:id="rId11"/>
    <sheet name="В21" sheetId="40" r:id="rId12"/>
    <sheet name="В22" sheetId="39" r:id="rId13"/>
    <sheet name="В23" sheetId="45" r:id="rId14"/>
    <sheet name="В24" sheetId="53" r:id="rId15"/>
    <sheet name="В25" sheetId="52" r:id="rId16"/>
    <sheet name="В26" sheetId="51" r:id="rId17"/>
    <sheet name="В27" sheetId="50" r:id="rId18"/>
    <sheet name="В28" sheetId="49" r:id="rId19"/>
    <sheet name="В30" sheetId="48" r:id="rId20"/>
    <sheet name="В32" sheetId="47" r:id="rId21"/>
    <sheet name="В34" sheetId="46" r:id="rId22"/>
    <sheet name="В36" sheetId="38" r:id="rId23"/>
    <sheet name="М1" sheetId="3" r:id="rId24"/>
    <sheet name="М19" sheetId="17" r:id="rId25"/>
    <sheet name="М28" sheetId="18" r:id="rId26"/>
    <sheet name="М30" sheetId="20" r:id="rId27"/>
    <sheet name="М39" sheetId="19" r:id="rId28"/>
    <sheet name="М41" sheetId="16" r:id="rId29"/>
    <sheet name="М43" sheetId="15" r:id="rId30"/>
    <sheet name="М45" sheetId="14" r:id="rId31"/>
    <sheet name="М47" sheetId="13" r:id="rId32"/>
    <sheet name="Т3" sheetId="4" r:id="rId33"/>
    <sheet name="Т4" sheetId="32" r:id="rId34"/>
    <sheet name="Т7" sheetId="31" r:id="rId35"/>
    <sheet name="Т8" sheetId="30" r:id="rId36"/>
    <sheet name="Т9" sheetId="29" r:id="rId37"/>
    <sheet name="Т10" sheetId="28" r:id="rId38"/>
    <sheet name="Т12" sheetId="27" r:id="rId39"/>
    <sheet name="Т13" sheetId="26" r:id="rId40"/>
    <sheet name="Т14" sheetId="25" r:id="rId41"/>
    <sheet name="Т15" sheetId="24" r:id="rId42"/>
    <sheet name="Т16" sheetId="23" r:id="rId43"/>
    <sheet name="Т171" sheetId="33" r:id="rId44"/>
    <sheet name="Т172" sheetId="34" r:id="rId45"/>
    <sheet name="т18" sheetId="35" r:id="rId46"/>
    <sheet name="Т21" sheetId="37" r:id="rId47"/>
    <sheet name="Т23" sheetId="36" r:id="rId48"/>
    <sheet name="Т27" sheetId="22" r:id="rId49"/>
    <sheet name="П100" sheetId="54" r:id="rId50"/>
    <sheet name="П179а" sheetId="5" r:id="rId51"/>
    <sheet name="П181" sheetId="55" r:id="rId52"/>
    <sheet name="П181а" sheetId="56" r:id="rId53"/>
    <sheet name="П183" sheetId="57" r:id="rId54"/>
    <sheet name="П185" sheetId="58" r:id="rId55"/>
    <sheet name="П187" sheetId="60" r:id="rId56"/>
    <sheet name="П191" sheetId="61" r:id="rId57"/>
    <sheet name="ВЛКСМ10" sheetId="59" r:id="rId58"/>
    <sheet name="Лист1" sheetId="62" r:id="rId59"/>
  </sheets>
  <calcPr calcId="144525"/>
</workbook>
</file>

<file path=xl/calcChain.xml><?xml version="1.0" encoding="utf-8"?>
<calcChain xmlns="http://schemas.openxmlformats.org/spreadsheetml/2006/main">
  <c r="D14" i="19" l="1"/>
  <c r="D16" i="61"/>
  <c r="D48" i="56"/>
  <c r="D19" i="56"/>
  <c r="D47" i="15"/>
  <c r="D18" i="16"/>
  <c r="D47" i="25"/>
  <c r="D47" i="33"/>
  <c r="D17" i="35"/>
  <c r="F40" i="59"/>
  <c r="F39" i="59" s="1"/>
  <c r="E39" i="59"/>
  <c r="F29" i="59"/>
  <c r="F28" i="59" s="1"/>
  <c r="E28" i="59"/>
  <c r="F26" i="59"/>
  <c r="F25" i="59"/>
  <c r="F24" i="59"/>
  <c r="F23" i="59" s="1"/>
  <c r="F22" i="59" s="1"/>
  <c r="E23" i="59"/>
  <c r="E22" i="59"/>
  <c r="E19" i="59"/>
  <c r="E40" i="61"/>
  <c r="E39" i="61" s="1"/>
  <c r="D39" i="61"/>
  <c r="E26" i="61"/>
  <c r="E25" i="61" s="1"/>
  <c r="D25" i="61"/>
  <c r="E21" i="61"/>
  <c r="E20" i="61" s="1"/>
  <c r="E19" i="61" s="1"/>
  <c r="D20" i="61"/>
  <c r="D19" i="61"/>
  <c r="D11" i="61"/>
  <c r="E40" i="60"/>
  <c r="E39" i="60" s="1"/>
  <c r="D39" i="60"/>
  <c r="E28" i="60"/>
  <c r="E27" i="60" s="1"/>
  <c r="D27" i="60"/>
  <c r="E23" i="60"/>
  <c r="E22" i="60" s="1"/>
  <c r="E21" i="60" s="1"/>
  <c r="D22" i="60"/>
  <c r="D21" i="60"/>
  <c r="D18" i="60"/>
  <c r="D13" i="60"/>
  <c r="E40" i="58"/>
  <c r="E39" i="58" s="1"/>
  <c r="D39" i="58"/>
  <c r="E27" i="58"/>
  <c r="E26" i="58" s="1"/>
  <c r="D26" i="58"/>
  <c r="E22" i="58"/>
  <c r="E21" i="58" s="1"/>
  <c r="E20" i="58" s="1"/>
  <c r="D21" i="58"/>
  <c r="D20" i="58"/>
  <c r="D17" i="58"/>
  <c r="D12" i="58"/>
  <c r="E40" i="57"/>
  <c r="E39" i="57" s="1"/>
  <c r="D39" i="57"/>
  <c r="E28" i="57"/>
  <c r="E27" i="57" s="1"/>
  <c r="D27" i="57"/>
  <c r="E23" i="57"/>
  <c r="E22" i="57" s="1"/>
  <c r="E21" i="57" s="1"/>
  <c r="D22" i="57"/>
  <c r="D21" i="57"/>
  <c r="D18" i="57"/>
  <c r="D13" i="57"/>
  <c r="E40" i="56"/>
  <c r="E39" i="56" s="1"/>
  <c r="D39" i="56"/>
  <c r="E30" i="56"/>
  <c r="E29" i="56" s="1"/>
  <c r="D29" i="56"/>
  <c r="E26" i="56"/>
  <c r="E25" i="56"/>
  <c r="E24" i="56"/>
  <c r="E23" i="56" s="1"/>
  <c r="E22" i="56" s="1"/>
  <c r="D23" i="56"/>
  <c r="D22" i="56"/>
  <c r="D14" i="56"/>
  <c r="E40" i="55"/>
  <c r="E39" i="55" s="1"/>
  <c r="D39" i="55"/>
  <c r="E27" i="55"/>
  <c r="E26" i="55" s="1"/>
  <c r="D26" i="55"/>
  <c r="E22" i="55"/>
  <c r="E21" i="55" s="1"/>
  <c r="E20" i="55" s="1"/>
  <c r="D21" i="55"/>
  <c r="D20" i="55"/>
  <c r="D17" i="55"/>
  <c r="D12" i="55"/>
  <c r="E39" i="54"/>
  <c r="E38" i="54" s="1"/>
  <c r="D38" i="54"/>
  <c r="E28" i="54"/>
  <c r="E27" i="54" s="1"/>
  <c r="D27" i="54"/>
  <c r="E25" i="54"/>
  <c r="E24" i="54"/>
  <c r="E23" i="54"/>
  <c r="E22" i="54" s="1"/>
  <c r="E21" i="54" s="1"/>
  <c r="D22" i="54"/>
  <c r="D21" i="54"/>
  <c r="D18" i="54"/>
  <c r="D42" i="54" s="1"/>
  <c r="D13" i="54"/>
  <c r="E39" i="22"/>
  <c r="E38" i="22" s="1"/>
  <c r="D38" i="22"/>
  <c r="D33" i="22"/>
  <c r="E29" i="22"/>
  <c r="E28" i="22" s="1"/>
  <c r="D28" i="22"/>
  <c r="E26" i="22"/>
  <c r="E25" i="22"/>
  <c r="E24" i="22"/>
  <c r="E23" i="22"/>
  <c r="D23" i="22"/>
  <c r="E22" i="22"/>
  <c r="D22" i="22"/>
  <c r="D19" i="22"/>
  <c r="D40" i="36"/>
  <c r="E39" i="36"/>
  <c r="E38" i="36" s="1"/>
  <c r="D38" i="36"/>
  <c r="D36" i="36"/>
  <c r="E27" i="36"/>
  <c r="E26" i="36" s="1"/>
  <c r="D26" i="36"/>
  <c r="E24" i="36"/>
  <c r="E23" i="36"/>
  <c r="E22" i="36"/>
  <c r="E21" i="36" s="1"/>
  <c r="E20" i="36" s="1"/>
  <c r="D21" i="36"/>
  <c r="D20" i="36"/>
  <c r="D17" i="36"/>
  <c r="D12" i="36"/>
  <c r="E40" i="37"/>
  <c r="E39" i="37" s="1"/>
  <c r="D39" i="37"/>
  <c r="D33" i="37"/>
  <c r="E27" i="37"/>
  <c r="E26" i="37" s="1"/>
  <c r="D26" i="37"/>
  <c r="E22" i="37"/>
  <c r="E21" i="37" s="1"/>
  <c r="E20" i="37" s="1"/>
  <c r="D21" i="37"/>
  <c r="D20" i="37"/>
  <c r="D15" i="37"/>
  <c r="D12" i="37"/>
  <c r="E40" i="35"/>
  <c r="E39" i="35" s="1"/>
  <c r="D39" i="35"/>
  <c r="E28" i="35"/>
  <c r="E27" i="35" s="1"/>
  <c r="D27" i="35"/>
  <c r="E22" i="35"/>
  <c r="E21" i="35" s="1"/>
  <c r="E20" i="35" s="1"/>
  <c r="D21" i="35"/>
  <c r="D20" i="35"/>
  <c r="D12" i="35"/>
  <c r="E39" i="34"/>
  <c r="E38" i="34" s="1"/>
  <c r="D38" i="34"/>
  <c r="D32" i="34"/>
  <c r="E28" i="34"/>
  <c r="E27" i="34" s="1"/>
  <c r="D27" i="34"/>
  <c r="E25" i="34"/>
  <c r="E24" i="34"/>
  <c r="E23" i="34"/>
  <c r="E22" i="34" s="1"/>
  <c r="E21" i="34" s="1"/>
  <c r="D22" i="34"/>
  <c r="D21" i="34"/>
  <c r="D18" i="34"/>
  <c r="D13" i="34"/>
  <c r="E39" i="33"/>
  <c r="E38" i="33" s="1"/>
  <c r="D38" i="33"/>
  <c r="D33" i="33"/>
  <c r="E28" i="33"/>
  <c r="E27" i="33" s="1"/>
  <c r="D27" i="33"/>
  <c r="E24" i="33"/>
  <c r="E23" i="33"/>
  <c r="E22" i="33" s="1"/>
  <c r="E21" i="33" s="1"/>
  <c r="D22" i="33"/>
  <c r="D21" i="33"/>
  <c r="D18" i="33"/>
  <c r="D42" i="33" s="1"/>
  <c r="D13" i="33"/>
  <c r="E39" i="23"/>
  <c r="E38" i="23" s="1"/>
  <c r="D38" i="23"/>
  <c r="E29" i="23"/>
  <c r="E28" i="23" s="1"/>
  <c r="D28" i="23"/>
  <c r="E24" i="23"/>
  <c r="E23" i="23" s="1"/>
  <c r="E22" i="23" s="1"/>
  <c r="D23" i="23"/>
  <c r="D22" i="23"/>
  <c r="D19" i="23"/>
  <c r="E40" i="24"/>
  <c r="E39" i="24" s="1"/>
  <c r="D39" i="24"/>
  <c r="D37" i="24"/>
  <c r="E27" i="24"/>
  <c r="E26" i="24" s="1"/>
  <c r="D26" i="24"/>
  <c r="E22" i="24"/>
  <c r="E21" i="24" s="1"/>
  <c r="E20" i="24" s="1"/>
  <c r="D21" i="24"/>
  <c r="D20" i="24" s="1"/>
  <c r="D17" i="24"/>
  <c r="D12" i="24"/>
  <c r="E39" i="25"/>
  <c r="E38" i="25" s="1"/>
  <c r="D38" i="25"/>
  <c r="E29" i="25"/>
  <c r="E28" i="25" s="1"/>
  <c r="D28" i="25"/>
  <c r="E24" i="25"/>
  <c r="E23" i="25" s="1"/>
  <c r="E22" i="25" s="1"/>
  <c r="D23" i="25"/>
  <c r="D22" i="25"/>
  <c r="D19" i="25"/>
  <c r="D42" i="25" s="1"/>
  <c r="D14" i="25"/>
  <c r="E39" i="26"/>
  <c r="E38" i="26" s="1"/>
  <c r="D38" i="26"/>
  <c r="E29" i="26"/>
  <c r="E28" i="26" s="1"/>
  <c r="D28" i="26"/>
  <c r="E24" i="26"/>
  <c r="E23" i="26" s="1"/>
  <c r="E22" i="26" s="1"/>
  <c r="D23" i="26"/>
  <c r="D22" i="26"/>
  <c r="D19" i="26"/>
  <c r="D14" i="26"/>
  <c r="E39" i="27"/>
  <c r="E38" i="27" s="1"/>
  <c r="D38" i="27"/>
  <c r="E29" i="27"/>
  <c r="E28" i="27" s="1"/>
  <c r="D28" i="27"/>
  <c r="E24" i="27"/>
  <c r="E23" i="27" s="1"/>
  <c r="E22" i="27" s="1"/>
  <c r="D23" i="27"/>
  <c r="D22" i="27"/>
  <c r="D19" i="27"/>
  <c r="D14" i="27"/>
  <c r="E39" i="28"/>
  <c r="E38" i="28" s="1"/>
  <c r="D38" i="28"/>
  <c r="E28" i="28"/>
  <c r="E27" i="28" s="1"/>
  <c r="D27" i="28"/>
  <c r="E23" i="28"/>
  <c r="E22" i="28" s="1"/>
  <c r="E21" i="28" s="1"/>
  <c r="D22" i="28"/>
  <c r="D21" i="28"/>
  <c r="D18" i="28"/>
  <c r="D13" i="28"/>
  <c r="E40" i="29"/>
  <c r="E39" i="29" s="1"/>
  <c r="D39" i="29"/>
  <c r="E29" i="29"/>
  <c r="E28" i="29" s="1"/>
  <c r="D28" i="29"/>
  <c r="E24" i="29"/>
  <c r="E23" i="29" s="1"/>
  <c r="E22" i="29" s="1"/>
  <c r="D23" i="29"/>
  <c r="D22" i="29"/>
  <c r="D19" i="29"/>
  <c r="E39" i="30"/>
  <c r="E38" i="30" s="1"/>
  <c r="D38" i="30"/>
  <c r="E29" i="30"/>
  <c r="E28" i="30" s="1"/>
  <c r="D28" i="30"/>
  <c r="E24" i="30"/>
  <c r="E23" i="30" s="1"/>
  <c r="E22" i="30" s="1"/>
  <c r="D23" i="30"/>
  <c r="D22" i="30"/>
  <c r="D19" i="30"/>
  <c r="D14" i="30"/>
  <c r="E38" i="31"/>
  <c r="E37" i="31" s="1"/>
  <c r="D37" i="31"/>
  <c r="E28" i="31"/>
  <c r="E27" i="31" s="1"/>
  <c r="D27" i="31"/>
  <c r="E23" i="31"/>
  <c r="E22" i="31" s="1"/>
  <c r="E21" i="31" s="1"/>
  <c r="D22" i="31"/>
  <c r="D21" i="31"/>
  <c r="D18" i="31"/>
  <c r="D13" i="31"/>
  <c r="E40" i="32"/>
  <c r="E39" i="32" s="1"/>
  <c r="D39" i="32"/>
  <c r="D34" i="32"/>
  <c r="E29" i="32"/>
  <c r="E28" i="32" s="1"/>
  <c r="D28" i="32"/>
  <c r="E24" i="32"/>
  <c r="E23" i="32" s="1"/>
  <c r="E22" i="32" s="1"/>
  <c r="D23" i="32"/>
  <c r="D22" i="32" s="1"/>
  <c r="D19" i="32"/>
  <c r="D14" i="32"/>
  <c r="E38" i="4"/>
  <c r="E37" i="4" s="1"/>
  <c r="D37" i="4"/>
  <c r="E29" i="4"/>
  <c r="E28" i="4" s="1"/>
  <c r="D28" i="4"/>
  <c r="E24" i="4"/>
  <c r="E23" i="4" s="1"/>
  <c r="E22" i="4" s="1"/>
  <c r="D23" i="4"/>
  <c r="D22" i="4"/>
  <c r="D19" i="4"/>
  <c r="D14" i="4"/>
  <c r="E39" i="13"/>
  <c r="E38" i="13" s="1"/>
  <c r="D38" i="13"/>
  <c r="D34" i="13"/>
  <c r="E28" i="13"/>
  <c r="E27" i="13" s="1"/>
  <c r="D27" i="13"/>
  <c r="E23" i="13"/>
  <c r="E22" i="13"/>
  <c r="E21" i="13"/>
  <c r="E20" i="13"/>
  <c r="D20" i="13"/>
  <c r="E19" i="13"/>
  <c r="D19" i="13"/>
  <c r="D16" i="13"/>
  <c r="D12" i="13"/>
  <c r="E40" i="14"/>
  <c r="E39" i="14" s="1"/>
  <c r="D39" i="14"/>
  <c r="D32" i="14"/>
  <c r="E28" i="14"/>
  <c r="E27" i="14" s="1"/>
  <c r="D27" i="14"/>
  <c r="D25" i="14"/>
  <c r="E22" i="14"/>
  <c r="E21" i="14" s="1"/>
  <c r="E20" i="14" s="1"/>
  <c r="D21" i="14"/>
  <c r="D20" i="14"/>
  <c r="D17" i="14"/>
  <c r="D43" i="14" s="1"/>
  <c r="E39" i="15"/>
  <c r="E38" i="15" s="1"/>
  <c r="D38" i="15"/>
  <c r="D33" i="15"/>
  <c r="E28" i="15"/>
  <c r="E27" i="15" s="1"/>
  <c r="D27" i="15"/>
  <c r="E22" i="15"/>
  <c r="E21" i="15" s="1"/>
  <c r="E20" i="15" s="1"/>
  <c r="D21" i="15"/>
  <c r="D20" i="15" s="1"/>
  <c r="D17" i="15"/>
  <c r="D42" i="15" s="1"/>
  <c r="D13" i="15"/>
  <c r="E40" i="16"/>
  <c r="E39" i="16" s="1"/>
  <c r="D39" i="16"/>
  <c r="D35" i="16"/>
  <c r="E30" i="16"/>
  <c r="E29" i="16" s="1"/>
  <c r="D29" i="16"/>
  <c r="D28" i="16"/>
  <c r="D26" i="16"/>
  <c r="E25" i="16"/>
  <c r="E24" i="16"/>
  <c r="E23" i="16"/>
  <c r="E22" i="16" s="1"/>
  <c r="E21" i="16" s="1"/>
  <c r="D22" i="16"/>
  <c r="D21" i="16"/>
  <c r="E39" i="19"/>
  <c r="E38" i="19" s="1"/>
  <c r="D38" i="19"/>
  <c r="D32" i="19"/>
  <c r="E28" i="19"/>
  <c r="E27" i="19" s="1"/>
  <c r="D27" i="19"/>
  <c r="E23" i="19"/>
  <c r="E22" i="19"/>
  <c r="E21" i="19"/>
  <c r="E20" i="19"/>
  <c r="D20" i="19"/>
  <c r="E19" i="19"/>
  <c r="D19" i="19"/>
  <c r="D16" i="19"/>
  <c r="D12" i="19"/>
  <c r="E40" i="20"/>
  <c r="E39" i="20" s="1"/>
  <c r="D39" i="20"/>
  <c r="D32" i="20"/>
  <c r="E28" i="20"/>
  <c r="E27" i="20" s="1"/>
  <c r="D27" i="20"/>
  <c r="E25" i="20"/>
  <c r="E24" i="20"/>
  <c r="E23" i="20"/>
  <c r="E22" i="20" s="1"/>
  <c r="E21" i="20" s="1"/>
  <c r="D22" i="20"/>
  <c r="D21" i="20"/>
  <c r="D18" i="20"/>
  <c r="D14" i="20"/>
  <c r="E40" i="18"/>
  <c r="E39" i="18" s="1"/>
  <c r="D39" i="18"/>
  <c r="D34" i="18"/>
  <c r="E28" i="18"/>
  <c r="E27" i="18" s="1"/>
  <c r="D27" i="18"/>
  <c r="E25" i="18"/>
  <c r="E24" i="18"/>
  <c r="E23" i="18"/>
  <c r="E22" i="18"/>
  <c r="D22" i="18"/>
  <c r="E21" i="18"/>
  <c r="D21" i="18"/>
  <c r="D18" i="18"/>
  <c r="D14" i="18"/>
  <c r="E39" i="17"/>
  <c r="E38" i="17" s="1"/>
  <c r="D38" i="17"/>
  <c r="D31" i="17"/>
  <c r="E27" i="17"/>
  <c r="E26" i="17" s="1"/>
  <c r="D26" i="17"/>
  <c r="E24" i="17"/>
  <c r="E23" i="17"/>
  <c r="E22" i="17"/>
  <c r="E21" i="17"/>
  <c r="D21" i="17"/>
  <c r="E20" i="17"/>
  <c r="D20" i="17"/>
  <c r="D17" i="17"/>
  <c r="D13" i="17"/>
  <c r="D47" i="38"/>
  <c r="E39" i="38"/>
  <c r="E38" i="38" s="1"/>
  <c r="D38" i="38"/>
  <c r="D32" i="38"/>
  <c r="E28" i="38"/>
  <c r="E27" i="38" s="1"/>
  <c r="D27" i="38"/>
  <c r="D25" i="38"/>
  <c r="E24" i="38"/>
  <c r="E23" i="38"/>
  <c r="E22" i="38"/>
  <c r="E21" i="38" s="1"/>
  <c r="E20" i="38" s="1"/>
  <c r="D21" i="38"/>
  <c r="D20" i="38"/>
  <c r="D17" i="38"/>
  <c r="D42" i="38" s="1"/>
  <c r="D12" i="38"/>
  <c r="E40" i="46"/>
  <c r="E39" i="46" s="1"/>
  <c r="D39" i="46"/>
  <c r="D34" i="46"/>
  <c r="E30" i="46"/>
  <c r="E29" i="46" s="1"/>
  <c r="D29" i="46"/>
  <c r="E26" i="46"/>
  <c r="E25" i="46"/>
  <c r="E24" i="46"/>
  <c r="E23" i="46" s="1"/>
  <c r="E22" i="46" s="1"/>
  <c r="D23" i="46"/>
  <c r="D22" i="46"/>
  <c r="D19" i="46"/>
  <c r="D43" i="46" s="1"/>
  <c r="D14" i="46"/>
  <c r="E40" i="47"/>
  <c r="E39" i="47" s="1"/>
  <c r="D39" i="47"/>
  <c r="D34" i="47"/>
  <c r="E30" i="47"/>
  <c r="E29" i="47" s="1"/>
  <c r="D29" i="47"/>
  <c r="E26" i="47"/>
  <c r="E25" i="47"/>
  <c r="E24" i="47"/>
  <c r="E23" i="47" s="1"/>
  <c r="E22" i="47" s="1"/>
  <c r="D23" i="47"/>
  <c r="D22" i="47"/>
  <c r="D19" i="47"/>
  <c r="D14" i="47"/>
  <c r="E40" i="48"/>
  <c r="E39" i="48" s="1"/>
  <c r="D39" i="48"/>
  <c r="D37" i="48"/>
  <c r="E29" i="48"/>
  <c r="E28" i="48" s="1"/>
  <c r="D28" i="48"/>
  <c r="E25" i="48"/>
  <c r="E24" i="48"/>
  <c r="E23" i="48"/>
  <c r="E22" i="48"/>
  <c r="D22" i="48"/>
  <c r="E21" i="48"/>
  <c r="D21" i="48"/>
  <c r="D18" i="48"/>
  <c r="D13" i="48"/>
  <c r="E40" i="49"/>
  <c r="E39" i="49" s="1"/>
  <c r="D39" i="49"/>
  <c r="D37" i="49"/>
  <c r="E28" i="49"/>
  <c r="E27" i="49" s="1"/>
  <c r="D27" i="49"/>
  <c r="D25" i="49"/>
  <c r="E22" i="49"/>
  <c r="E21" i="49" s="1"/>
  <c r="E20" i="49" s="1"/>
  <c r="D21" i="49"/>
  <c r="D20" i="49"/>
  <c r="D17" i="49"/>
  <c r="D12" i="49"/>
  <c r="E38" i="50"/>
  <c r="E37" i="50" s="1"/>
  <c r="D37" i="50"/>
  <c r="D32" i="50"/>
  <c r="E28" i="50"/>
  <c r="E27" i="50" s="1"/>
  <c r="D27" i="50"/>
  <c r="E25" i="50"/>
  <c r="E24" i="50"/>
  <c r="E23" i="50"/>
  <c r="E22" i="50" s="1"/>
  <c r="E21" i="50" s="1"/>
  <c r="D22" i="50"/>
  <c r="D21" i="50"/>
  <c r="D18" i="50"/>
  <c r="E40" i="51"/>
  <c r="E39" i="51" s="1"/>
  <c r="D39" i="51"/>
  <c r="E28" i="51"/>
  <c r="E27" i="51" s="1"/>
  <c r="D27" i="51"/>
  <c r="E23" i="51"/>
  <c r="E22" i="51" s="1"/>
  <c r="E21" i="51" s="1"/>
  <c r="D22" i="51"/>
  <c r="D21" i="51"/>
  <c r="D18" i="51"/>
  <c r="D13" i="51"/>
  <c r="E38" i="52"/>
  <c r="E37" i="52" s="1"/>
  <c r="D37" i="52"/>
  <c r="D32" i="52"/>
  <c r="E28" i="52"/>
  <c r="E27" i="52" s="1"/>
  <c r="D27" i="52"/>
  <c r="E25" i="52"/>
  <c r="E24" i="52"/>
  <c r="E23" i="52"/>
  <c r="E22" i="52" s="1"/>
  <c r="E21" i="52" s="1"/>
  <c r="D22" i="52"/>
  <c r="D21" i="52"/>
  <c r="D18" i="52"/>
  <c r="D14" i="52"/>
  <c r="E38" i="53"/>
  <c r="E37" i="53" s="1"/>
  <c r="D37" i="53"/>
  <c r="D32" i="53"/>
  <c r="E28" i="53"/>
  <c r="E27" i="53" s="1"/>
  <c r="D27" i="53"/>
  <c r="E23" i="53"/>
  <c r="E22" i="53" s="1"/>
  <c r="E21" i="53" s="1"/>
  <c r="D22" i="53"/>
  <c r="D21" i="53"/>
  <c r="D18" i="53"/>
  <c r="D13" i="53"/>
  <c r="E39" i="45"/>
  <c r="E38" i="45" s="1"/>
  <c r="D38" i="45"/>
  <c r="D32" i="45"/>
  <c r="E28" i="45"/>
  <c r="E27" i="45" s="1"/>
  <c r="D27" i="45"/>
  <c r="E23" i="45"/>
  <c r="E22" i="45" s="1"/>
  <c r="E21" i="45" s="1"/>
  <c r="D22" i="45"/>
  <c r="D21" i="45"/>
  <c r="D18" i="45"/>
  <c r="D13" i="45"/>
  <c r="E38" i="39"/>
  <c r="E37" i="39" s="1"/>
  <c r="D37" i="39"/>
  <c r="D32" i="39"/>
  <c r="E28" i="39"/>
  <c r="E27" i="39" s="1"/>
  <c r="D27" i="39"/>
  <c r="E23" i="39"/>
  <c r="E22" i="39" s="1"/>
  <c r="E21" i="39" s="1"/>
  <c r="D22" i="39"/>
  <c r="D21" i="39"/>
  <c r="D18" i="39"/>
  <c r="D13" i="39"/>
  <c r="E39" i="40"/>
  <c r="E38" i="40" s="1"/>
  <c r="D38" i="40"/>
  <c r="D32" i="40"/>
  <c r="E28" i="40"/>
  <c r="E27" i="40" s="1"/>
  <c r="D27" i="40"/>
  <c r="E25" i="40"/>
  <c r="E24" i="40"/>
  <c r="E23" i="40"/>
  <c r="E22" i="40" s="1"/>
  <c r="E21" i="40" s="1"/>
  <c r="D22" i="40"/>
  <c r="D21" i="40"/>
  <c r="D18" i="40"/>
  <c r="D42" i="40" s="1"/>
  <c r="D13" i="40"/>
  <c r="E40" i="41"/>
  <c r="E39" i="41" s="1"/>
  <c r="D39" i="41"/>
  <c r="D33" i="41"/>
  <c r="E29" i="41"/>
  <c r="E28" i="41" s="1"/>
  <c r="D28" i="41"/>
  <c r="E26" i="41"/>
  <c r="E25" i="41"/>
  <c r="E24" i="41"/>
  <c r="E23" i="41" s="1"/>
  <c r="E22" i="41" s="1"/>
  <c r="D23" i="41"/>
  <c r="D22" i="41"/>
  <c r="D19" i="41"/>
  <c r="D14" i="41"/>
  <c r="E41" i="42"/>
  <c r="E40" i="42" s="1"/>
  <c r="D40" i="42"/>
  <c r="D32" i="42"/>
  <c r="E28" i="42"/>
  <c r="E27" i="42" s="1"/>
  <c r="D27" i="42"/>
  <c r="E23" i="42"/>
  <c r="E22" i="42" s="1"/>
  <c r="E21" i="42" s="1"/>
  <c r="D22" i="42"/>
  <c r="D21" i="42"/>
  <c r="D18" i="42"/>
  <c r="D13" i="42"/>
  <c r="E41" i="43"/>
  <c r="E40" i="43" s="1"/>
  <c r="D40" i="43"/>
  <c r="D33" i="43"/>
  <c r="E29" i="43"/>
  <c r="E28" i="43" s="1"/>
  <c r="D28" i="43"/>
  <c r="E26" i="43"/>
  <c r="E25" i="43"/>
  <c r="E24" i="43"/>
  <c r="E23" i="43"/>
  <c r="D23" i="43"/>
  <c r="E22" i="43"/>
  <c r="D22" i="43"/>
  <c r="D19" i="43"/>
  <c r="D14" i="43"/>
  <c r="E38" i="44"/>
  <c r="E37" i="44" s="1"/>
  <c r="D37" i="44"/>
  <c r="D32" i="44"/>
  <c r="E28" i="44"/>
  <c r="E27" i="44" s="1"/>
  <c r="D27" i="44"/>
  <c r="E25" i="44"/>
  <c r="E24" i="44"/>
  <c r="E23" i="44"/>
  <c r="E22" i="44" s="1"/>
  <c r="E21" i="44" s="1"/>
  <c r="D22" i="44"/>
  <c r="D21" i="44"/>
  <c r="D18" i="44"/>
  <c r="D13" i="44"/>
  <c r="E40" i="10"/>
  <c r="E39" i="10" s="1"/>
  <c r="D39" i="10"/>
  <c r="D33" i="10"/>
  <c r="E27" i="10"/>
  <c r="E26" i="10" s="1"/>
  <c r="D26" i="10"/>
  <c r="E22" i="10"/>
  <c r="E21" i="10" s="1"/>
  <c r="E20" i="10" s="1"/>
  <c r="D21" i="10"/>
  <c r="D20" i="10" s="1"/>
  <c r="D17" i="10"/>
  <c r="E39" i="12"/>
  <c r="E38" i="12" s="1"/>
  <c r="D38" i="12"/>
  <c r="D32" i="12"/>
  <c r="E27" i="12"/>
  <c r="E26" i="12" s="1"/>
  <c r="D26" i="12"/>
  <c r="E22" i="12"/>
  <c r="E21" i="12"/>
  <c r="D21" i="12"/>
  <c r="E20" i="12"/>
  <c r="D20" i="12"/>
  <c r="D17" i="12"/>
  <c r="D12" i="12"/>
  <c r="E40" i="11"/>
  <c r="E39" i="11" s="1"/>
  <c r="D39" i="11"/>
  <c r="D32" i="11"/>
  <c r="E27" i="11"/>
  <c r="E26" i="11" s="1"/>
  <c r="D26" i="11"/>
  <c r="E22" i="11"/>
  <c r="E21" i="11" s="1"/>
  <c r="E20" i="11" s="1"/>
  <c r="D21" i="11"/>
  <c r="D20" i="11"/>
  <c r="D17" i="11"/>
  <c r="D12" i="11"/>
  <c r="E39" i="8"/>
  <c r="E38" i="8" s="1"/>
  <c r="D38" i="8"/>
  <c r="E28" i="8"/>
  <c r="E27" i="8" s="1"/>
  <c r="D27" i="8"/>
  <c r="E25" i="8"/>
  <c r="E24" i="8"/>
  <c r="E23" i="8"/>
  <c r="E22" i="8"/>
  <c r="D22" i="8"/>
  <c r="E21" i="8"/>
  <c r="D21" i="8"/>
  <c r="D18" i="8"/>
  <c r="D13" i="8"/>
  <c r="E38" i="9"/>
  <c r="E37" i="9" s="1"/>
  <c r="D37" i="9"/>
  <c r="E27" i="9"/>
  <c r="E26" i="9" s="1"/>
  <c r="D26" i="9"/>
  <c r="E22" i="9"/>
  <c r="E21" i="9" s="1"/>
  <c r="E20" i="9" s="1"/>
  <c r="D21" i="9"/>
  <c r="D20" i="9"/>
  <c r="D17" i="9"/>
  <c r="E39" i="6"/>
  <c r="E38" i="6" s="1"/>
  <c r="D38" i="6"/>
  <c r="D33" i="6"/>
  <c r="E28" i="6"/>
  <c r="E27" i="6" s="1"/>
  <c r="D27" i="6"/>
  <c r="E25" i="6"/>
  <c r="E24" i="6"/>
  <c r="E23" i="6"/>
  <c r="E22" i="6" s="1"/>
  <c r="E21" i="6" s="1"/>
  <c r="D22" i="6"/>
  <c r="D21" i="6"/>
  <c r="D18" i="6"/>
  <c r="E40" i="5"/>
  <c r="E39" i="5" s="1"/>
  <c r="D39" i="5"/>
  <c r="E28" i="5"/>
  <c r="E27" i="5" s="1"/>
  <c r="D27" i="5"/>
  <c r="E23" i="5"/>
  <c r="E22" i="5" s="1"/>
  <c r="E21" i="5" s="1"/>
  <c r="D22" i="5"/>
  <c r="D21" i="5"/>
  <c r="D18" i="5"/>
  <c r="D43" i="5" s="1"/>
  <c r="D13" i="5"/>
  <c r="F40" i="3"/>
  <c r="F39" i="3" s="1"/>
  <c r="E39" i="3"/>
  <c r="E33" i="3"/>
  <c r="F28" i="3"/>
  <c r="F27" i="3" s="1"/>
  <c r="E27" i="3"/>
  <c r="F23" i="3"/>
  <c r="F22" i="3"/>
  <c r="E22" i="3"/>
  <c r="F21" i="3"/>
  <c r="E21" i="3"/>
  <c r="E18" i="3"/>
  <c r="E17" i="3"/>
  <c r="E14" i="3"/>
  <c r="E39" i="2"/>
  <c r="E38" i="2" s="1"/>
  <c r="D38" i="2"/>
  <c r="D33" i="2"/>
  <c r="E29" i="2"/>
  <c r="E28" i="2" s="1"/>
  <c r="D28" i="2"/>
  <c r="E26" i="2"/>
  <c r="E25" i="2"/>
  <c r="E24" i="2"/>
  <c r="E23" i="2" s="1"/>
  <c r="E22" i="2" s="1"/>
  <c r="D23" i="2"/>
  <c r="D22" i="2"/>
  <c r="D19" i="2"/>
  <c r="D14" i="2"/>
  <c r="E32" i="59" l="1"/>
  <c r="E31" i="59" s="1"/>
  <c r="E42" i="59" s="1"/>
  <c r="E44" i="59" s="1"/>
  <c r="E46" i="59" s="1"/>
  <c r="E47" i="59" s="1"/>
  <c r="E43" i="59"/>
  <c r="D30" i="61"/>
  <c r="D29" i="61" s="1"/>
  <c r="D42" i="61" s="1"/>
  <c r="D44" i="61" s="1"/>
  <c r="D43" i="61"/>
  <c r="D32" i="60"/>
  <c r="D31" i="60" s="1"/>
  <c r="D42" i="60" s="1"/>
  <c r="D44" i="60" s="1"/>
  <c r="D46" i="60" s="1"/>
  <c r="D47" i="60" s="1"/>
  <c r="D43" i="60"/>
  <c r="D31" i="58"/>
  <c r="D30" i="58" s="1"/>
  <c r="D42" i="58" s="1"/>
  <c r="D44" i="58" s="1"/>
  <c r="D46" i="58" s="1"/>
  <c r="D47" i="58" s="1"/>
  <c r="D43" i="58"/>
  <c r="D32" i="57"/>
  <c r="D31" i="57" s="1"/>
  <c r="D42" i="57" s="1"/>
  <c r="D44" i="57" s="1"/>
  <c r="D46" i="57" s="1"/>
  <c r="D47" i="57" s="1"/>
  <c r="D43" i="57"/>
  <c r="D33" i="56"/>
  <c r="D32" i="56" s="1"/>
  <c r="D42" i="56" s="1"/>
  <c r="D44" i="56" s="1"/>
  <c r="D43" i="56"/>
  <c r="D31" i="55"/>
  <c r="D30" i="55" s="1"/>
  <c r="D42" i="55" s="1"/>
  <c r="D44" i="55" s="1"/>
  <c r="D46" i="55" s="1"/>
  <c r="D47" i="55" s="1"/>
  <c r="D43" i="55"/>
  <c r="D31" i="54"/>
  <c r="D30" i="54" s="1"/>
  <c r="D41" i="54" s="1"/>
  <c r="D43" i="54" s="1"/>
  <c r="D45" i="54" s="1"/>
  <c r="D46" i="54" s="1"/>
  <c r="D32" i="22"/>
  <c r="D31" i="22" s="1"/>
  <c r="D41" i="22" s="1"/>
  <c r="D42" i="22"/>
  <c r="D31" i="36"/>
  <c r="D30" i="36" s="1"/>
  <c r="D41" i="36" s="1"/>
  <c r="D42" i="36"/>
  <c r="D17" i="37"/>
  <c r="D31" i="35"/>
  <c r="D30" i="35" s="1"/>
  <c r="D42" i="35" s="1"/>
  <c r="D44" i="35" s="1"/>
  <c r="D43" i="35"/>
  <c r="D31" i="34"/>
  <c r="D30" i="34" s="1"/>
  <c r="D41" i="34" s="1"/>
  <c r="D43" i="34" s="1"/>
  <c r="D45" i="34" s="1"/>
  <c r="D46" i="34" s="1"/>
  <c r="D42" i="34"/>
  <c r="D32" i="33"/>
  <c r="D31" i="33" s="1"/>
  <c r="D41" i="33" s="1"/>
  <c r="D43" i="33" s="1"/>
  <c r="D45" i="33" s="1"/>
  <c r="D46" i="33" s="1"/>
  <c r="D32" i="23"/>
  <c r="D31" i="23" s="1"/>
  <c r="D41" i="23" s="1"/>
  <c r="D42" i="23"/>
  <c r="D31" i="24"/>
  <c r="D30" i="24" s="1"/>
  <c r="D42" i="24" s="1"/>
  <c r="D43" i="24"/>
  <c r="D32" i="25"/>
  <c r="D31" i="25" s="1"/>
  <c r="D41" i="25" s="1"/>
  <c r="D43" i="25" s="1"/>
  <c r="D45" i="25" s="1"/>
  <c r="D46" i="25" s="1"/>
  <c r="D33" i="26"/>
  <c r="D32" i="26" s="1"/>
  <c r="D41" i="26" s="1"/>
  <c r="D43" i="26" s="1"/>
  <c r="D45" i="26" s="1"/>
  <c r="D46" i="26" s="1"/>
  <c r="D42" i="26"/>
  <c r="D32" i="27"/>
  <c r="D31" i="27" s="1"/>
  <c r="D41" i="27" s="1"/>
  <c r="D43" i="27" s="1"/>
  <c r="D45" i="27" s="1"/>
  <c r="D46" i="27" s="1"/>
  <c r="D42" i="27"/>
  <c r="D31" i="28"/>
  <c r="D30" i="28" s="1"/>
  <c r="D41" i="28" s="1"/>
  <c r="D43" i="28" s="1"/>
  <c r="D45" i="28" s="1"/>
  <c r="D46" i="28" s="1"/>
  <c r="D42" i="28"/>
  <c r="D32" i="29"/>
  <c r="D31" i="29" s="1"/>
  <c r="D42" i="29" s="1"/>
  <c r="D44" i="29" s="1"/>
  <c r="D46" i="29" s="1"/>
  <c r="D47" i="29" s="1"/>
  <c r="D43" i="29"/>
  <c r="D32" i="30"/>
  <c r="D31" i="30" s="1"/>
  <c r="D41" i="30" s="1"/>
  <c r="D43" i="30" s="1"/>
  <c r="D45" i="30" s="1"/>
  <c r="D46" i="30" s="1"/>
  <c r="D42" i="30"/>
  <c r="D31" i="31"/>
  <c r="D30" i="31" s="1"/>
  <c r="D40" i="31" s="1"/>
  <c r="D42" i="31" s="1"/>
  <c r="D44" i="31" s="1"/>
  <c r="D45" i="31" s="1"/>
  <c r="D41" i="31"/>
  <c r="D33" i="32"/>
  <c r="D32" i="32" s="1"/>
  <c r="D42" i="32" s="1"/>
  <c r="D44" i="32" s="1"/>
  <c r="D46" i="32" s="1"/>
  <c r="D47" i="32" s="1"/>
  <c r="D43" i="32"/>
  <c r="D32" i="4"/>
  <c r="D31" i="4" s="1"/>
  <c r="D40" i="4" s="1"/>
  <c r="D42" i="4" s="1"/>
  <c r="D44" i="4" s="1"/>
  <c r="D45" i="4" s="1"/>
  <c r="D41" i="4"/>
  <c r="D31" i="13"/>
  <c r="D30" i="13" s="1"/>
  <c r="D41" i="13" s="1"/>
  <c r="D43" i="13" s="1"/>
  <c r="D45" i="13" s="1"/>
  <c r="D46" i="13" s="1"/>
  <c r="D42" i="13"/>
  <c r="D31" i="14"/>
  <c r="D30" i="14" s="1"/>
  <c r="D42" i="14" s="1"/>
  <c r="D44" i="14" s="1"/>
  <c r="D46" i="14" s="1"/>
  <c r="D47" i="14" s="1"/>
  <c r="D32" i="15"/>
  <c r="D31" i="15" s="1"/>
  <c r="D41" i="15" s="1"/>
  <c r="D43" i="15" s="1"/>
  <c r="D45" i="15" s="1"/>
  <c r="D46" i="15" s="1"/>
  <c r="E28" i="16"/>
  <c r="D33" i="16"/>
  <c r="D32" i="16" s="1"/>
  <c r="D43" i="16"/>
  <c r="D31" i="19"/>
  <c r="D30" i="19" s="1"/>
  <c r="D41" i="19" s="1"/>
  <c r="D42" i="19"/>
  <c r="D31" i="20"/>
  <c r="D30" i="20" s="1"/>
  <c r="D42" i="20" s="1"/>
  <c r="D43" i="20"/>
  <c r="D31" i="18"/>
  <c r="D30" i="18" s="1"/>
  <c r="D42" i="18" s="1"/>
  <c r="D43" i="18"/>
  <c r="D30" i="17"/>
  <c r="D29" i="17" s="1"/>
  <c r="D41" i="17" s="1"/>
  <c r="D42" i="17"/>
  <c r="D31" i="38"/>
  <c r="D30" i="38" s="1"/>
  <c r="D41" i="38" s="1"/>
  <c r="D43" i="38" s="1"/>
  <c r="D45" i="38" s="1"/>
  <c r="D46" i="38" s="1"/>
  <c r="D33" i="46"/>
  <c r="D32" i="46" s="1"/>
  <c r="D42" i="46" s="1"/>
  <c r="D44" i="46" s="1"/>
  <c r="D46" i="46" s="1"/>
  <c r="D47" i="46" s="1"/>
  <c r="D33" i="47"/>
  <c r="D32" i="47" s="1"/>
  <c r="D42" i="47" s="1"/>
  <c r="D43" i="47"/>
  <c r="D32" i="48"/>
  <c r="D31" i="48" s="1"/>
  <c r="D42" i="48" s="1"/>
  <c r="D43" i="48"/>
  <c r="D31" i="49"/>
  <c r="D30" i="49" s="1"/>
  <c r="D42" i="49" s="1"/>
  <c r="D44" i="49" s="1"/>
  <c r="D46" i="49" s="1"/>
  <c r="D47" i="49" s="1"/>
  <c r="D43" i="49"/>
  <c r="D31" i="50"/>
  <c r="D30" i="50" s="1"/>
  <c r="D40" i="50" s="1"/>
  <c r="D42" i="50" s="1"/>
  <c r="D44" i="50" s="1"/>
  <c r="D45" i="50" s="1"/>
  <c r="D41" i="50"/>
  <c r="D31" i="51"/>
  <c r="D30" i="51" s="1"/>
  <c r="D42" i="51" s="1"/>
  <c r="D44" i="51" s="1"/>
  <c r="D46" i="51" s="1"/>
  <c r="D47" i="51" s="1"/>
  <c r="D43" i="51"/>
  <c r="D31" i="52"/>
  <c r="D30" i="52" s="1"/>
  <c r="D40" i="52" s="1"/>
  <c r="D42" i="52" s="1"/>
  <c r="D44" i="52" s="1"/>
  <c r="D45" i="52" s="1"/>
  <c r="D41" i="52"/>
  <c r="D31" i="53"/>
  <c r="D30" i="53" s="1"/>
  <c r="D40" i="53" s="1"/>
  <c r="D42" i="53" s="1"/>
  <c r="D44" i="53" s="1"/>
  <c r="D45" i="53" s="1"/>
  <c r="D41" i="53"/>
  <c r="D41" i="45"/>
  <c r="D31" i="45"/>
  <c r="D30" i="45" s="1"/>
  <c r="D42" i="45"/>
  <c r="D31" i="39"/>
  <c r="D30" i="39" s="1"/>
  <c r="D40" i="39" s="1"/>
  <c r="D41" i="39"/>
  <c r="D31" i="40"/>
  <c r="D30" i="40" s="1"/>
  <c r="D41" i="40" s="1"/>
  <c r="D43" i="40" s="1"/>
  <c r="D45" i="40" s="1"/>
  <c r="D46" i="40" s="1"/>
  <c r="D32" i="41"/>
  <c r="D31" i="41" s="1"/>
  <c r="D42" i="41" s="1"/>
  <c r="D44" i="41" s="1"/>
  <c r="D46" i="41" s="1"/>
  <c r="D47" i="41" s="1"/>
  <c r="D43" i="41"/>
  <c r="D31" i="42"/>
  <c r="D30" i="42" s="1"/>
  <c r="D43" i="42" s="1"/>
  <c r="D45" i="42" s="1"/>
  <c r="D47" i="42" s="1"/>
  <c r="D48" i="42" s="1"/>
  <c r="D44" i="42"/>
  <c r="D32" i="43"/>
  <c r="D31" i="43" s="1"/>
  <c r="D43" i="43" s="1"/>
  <c r="D45" i="43" s="1"/>
  <c r="D47" i="43" s="1"/>
  <c r="D48" i="43" s="1"/>
  <c r="D44" i="43"/>
  <c r="D31" i="44"/>
  <c r="D30" i="44" s="1"/>
  <c r="D40" i="44" s="1"/>
  <c r="D42" i="44" s="1"/>
  <c r="D44" i="44" s="1"/>
  <c r="D45" i="44" s="1"/>
  <c r="D41" i="44"/>
  <c r="D31" i="10"/>
  <c r="D30" i="10" s="1"/>
  <c r="D42" i="10" s="1"/>
  <c r="D44" i="10" s="1"/>
  <c r="D46" i="10" s="1"/>
  <c r="D47" i="10" s="1"/>
  <c r="D43" i="10"/>
  <c r="D31" i="12"/>
  <c r="D30" i="12" s="1"/>
  <c r="D41" i="12" s="1"/>
  <c r="D43" i="12" s="1"/>
  <c r="D45" i="12" s="1"/>
  <c r="D46" i="12" s="1"/>
  <c r="D42" i="12"/>
  <c r="D31" i="11"/>
  <c r="D30" i="11" s="1"/>
  <c r="D42" i="11" s="1"/>
  <c r="D44" i="11" s="1"/>
  <c r="D46" i="11" s="1"/>
  <c r="D47" i="11" s="1"/>
  <c r="D43" i="11"/>
  <c r="D31" i="8"/>
  <c r="D30" i="8" s="1"/>
  <c r="D41" i="8" s="1"/>
  <c r="D43" i="8" s="1"/>
  <c r="D45" i="8" s="1"/>
  <c r="D46" i="8" s="1"/>
  <c r="D42" i="8"/>
  <c r="D30" i="9"/>
  <c r="D29" i="9" s="1"/>
  <c r="D40" i="9" s="1"/>
  <c r="D42" i="9" s="1"/>
  <c r="D44" i="9" s="1"/>
  <c r="D45" i="9" s="1"/>
  <c r="D41" i="9"/>
  <c r="D31" i="6"/>
  <c r="D30" i="6" s="1"/>
  <c r="D41" i="6" s="1"/>
  <c r="D43" i="6" s="1"/>
  <c r="D45" i="6" s="1"/>
  <c r="D46" i="6" s="1"/>
  <c r="D42" i="6"/>
  <c r="D31" i="5"/>
  <c r="D30" i="5" s="1"/>
  <c r="D42" i="5" s="1"/>
  <c r="D44" i="5" s="1"/>
  <c r="D46" i="5" s="1"/>
  <c r="D47" i="5" s="1"/>
  <c r="E32" i="3"/>
  <c r="E31" i="3" s="1"/>
  <c r="E42" i="3" s="1"/>
  <c r="E43" i="3"/>
  <c r="D32" i="2"/>
  <c r="D31" i="2" s="1"/>
  <c r="D41" i="2" s="1"/>
  <c r="D42" i="2"/>
  <c r="D43" i="2" l="1"/>
  <c r="D45" i="2" s="1"/>
  <c r="D46" i="2" s="1"/>
  <c r="E44" i="3"/>
  <c r="E46" i="3" s="1"/>
  <c r="E47" i="3" s="1"/>
  <c r="D42" i="39"/>
  <c r="D44" i="39" s="1"/>
  <c r="D45" i="39" s="1"/>
  <c r="D43" i="17"/>
  <c r="D45" i="17" s="1"/>
  <c r="D46" i="17" s="1"/>
  <c r="D44" i="18"/>
  <c r="D46" i="18" s="1"/>
  <c r="D47" i="18" s="1"/>
  <c r="D44" i="20"/>
  <c r="D46" i="20" s="1"/>
  <c r="D47" i="20" s="1"/>
  <c r="D44" i="24"/>
  <c r="D46" i="24" s="1"/>
  <c r="D47" i="24" s="1"/>
  <c r="D43" i="23"/>
  <c r="D45" i="23" s="1"/>
  <c r="D46" i="23" s="1"/>
  <c r="D43" i="36"/>
  <c r="D45" i="36" s="1"/>
  <c r="D46" i="36" s="1"/>
  <c r="D43" i="22"/>
  <c r="D45" i="22" s="1"/>
  <c r="D46" i="22" s="1"/>
  <c r="D47" i="61"/>
  <c r="D46" i="61"/>
  <c r="D47" i="56"/>
  <c r="D46" i="56"/>
  <c r="D42" i="16"/>
  <c r="D44" i="16" s="1"/>
  <c r="D46" i="35"/>
  <c r="D47" i="35" s="1"/>
  <c r="D43" i="37"/>
  <c r="D31" i="37"/>
  <c r="D30" i="37" s="1"/>
  <c r="D42" i="37" s="1"/>
  <c r="D44" i="37" s="1"/>
  <c r="D46" i="37" s="1"/>
  <c r="D47" i="37" s="1"/>
  <c r="D43" i="19"/>
  <c r="D44" i="47"/>
  <c r="D46" i="47" s="1"/>
  <c r="D47" i="47" s="1"/>
  <c r="D44" i="48"/>
  <c r="D46" i="48" s="1"/>
  <c r="D47" i="48" s="1"/>
  <c r="D43" i="45"/>
  <c r="D45" i="45" s="1"/>
  <c r="D46" i="45" s="1"/>
  <c r="D45" i="19" l="1"/>
  <c r="D46" i="19" s="1"/>
  <c r="D46" i="16"/>
  <c r="D47" i="16" s="1"/>
</calcChain>
</file>

<file path=xl/sharedStrings.xml><?xml version="1.0" encoding="utf-8"?>
<sst xmlns="http://schemas.openxmlformats.org/spreadsheetml/2006/main" count="3296" uniqueCount="199">
  <si>
    <t xml:space="preserve">                                                      АНАЛИЗ</t>
  </si>
  <si>
    <t xml:space="preserve">         расходов на содержание и обслуживание жилого фонда по ООО "ДУ-8"</t>
  </si>
  <si>
    <t xml:space="preserve">                       за 1 полугодия  2011 г. жилого дома по ул. Пластунская , 179А</t>
  </si>
  <si>
    <t xml:space="preserve">                                    </t>
  </si>
  <si>
    <t xml:space="preserve">Наименование </t>
  </si>
  <si>
    <t>Ед.</t>
  </si>
  <si>
    <t>Факт</t>
  </si>
  <si>
    <t>статей</t>
  </si>
  <si>
    <t>изм.</t>
  </si>
  <si>
    <t>1 полугодие 2011г.</t>
  </si>
  <si>
    <t>Остаток средств</t>
  </si>
  <si>
    <t>Обслуживаемая площадь</t>
  </si>
  <si>
    <t>м2</t>
  </si>
  <si>
    <t>Оплачиваемая площадь</t>
  </si>
  <si>
    <t>Начислено квартплаты</t>
  </si>
  <si>
    <t>руб.</t>
  </si>
  <si>
    <t>Доходы</t>
  </si>
  <si>
    <t>Оплата за содержание</t>
  </si>
  <si>
    <t>Текущий ремонт</t>
  </si>
  <si>
    <t>Итого доходы:</t>
  </si>
  <si>
    <t>РАСХОДЫ:</t>
  </si>
  <si>
    <t>отчисл.</t>
  </si>
  <si>
    <t>I</t>
  </si>
  <si>
    <t>Обслуживающий персонал:</t>
  </si>
  <si>
    <t>Оплата труда :</t>
  </si>
  <si>
    <t>дворник</t>
  </si>
  <si>
    <t>уборщик лест.клеток</t>
  </si>
  <si>
    <t>уборщик мусоропров.</t>
  </si>
  <si>
    <t>Материалы</t>
  </si>
  <si>
    <t>II</t>
  </si>
  <si>
    <t>Служба эксплуатации</t>
  </si>
  <si>
    <t>оплата труда рабочих(сант.элект.плотн.)</t>
  </si>
  <si>
    <t>III</t>
  </si>
  <si>
    <t>Расходы по договорам:</t>
  </si>
  <si>
    <t>оплата услуг (Банк,почта)</t>
  </si>
  <si>
    <t>дезинсекция</t>
  </si>
  <si>
    <t>аварийная служба</t>
  </si>
  <si>
    <t>ремонт оборудования</t>
  </si>
  <si>
    <t>покупка оборудования</t>
  </si>
  <si>
    <t xml:space="preserve">подряд.работы </t>
  </si>
  <si>
    <t>тех.обслуж.приборов</t>
  </si>
  <si>
    <t>транспортные расходы</t>
  </si>
  <si>
    <t>Общеэксплуатационные расходы</t>
  </si>
  <si>
    <t>зарплата АУП</t>
  </si>
  <si>
    <t>общехозяйственные расходы</t>
  </si>
  <si>
    <t>Всего расходов по эксплуатации</t>
  </si>
  <si>
    <t>Налог 6%</t>
  </si>
  <si>
    <t>Всего расходов по себестоимости</t>
  </si>
  <si>
    <t>Финансовый результат за 2 полугодие</t>
  </si>
  <si>
    <t>Фин. результат с нарастающим итогом</t>
  </si>
  <si>
    <t>Директор ООО "ДУ-8"</t>
  </si>
  <si>
    <t>Галиулин Д.Г.</t>
  </si>
  <si>
    <t>Гл.бухгалтер</t>
  </si>
  <si>
    <t>Аганов В.М.</t>
  </si>
  <si>
    <t xml:space="preserve">                       за 1 полугодие  2011 г. жилого дома по ул. Вишневая , 15.</t>
  </si>
  <si>
    <t xml:space="preserve">                                           </t>
  </si>
  <si>
    <t>изм</t>
  </si>
  <si>
    <t xml:space="preserve"> 1 полугодие  2011г.</t>
  </si>
  <si>
    <t>поверка приборов учета</t>
  </si>
  <si>
    <t>Финансовый результат за 1 полугодие</t>
  </si>
  <si>
    <t>измер.</t>
  </si>
  <si>
    <t>1 полугодие  2011г.</t>
  </si>
  <si>
    <t>метр2</t>
  </si>
  <si>
    <t>руб</t>
  </si>
  <si>
    <t>Прочие доходы(аренда)</t>
  </si>
  <si>
    <t>ремонт канализации</t>
  </si>
  <si>
    <t>измерение эл.напряжения</t>
  </si>
  <si>
    <t>зарплата  АУП</t>
  </si>
  <si>
    <t xml:space="preserve"> расходов на содержание и обслуживание жилого фонда по ООО "ДУ-8"</t>
  </si>
  <si>
    <t xml:space="preserve">             за  1 полугодие  2011 г. жилого дома по ул.Макаренко,1</t>
  </si>
  <si>
    <t xml:space="preserve">                       за 1 полугодие  2011 г. жилого дома по ул.Абрикосовая, 18</t>
  </si>
  <si>
    <t xml:space="preserve">                                              </t>
  </si>
  <si>
    <t>за 1 полугодие 2011г.</t>
  </si>
  <si>
    <t xml:space="preserve">Остаток средств </t>
  </si>
  <si>
    <t>дератизация</t>
  </si>
  <si>
    <t xml:space="preserve">                       за 1  полугодие  2011 г. жилого дома по ул.Абрикосовая, 25</t>
  </si>
  <si>
    <t>отчис.</t>
  </si>
  <si>
    <t>подряд.работы (уборка тер.)</t>
  </si>
  <si>
    <t>зарплпта АУП</t>
  </si>
  <si>
    <t xml:space="preserve">                                        </t>
  </si>
  <si>
    <t xml:space="preserve">              за 1 полугодие  2011 г. жилого дома по ул. Вишневая , 4.</t>
  </si>
  <si>
    <t xml:space="preserve"> за 1 полугодие  2011г.</t>
  </si>
  <si>
    <t>Подготовка к отопительному сезону</t>
  </si>
  <si>
    <t>измерение эл.напряженичя</t>
  </si>
  <si>
    <t>подряд.работы (гермет. швов)</t>
  </si>
  <si>
    <t xml:space="preserve">        за  1 полугодие  2011 г. жилого дома по ул. Вишневая , 10.</t>
  </si>
  <si>
    <t>Остаток сроедств</t>
  </si>
  <si>
    <t>ремонт подъездов</t>
  </si>
  <si>
    <t xml:space="preserve">        за 1 полугодие  2011 г. жилого дома по ул. Вишневая ,12.</t>
  </si>
  <si>
    <t>Подготовка к отопит.сезону</t>
  </si>
  <si>
    <t>расходов на содержание и обслуживание жилого фонда по ООО "ДУ-8"</t>
  </si>
  <si>
    <t xml:space="preserve">          за 1 полугодие  2011 г. жилого дома по ул. Вишневая ,13.</t>
  </si>
  <si>
    <t xml:space="preserve"> 1 полугодие 2011г.</t>
  </si>
  <si>
    <t xml:space="preserve">    расходов на содержание и обслуживание жилого фонда по ООО "ДУ-8"</t>
  </si>
  <si>
    <t xml:space="preserve">               за 1 полугодие  2011 г. жилого дома по ул. Вишневая , 17.</t>
  </si>
  <si>
    <t xml:space="preserve">                       за 1 полугодие  2011 г. жилого дома по ул. Вишневая , 18.</t>
  </si>
  <si>
    <t xml:space="preserve">                                             </t>
  </si>
  <si>
    <t>подрядн.работы (герм.швов)</t>
  </si>
  <si>
    <t xml:space="preserve">                       за 1 полугодие  2011 г. жилого дома по ул. Вишневая , 19.</t>
  </si>
  <si>
    <t>1 полугодие 2011.</t>
  </si>
  <si>
    <t>Остаток  средств</t>
  </si>
  <si>
    <t>ООО "Скартел"</t>
  </si>
  <si>
    <t>подряд.раб.(герм.швов,кровля)</t>
  </si>
  <si>
    <t>точка оплаты</t>
  </si>
  <si>
    <t>Финансовый результат за 1  полугодие</t>
  </si>
  <si>
    <t xml:space="preserve">                       за 1 полугодие  2011 г. жилого дома по ул. Вишневая , 20.</t>
  </si>
  <si>
    <t xml:space="preserve">                                                </t>
  </si>
  <si>
    <t xml:space="preserve">                       за 1 полугодие  2011 г. жилого дома по ул. Вишневая , 21.</t>
  </si>
  <si>
    <t xml:space="preserve">  расходов на содержание и обслуживание жилого фонда по ООО "ДУ-8"</t>
  </si>
  <si>
    <t xml:space="preserve">            за  1 полугодие  2011 г. жилого дома по ул. Вишневая , 22.</t>
  </si>
  <si>
    <t xml:space="preserve">                       за 1 полугодие  2011 г. жилого дома по ул. Вишневая , 23.</t>
  </si>
  <si>
    <t xml:space="preserve">                                            </t>
  </si>
  <si>
    <t>за 1 полугодие  2011 г. жилого дома по ул. Вишневая , 24.</t>
  </si>
  <si>
    <t xml:space="preserve">                 за 1 полугодие 2011г. жилого дома по ул.Вишневая , 25.</t>
  </si>
  <si>
    <t>Начисление квартплаты</t>
  </si>
  <si>
    <t xml:space="preserve">                       за 1 полугодие  2011 г. жилого дома по ул. Вишневая , 26.</t>
  </si>
  <si>
    <t xml:space="preserve">                       за 1 полугодие  2011 г. жилого дома по ул. Вишневая , 27.</t>
  </si>
  <si>
    <t xml:space="preserve">                       за  1 полугодие 2011 г. жилого дома по ул. Вишневая , 28.</t>
  </si>
  <si>
    <t>покос травы</t>
  </si>
  <si>
    <t xml:space="preserve">                       за 1 полугодие 2011 г. жилого дома по ул. Вишневая , 30.</t>
  </si>
  <si>
    <t xml:space="preserve">                       за 1 полугодие  2011 г. жилого дома по ул. Вишневая , 32.</t>
  </si>
  <si>
    <t xml:space="preserve">                                               </t>
  </si>
  <si>
    <t xml:space="preserve">                       за 1 полугодие  2011 г. жилого дома по ул. Вишневая , 34.</t>
  </si>
  <si>
    <t xml:space="preserve">                       за  1 полугодие 2011 г. жилого дома по ул. Вишневая , 36.</t>
  </si>
  <si>
    <t xml:space="preserve">                       за  1 полугодиел 2011 г. жилого дома по ул.Макаренко,19</t>
  </si>
  <si>
    <t>1 пол.  2011г.</t>
  </si>
  <si>
    <t>подряд.работы (герм.швов)</t>
  </si>
  <si>
    <t xml:space="preserve">              за 1 полугодие  2011 г. жилого дома по ул.Макаренко,28</t>
  </si>
  <si>
    <t xml:space="preserve">                       за 1 полугодие  2011 г. жилого дома по ул.Макаренко,30</t>
  </si>
  <si>
    <t xml:space="preserve">                       за  1 полугодие 2011 г. жилого дома по ул.Макаренко,39</t>
  </si>
  <si>
    <t xml:space="preserve">  1 полугодие  2011г.</t>
  </si>
  <si>
    <t>уборка территории</t>
  </si>
  <si>
    <t xml:space="preserve">                       за  1 полугодие  2011 г. жилого дома по ул.Макаренко,41</t>
  </si>
  <si>
    <t>Финансовый результат за 1 полугод.</t>
  </si>
  <si>
    <t>Фин.результат с нарастающим итогом</t>
  </si>
  <si>
    <t>Директор ООО"ДУ-8"</t>
  </si>
  <si>
    <t>Гл.бухгалтер                                                                          Аганов В.М.</t>
  </si>
  <si>
    <t xml:space="preserve">                за  1 полугодие  2011 г. жилого дома по ул.Макаренко,43</t>
  </si>
  <si>
    <t xml:space="preserve">                       за  1 полугодие  2011 г. жилого дома по ул.Макаренко,45</t>
  </si>
  <si>
    <t>1 полугодие  2011 г.</t>
  </si>
  <si>
    <t>эл.энергия</t>
  </si>
  <si>
    <t xml:space="preserve">                       за  1 полугодие   2011 г. жилого дома по ул.Макаренко,47</t>
  </si>
  <si>
    <t>Финансовый результат за 1 квартал</t>
  </si>
  <si>
    <t xml:space="preserve">                       за 1 полугодие  2011 г. жилого дома по ул. Труда, 3</t>
  </si>
  <si>
    <t xml:space="preserve">                                     </t>
  </si>
  <si>
    <t xml:space="preserve">                       за 1 полугодие  2011 г. жилого дома по ул. Труда, 4</t>
  </si>
  <si>
    <t>Устранение засоров</t>
  </si>
  <si>
    <t xml:space="preserve">                       за 1 полугодие  2011 г. жилого дома по ул. Труда, 7</t>
  </si>
  <si>
    <t>Галиулин Д,Г,</t>
  </si>
  <si>
    <t xml:space="preserve">                       за 1 полугодие  2011 г. жилого дома по ул. Труда, 8</t>
  </si>
  <si>
    <t xml:space="preserve">                                   </t>
  </si>
  <si>
    <t xml:space="preserve">                       за 1 полугодие 2011 г. жилого дома по ул. Труда, 9</t>
  </si>
  <si>
    <t xml:space="preserve">                       за 1 полугодие  2011 г. жилого дома по ул. Труда, 10</t>
  </si>
  <si>
    <t>подряд.работы (забор)</t>
  </si>
  <si>
    <t xml:space="preserve">                       за 1 полугодие  2011 г. жилого дома по ул. Труда, 12</t>
  </si>
  <si>
    <t xml:space="preserve">                       за 1 полугодие  2011 г. жилого дома по ул. Труда, 13</t>
  </si>
  <si>
    <t xml:space="preserve"> 1 полугодие 2011 г.</t>
  </si>
  <si>
    <t xml:space="preserve">                       за 1 полугодие  2011 г. жилого дома по ул. Труда, 14</t>
  </si>
  <si>
    <t xml:space="preserve">                                  </t>
  </si>
  <si>
    <t xml:space="preserve">                       за 1 полугодие  2011 г. жилого дома по ул. Труда, 15</t>
  </si>
  <si>
    <t xml:space="preserve">                                       </t>
  </si>
  <si>
    <t xml:space="preserve">                       за 1 полугодие 2011 г. жилого дома по ул. Труда, 16</t>
  </si>
  <si>
    <t xml:space="preserve">                       за 1 полугодие  2011 г. жилого дома по ул. Труда, 17/1</t>
  </si>
  <si>
    <t xml:space="preserve">                       за 1 полугодие  2011 г. жилого дома по ул. Труда, 17/2</t>
  </si>
  <si>
    <t xml:space="preserve">                       за 1 полугодие 2011 г. жилого дома по ул. Труда, 18</t>
  </si>
  <si>
    <t>тех.обслуживание приборов</t>
  </si>
  <si>
    <t xml:space="preserve">                       за 1 полугодие  2011 г. жилого дома по ул. Труда, 21</t>
  </si>
  <si>
    <t xml:space="preserve">                       за 1 полугодие 2011 г. жилого дома по ул. Труда, 23</t>
  </si>
  <si>
    <t xml:space="preserve"> 1 полуг. 2011г.</t>
  </si>
  <si>
    <t xml:space="preserve">                       за 1 полугодие  2011 г. жилого дома по ул. Труда,27.</t>
  </si>
  <si>
    <t xml:space="preserve">                       за 1 полугодие  2011 г. жилого дома по ул. Пластунская , 100.</t>
  </si>
  <si>
    <t>Остаток средстьв</t>
  </si>
  <si>
    <t xml:space="preserve">                       за 1 полугодие  2011 г. жилого дома по ул. Пластунская , 181.</t>
  </si>
  <si>
    <t>за 1 полугодие2011г.</t>
  </si>
  <si>
    <t xml:space="preserve">                       за 1 полугодие  2011 г. жилого дома по ул.Пластунская , 181а</t>
  </si>
  <si>
    <t>за 1 полугодие  2011г.</t>
  </si>
  <si>
    <t>благоустройство тер-ии</t>
  </si>
  <si>
    <t>IV</t>
  </si>
  <si>
    <t>Зарплата АУП</t>
  </si>
  <si>
    <t>V</t>
  </si>
  <si>
    <t>VI</t>
  </si>
  <si>
    <t>VII</t>
  </si>
  <si>
    <t xml:space="preserve">Всего расходов по себестоимости </t>
  </si>
  <si>
    <t>VIII</t>
  </si>
  <si>
    <t>IX</t>
  </si>
  <si>
    <t xml:space="preserve">                       за  1 полугодие 2011 г. жилого дома по ул. Пластунская , 183.</t>
  </si>
  <si>
    <t xml:space="preserve">                                      </t>
  </si>
  <si>
    <t>Прочие доходы (скартел)</t>
  </si>
  <si>
    <t>ремонт подъезда</t>
  </si>
  <si>
    <t>точка учета</t>
  </si>
  <si>
    <t xml:space="preserve">                       за 1 полугодие  2011 г. жилого дома по ул. Пластунская , 185.</t>
  </si>
  <si>
    <t xml:space="preserve">                       за 1 полугодие   2011 г. жилого дома по ул. Пластунская , 187.</t>
  </si>
  <si>
    <t xml:space="preserve">                                          </t>
  </si>
  <si>
    <t>Ед,</t>
  </si>
  <si>
    <t xml:space="preserve">                       за 1 полугодие  2011 г. жилого дома по ул. Пластунская , 191.</t>
  </si>
  <si>
    <t>горгаз</t>
  </si>
  <si>
    <t xml:space="preserve">       за 1 полугодие   2011 г. жилого дома по ул. 60 лет ВЛКСМ,10</t>
  </si>
  <si>
    <t xml:space="preserve"> 1 полугод. 2011г.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</si>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</sst>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58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/>
    <xf numFmtId="2" fontId="3" fillId="0" borderId="10" xfId="0" applyNumberFormat="1" applyFont="1" applyBorder="1"/>
    <xf numFmtId="0" fontId="3" fillId="0" borderId="10" xfId="0" applyFont="1" applyBorder="1"/>
    <xf numFmtId="0" fontId="4" fillId="0" borderId="10" xfId="2" applyBorder="1"/>
    <xf numFmtId="0" fontId="2" fillId="0" borderId="10" xfId="2" applyFont="1" applyBorder="1" applyAlignment="1">
      <alignment horizontal="center"/>
    </xf>
    <xf numFmtId="0" fontId="3" fillId="0" borderId="10" xfId="2" applyFont="1" applyBorder="1"/>
    <xf numFmtId="0" fontId="4" fillId="0" borderId="10" xfId="3" applyBorder="1"/>
    <xf numFmtId="0" fontId="4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2" fontId="3" fillId="0" borderId="10" xfId="2" applyNumberFormat="1" applyFont="1" applyBorder="1"/>
    <xf numFmtId="0" fontId="4" fillId="0" borderId="10" xfId="2" applyFont="1" applyBorder="1"/>
    <xf numFmtId="2" fontId="4" fillId="0" borderId="10" xfId="2" applyNumberFormat="1" applyBorder="1"/>
    <xf numFmtId="2" fontId="4" fillId="0" borderId="10" xfId="1" applyNumberFormat="1" applyFont="1" applyBorder="1"/>
    <xf numFmtId="0" fontId="3" fillId="0" borderId="10" xfId="2" applyFont="1" applyBorder="1" applyAlignment="1">
      <alignment horizontal="left"/>
    </xf>
    <xf numFmtId="0" fontId="5" fillId="0" borderId="10" xfId="2" applyFont="1" applyBorder="1"/>
    <xf numFmtId="164" fontId="4" fillId="0" borderId="10" xfId="2" applyNumberFormat="1" applyBorder="1"/>
    <xf numFmtId="2" fontId="5" fillId="0" borderId="10" xfId="2" applyNumberFormat="1" applyFont="1" applyBorder="1"/>
    <xf numFmtId="0" fontId="4" fillId="0" borderId="0" xfId="2" applyBorder="1"/>
    <xf numFmtId="0" fontId="3" fillId="0" borderId="0" xfId="2" applyFont="1" applyBorder="1"/>
    <xf numFmtId="2" fontId="3" fillId="0" borderId="0" xfId="2" applyNumberFormat="1" applyFont="1" applyBorder="1"/>
    <xf numFmtId="0" fontId="4" fillId="0" borderId="0" xfId="2"/>
    <xf numFmtId="0" fontId="4" fillId="0" borderId="0" xfId="4"/>
    <xf numFmtId="0" fontId="2" fillId="0" borderId="0" xfId="4" applyFont="1"/>
    <xf numFmtId="0" fontId="4" fillId="0" borderId="0" xfId="4" applyFont="1"/>
    <xf numFmtId="0" fontId="4" fillId="0" borderId="11" xfId="4" applyBorder="1" applyAlignment="1">
      <alignment horizontal="center"/>
    </xf>
    <xf numFmtId="0" fontId="4" fillId="0" borderId="11" xfId="4" applyBorder="1"/>
    <xf numFmtId="0" fontId="4" fillId="0" borderId="4" xfId="4" applyBorder="1"/>
    <xf numFmtId="0" fontId="4" fillId="0" borderId="2" xfId="4" applyBorder="1"/>
    <xf numFmtId="0" fontId="4" fillId="0" borderId="6" xfId="4" applyBorder="1"/>
    <xf numFmtId="0" fontId="2" fillId="0" borderId="4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4" fillId="0" borderId="4" xfId="4" applyFont="1" applyBorder="1"/>
    <xf numFmtId="0" fontId="4" fillId="0" borderId="7" xfId="4" applyBorder="1"/>
    <xf numFmtId="0" fontId="4" fillId="0" borderId="8" xfId="4" applyBorder="1"/>
    <xf numFmtId="0" fontId="4" fillId="0" borderId="9" xfId="4" applyBorder="1"/>
    <xf numFmtId="0" fontId="4" fillId="0" borderId="7" xfId="4" applyBorder="1" applyAlignment="1">
      <alignment horizontal="center"/>
    </xf>
    <xf numFmtId="0" fontId="4" fillId="0" borderId="10" xfId="4" applyBorder="1"/>
    <xf numFmtId="0" fontId="4" fillId="0" borderId="10" xfId="4" applyBorder="1" applyAlignment="1">
      <alignment horizontal="center"/>
    </xf>
    <xf numFmtId="0" fontId="3" fillId="0" borderId="10" xfId="4" applyFont="1" applyBorder="1" applyAlignment="1">
      <alignment horizontal="center"/>
    </xf>
    <xf numFmtId="0" fontId="3" fillId="0" borderId="10" xfId="4" applyFont="1" applyBorder="1"/>
    <xf numFmtId="0" fontId="2" fillId="0" borderId="10" xfId="4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2" applyFont="1"/>
    <xf numFmtId="0" fontId="4" fillId="0" borderId="0" xfId="2" applyFont="1"/>
    <xf numFmtId="0" fontId="4" fillId="0" borderId="11" xfId="2" applyBorder="1" applyAlignment="1">
      <alignment horizontal="center"/>
    </xf>
    <xf numFmtId="0" fontId="4" fillId="0" borderId="11" xfId="2" applyBorder="1"/>
    <xf numFmtId="0" fontId="4" fillId="0" borderId="1" xfId="2" applyBorder="1"/>
    <xf numFmtId="0" fontId="4" fillId="0" borderId="6" xfId="2" applyBorder="1"/>
    <xf numFmtId="0" fontId="4" fillId="0" borderId="4" xfId="2" applyBorder="1"/>
    <xf numFmtId="0" fontId="2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4" fillId="0" borderId="4" xfId="2" applyFont="1" applyBorder="1"/>
    <xf numFmtId="0" fontId="4" fillId="0" borderId="7" xfId="2" applyBorder="1"/>
    <xf numFmtId="0" fontId="4" fillId="0" borderId="8" xfId="2" applyBorder="1"/>
    <xf numFmtId="0" fontId="4" fillId="0" borderId="9" xfId="2" applyBorder="1"/>
    <xf numFmtId="0" fontId="3" fillId="0" borderId="7" xfId="2" applyFont="1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0" xfId="5"/>
    <xf numFmtId="0" fontId="2" fillId="0" borderId="0" xfId="5" applyFont="1"/>
    <xf numFmtId="0" fontId="5" fillId="0" borderId="0" xfId="5" applyFont="1"/>
    <xf numFmtId="0" fontId="4" fillId="0" borderId="1" xfId="5" applyBorder="1"/>
    <xf numFmtId="0" fontId="4" fillId="0" borderId="2" xfId="5" applyBorder="1"/>
    <xf numFmtId="0" fontId="4" fillId="0" borderId="3" xfId="5" applyBorder="1"/>
    <xf numFmtId="0" fontId="4" fillId="0" borderId="4" xfId="5" applyBorder="1"/>
    <xf numFmtId="0" fontId="2" fillId="0" borderId="4" xfId="5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0" fontId="4" fillId="0" borderId="4" xfId="5" applyFont="1" applyBorder="1"/>
    <xf numFmtId="0" fontId="4" fillId="0" borderId="7" xfId="5" applyBorder="1"/>
    <xf numFmtId="0" fontId="4" fillId="0" borderId="8" xfId="5" applyBorder="1"/>
    <xf numFmtId="0" fontId="4" fillId="0" borderId="9" xfId="5" applyBorder="1"/>
    <xf numFmtId="0" fontId="4" fillId="0" borderId="7" xfId="5" applyBorder="1" applyAlignment="1">
      <alignment horizontal="center"/>
    </xf>
    <xf numFmtId="0" fontId="4" fillId="0" borderId="10" xfId="5" applyBorder="1"/>
    <xf numFmtId="0" fontId="4" fillId="0" borderId="10" xfId="5" applyBorder="1" applyAlignment="1">
      <alignment horizontal="center"/>
    </xf>
    <xf numFmtId="0" fontId="3" fillId="0" borderId="10" xfId="5" applyFont="1" applyBorder="1" applyAlignment="1">
      <alignment horizontal="center"/>
    </xf>
    <xf numFmtId="0" fontId="2" fillId="0" borderId="10" xfId="5" applyFont="1" applyBorder="1" applyAlignment="1">
      <alignment horizontal="center"/>
    </xf>
    <xf numFmtId="0" fontId="3" fillId="0" borderId="10" xfId="5" applyFont="1" applyBorder="1"/>
    <xf numFmtId="0" fontId="4" fillId="0" borderId="0" xfId="3"/>
    <xf numFmtId="0" fontId="2" fillId="0" borderId="0" xfId="3" applyFont="1"/>
    <xf numFmtId="0" fontId="5" fillId="0" borderId="0" xfId="3" applyFont="1"/>
    <xf numFmtId="0" fontId="4" fillId="0" borderId="0" xfId="3" applyBorder="1" applyAlignment="1">
      <alignment horizontal="center"/>
    </xf>
    <xf numFmtId="0" fontId="4" fillId="0" borderId="11" xfId="3" applyBorder="1"/>
    <xf numFmtId="0" fontId="4" fillId="0" borderId="1" xfId="3" applyBorder="1"/>
    <xf numFmtId="0" fontId="4" fillId="0" borderId="2" xfId="3" applyBorder="1"/>
    <xf numFmtId="0" fontId="4" fillId="0" borderId="6" xfId="3" applyBorder="1"/>
    <xf numFmtId="0" fontId="4" fillId="0" borderId="4" xfId="3" applyBorder="1"/>
    <xf numFmtId="0" fontId="2" fillId="0" borderId="4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4" xfId="3" applyFont="1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7" xfId="3" applyBorder="1" applyAlignment="1">
      <alignment horizontal="center"/>
    </xf>
    <xf numFmtId="0" fontId="4" fillId="0" borderId="10" xfId="3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3" fillId="0" borderId="10" xfId="3" applyFont="1" applyBorder="1"/>
    <xf numFmtId="0" fontId="4" fillId="0" borderId="0" xfId="6"/>
    <xf numFmtId="0" fontId="2" fillId="0" borderId="0" xfId="6" applyFont="1"/>
    <xf numFmtId="0" fontId="4" fillId="0" borderId="0" xfId="6" applyFont="1"/>
    <xf numFmtId="0" fontId="4" fillId="0" borderId="11" xfId="6" applyBorder="1" applyAlignment="1">
      <alignment horizontal="center"/>
    </xf>
    <xf numFmtId="0" fontId="4" fillId="0" borderId="11" xfId="6" applyBorder="1"/>
    <xf numFmtId="0" fontId="4" fillId="0" borderId="4" xfId="6" applyBorder="1"/>
    <xf numFmtId="0" fontId="4" fillId="0" borderId="2" xfId="6" applyBorder="1"/>
    <xf numFmtId="0" fontId="4" fillId="0" borderId="6" xfId="6" applyBorder="1"/>
    <xf numFmtId="0" fontId="2" fillId="0" borderId="4" xfId="6" applyFont="1" applyBorder="1" applyAlignment="1">
      <alignment horizontal="center"/>
    </xf>
    <xf numFmtId="0" fontId="3" fillId="0" borderId="4" xfId="6" applyFont="1" applyBorder="1" applyAlignment="1">
      <alignment horizontal="center"/>
    </xf>
    <xf numFmtId="0" fontId="4" fillId="0" borderId="4" xfId="6" applyFont="1" applyBorder="1"/>
    <xf numFmtId="0" fontId="4" fillId="0" borderId="7" xfId="6" applyBorder="1"/>
    <xf numFmtId="0" fontId="4" fillId="0" borderId="8" xfId="6" applyBorder="1"/>
    <xf numFmtId="0" fontId="4" fillId="0" borderId="9" xfId="6" applyBorder="1"/>
    <xf numFmtId="0" fontId="4" fillId="0" borderId="7" xfId="6" applyBorder="1" applyAlignment="1">
      <alignment horizontal="center"/>
    </xf>
    <xf numFmtId="0" fontId="4" fillId="0" borderId="10" xfId="6" applyBorder="1"/>
    <xf numFmtId="0" fontId="4" fillId="0" borderId="10" xfId="6" applyBorder="1" applyAlignment="1">
      <alignment horizontal="center"/>
    </xf>
    <xf numFmtId="0" fontId="3" fillId="0" borderId="10" xfId="6" applyFont="1" applyBorder="1" applyAlignment="1">
      <alignment horizontal="center"/>
    </xf>
    <xf numFmtId="0" fontId="2" fillId="0" borderId="10" xfId="6" applyFont="1" applyBorder="1" applyAlignment="1">
      <alignment horizontal="center"/>
    </xf>
    <xf numFmtId="0" fontId="3" fillId="0" borderId="10" xfId="6" applyFont="1" applyBorder="1"/>
    <xf numFmtId="0" fontId="4" fillId="0" borderId="0" xfId="7"/>
    <xf numFmtId="0" fontId="2" fillId="0" borderId="0" xfId="7" applyFont="1"/>
    <xf numFmtId="0" fontId="4" fillId="0" borderId="0" xfId="7" applyFont="1"/>
    <xf numFmtId="0" fontId="4" fillId="0" borderId="0" xfId="7" applyBorder="1" applyAlignment="1">
      <alignment horizontal="center"/>
    </xf>
    <xf numFmtId="0" fontId="4" fillId="0" borderId="11" xfId="7" applyBorder="1"/>
    <xf numFmtId="0" fontId="4" fillId="0" borderId="1" xfId="7" applyBorder="1"/>
    <xf numFmtId="0" fontId="4" fillId="0" borderId="2" xfId="7" applyBorder="1"/>
    <xf numFmtId="0" fontId="4" fillId="0" borderId="6" xfId="7" applyBorder="1"/>
    <xf numFmtId="0" fontId="4" fillId="0" borderId="4" xfId="7" applyBorder="1"/>
    <xf numFmtId="0" fontId="2" fillId="0" borderId="4" xfId="7" applyFont="1" applyBorder="1" applyAlignment="1">
      <alignment horizontal="center"/>
    </xf>
    <xf numFmtId="0" fontId="3" fillId="0" borderId="4" xfId="7" applyFont="1" applyBorder="1" applyAlignment="1">
      <alignment horizontal="center"/>
    </xf>
    <xf numFmtId="0" fontId="4" fillId="0" borderId="4" xfId="7" applyFont="1" applyBorder="1"/>
    <xf numFmtId="0" fontId="4" fillId="0" borderId="7" xfId="7" applyBorder="1"/>
    <xf numFmtId="0" fontId="4" fillId="0" borderId="8" xfId="7" applyBorder="1"/>
    <xf numFmtId="0" fontId="4" fillId="0" borderId="9" xfId="7" applyBorder="1"/>
    <xf numFmtId="0" fontId="4" fillId="0" borderId="7" xfId="7" applyBorder="1" applyAlignment="1">
      <alignment horizontal="center"/>
    </xf>
    <xf numFmtId="0" fontId="4" fillId="0" borderId="10" xfId="7" applyBorder="1"/>
    <xf numFmtId="0" fontId="4" fillId="0" borderId="10" xfId="7" applyBorder="1" applyAlignment="1">
      <alignment horizontal="center"/>
    </xf>
    <xf numFmtId="0" fontId="3" fillId="0" borderId="10" xfId="7" applyFont="1" applyBorder="1" applyAlignment="1">
      <alignment horizontal="center"/>
    </xf>
    <xf numFmtId="0" fontId="2" fillId="0" borderId="10" xfId="7" applyFont="1" applyBorder="1" applyAlignment="1">
      <alignment horizontal="center"/>
    </xf>
    <xf numFmtId="0" fontId="3" fillId="0" borderId="10" xfId="7" applyFont="1" applyBorder="1"/>
    <xf numFmtId="0" fontId="4" fillId="0" borderId="0" xfId="8"/>
    <xf numFmtId="0" fontId="2" fillId="0" borderId="0" xfId="8" applyFont="1"/>
    <xf numFmtId="0" fontId="4" fillId="0" borderId="0" xfId="8" applyFont="1"/>
    <xf numFmtId="0" fontId="4" fillId="0" borderId="11" xfId="8" applyBorder="1" applyAlignment="1">
      <alignment horizontal="center"/>
    </xf>
    <xf numFmtId="0" fontId="4" fillId="0" borderId="11" xfId="8" applyBorder="1"/>
    <xf numFmtId="0" fontId="4" fillId="0" borderId="4" xfId="8" applyBorder="1"/>
    <xf numFmtId="0" fontId="4" fillId="0" borderId="2" xfId="8" applyBorder="1"/>
    <xf numFmtId="0" fontId="4" fillId="0" borderId="6" xfId="8" applyBorder="1"/>
    <xf numFmtId="0" fontId="2" fillId="0" borderId="4" xfId="8" applyFont="1" applyBorder="1" applyAlignment="1">
      <alignment horizontal="center"/>
    </xf>
    <xf numFmtId="0" fontId="3" fillId="0" borderId="4" xfId="8" applyFont="1" applyBorder="1" applyAlignment="1">
      <alignment horizontal="center"/>
    </xf>
    <xf numFmtId="0" fontId="4" fillId="0" borderId="4" xfId="8" applyFont="1" applyBorder="1"/>
    <xf numFmtId="0" fontId="4" fillId="0" borderId="7" xfId="8" applyBorder="1"/>
    <xf numFmtId="0" fontId="4" fillId="0" borderId="8" xfId="8" applyBorder="1"/>
    <xf numFmtId="0" fontId="4" fillId="0" borderId="9" xfId="8" applyBorder="1"/>
    <xf numFmtId="0" fontId="4" fillId="0" borderId="7" xfId="8" applyBorder="1" applyAlignment="1">
      <alignment horizontal="center"/>
    </xf>
    <xf numFmtId="0" fontId="4" fillId="0" borderId="10" xfId="8" applyBorder="1"/>
    <xf numFmtId="0" fontId="4" fillId="0" borderId="10" xfId="8" applyBorder="1" applyAlignment="1">
      <alignment horizontal="center"/>
    </xf>
    <xf numFmtId="0" fontId="3" fillId="0" borderId="10" xfId="8" applyFont="1" applyBorder="1" applyAlignment="1">
      <alignment horizontal="center"/>
    </xf>
    <xf numFmtId="0" fontId="2" fillId="0" borderId="10" xfId="8" applyFont="1" applyBorder="1" applyAlignment="1">
      <alignment horizontal="center"/>
    </xf>
    <xf numFmtId="0" fontId="3" fillId="0" borderId="10" xfId="8" applyFont="1" applyBorder="1"/>
    <xf numFmtId="0" fontId="4" fillId="0" borderId="0" xfId="9"/>
    <xf numFmtId="0" fontId="2" fillId="0" borderId="0" xfId="9" applyFont="1"/>
    <xf numFmtId="0" fontId="4" fillId="0" borderId="0" xfId="9" applyFont="1"/>
    <xf numFmtId="0" fontId="4" fillId="0" borderId="11" xfId="9" applyBorder="1" applyAlignment="1">
      <alignment horizontal="center"/>
    </xf>
    <xf numFmtId="0" fontId="4" fillId="0" borderId="11" xfId="9" applyBorder="1"/>
    <xf numFmtId="0" fontId="4" fillId="0" borderId="4" xfId="9" applyBorder="1"/>
    <xf numFmtId="0" fontId="4" fillId="0" borderId="2" xfId="9" applyBorder="1"/>
    <xf numFmtId="0" fontId="4" fillId="0" borderId="6" xfId="9" applyBorder="1"/>
    <xf numFmtId="0" fontId="2" fillId="0" borderId="4" xfId="9" applyFont="1" applyBorder="1" applyAlignment="1">
      <alignment horizontal="center"/>
    </xf>
    <xf numFmtId="0" fontId="3" fillId="0" borderId="4" xfId="9" applyFont="1" applyBorder="1" applyAlignment="1">
      <alignment horizontal="center"/>
    </xf>
    <xf numFmtId="0" fontId="4" fillId="0" borderId="4" xfId="9" applyFont="1" applyBorder="1"/>
    <xf numFmtId="0" fontId="4" fillId="0" borderId="7" xfId="9" applyBorder="1"/>
    <xf numFmtId="0" fontId="4" fillId="0" borderId="8" xfId="9" applyBorder="1"/>
    <xf numFmtId="0" fontId="4" fillId="0" borderId="9" xfId="9" applyBorder="1"/>
    <xf numFmtId="0" fontId="4" fillId="0" borderId="7" xfId="9" applyBorder="1" applyAlignment="1">
      <alignment horizontal="center"/>
    </xf>
    <xf numFmtId="0" fontId="4" fillId="0" borderId="10" xfId="9" applyBorder="1"/>
    <xf numFmtId="0" fontId="4" fillId="0" borderId="10" xfId="9" applyBorder="1" applyAlignment="1">
      <alignment horizontal="center"/>
    </xf>
    <xf numFmtId="0" fontId="3" fillId="0" borderId="10" xfId="9" applyFont="1" applyBorder="1" applyAlignment="1">
      <alignment horizontal="center"/>
    </xf>
    <xf numFmtId="0" fontId="2" fillId="0" borderId="10" xfId="9" applyFont="1" applyBorder="1" applyAlignment="1">
      <alignment horizontal="center"/>
    </xf>
    <xf numFmtId="2" fontId="3" fillId="0" borderId="10" xfId="9" applyNumberFormat="1" applyFont="1" applyBorder="1"/>
    <xf numFmtId="0" fontId="3" fillId="0" borderId="10" xfId="9" applyFont="1" applyBorder="1"/>
    <xf numFmtId="0" fontId="4" fillId="0" borderId="0" xfId="10"/>
    <xf numFmtId="0" fontId="2" fillId="0" borderId="0" xfId="10" applyFont="1"/>
    <xf numFmtId="0" fontId="4" fillId="0" borderId="0" xfId="10" applyFont="1"/>
    <xf numFmtId="0" fontId="4" fillId="0" borderId="11" xfId="10" applyBorder="1" applyAlignment="1">
      <alignment horizontal="center"/>
    </xf>
    <xf numFmtId="0" fontId="4" fillId="0" borderId="11" xfId="10" applyBorder="1"/>
    <xf numFmtId="0" fontId="4" fillId="0" borderId="4" xfId="10" applyBorder="1"/>
    <xf numFmtId="0" fontId="4" fillId="0" borderId="2" xfId="10" applyBorder="1"/>
    <xf numFmtId="0" fontId="4" fillId="0" borderId="6" xfId="10" applyBorder="1"/>
    <xf numFmtId="0" fontId="2" fillId="0" borderId="4" xfId="10" applyFont="1" applyBorder="1" applyAlignment="1">
      <alignment horizontal="center"/>
    </xf>
    <xf numFmtId="0" fontId="3" fillId="0" borderId="4" xfId="10" applyFont="1" applyBorder="1" applyAlignment="1">
      <alignment horizontal="center"/>
    </xf>
    <xf numFmtId="0" fontId="4" fillId="0" borderId="4" xfId="10" applyFont="1" applyBorder="1"/>
    <xf numFmtId="0" fontId="4" fillId="0" borderId="7" xfId="10" applyBorder="1"/>
    <xf numFmtId="0" fontId="4" fillId="0" borderId="8" xfId="10" applyBorder="1"/>
    <xf numFmtId="0" fontId="4" fillId="0" borderId="9" xfId="10" applyBorder="1"/>
    <xf numFmtId="0" fontId="4" fillId="0" borderId="7" xfId="10" applyBorder="1" applyAlignment="1">
      <alignment horizontal="center"/>
    </xf>
    <xf numFmtId="0" fontId="4" fillId="0" borderId="10" xfId="10" applyBorder="1"/>
    <xf numFmtId="0" fontId="4" fillId="0" borderId="10" xfId="10" applyBorder="1" applyAlignment="1">
      <alignment horizontal="center"/>
    </xf>
    <xf numFmtId="0" fontId="3" fillId="0" borderId="10" xfId="10" applyFont="1" applyBorder="1" applyAlignment="1">
      <alignment horizontal="center"/>
    </xf>
    <xf numFmtId="0" fontId="2" fillId="0" borderId="10" xfId="10" applyFont="1" applyBorder="1" applyAlignment="1">
      <alignment horizontal="center"/>
    </xf>
    <xf numFmtId="0" fontId="3" fillId="0" borderId="10" xfId="10" applyFont="1" applyBorder="1"/>
    <xf numFmtId="0" fontId="4" fillId="0" borderId="0" xfId="11"/>
    <xf numFmtId="0" fontId="2" fillId="0" borderId="0" xfId="11" applyFont="1"/>
    <xf numFmtId="0" fontId="5" fillId="0" borderId="0" xfId="11" applyFont="1"/>
    <xf numFmtId="0" fontId="4" fillId="0" borderId="0" xfId="11" applyBorder="1"/>
    <xf numFmtId="0" fontId="4" fillId="0" borderId="1" xfId="11" applyBorder="1"/>
    <xf numFmtId="0" fontId="4" fillId="0" borderId="2" xfId="11" applyBorder="1"/>
    <xf numFmtId="0" fontId="4" fillId="0" borderId="3" xfId="11" applyBorder="1"/>
    <xf numFmtId="0" fontId="4" fillId="0" borderId="4" xfId="11" applyBorder="1"/>
    <xf numFmtId="0" fontId="2" fillId="0" borderId="4" xfId="11" applyFont="1" applyBorder="1" applyAlignment="1">
      <alignment horizontal="center"/>
    </xf>
    <xf numFmtId="0" fontId="3" fillId="0" borderId="4" xfId="11" applyFont="1" applyBorder="1" applyAlignment="1">
      <alignment horizontal="center"/>
    </xf>
    <xf numFmtId="0" fontId="4" fillId="0" borderId="4" xfId="11" applyFont="1" applyBorder="1"/>
    <xf numFmtId="0" fontId="4" fillId="0" borderId="7" xfId="11" applyBorder="1"/>
    <xf numFmtId="0" fontId="4" fillId="0" borderId="8" xfId="11" applyBorder="1"/>
    <xf numFmtId="0" fontId="4" fillId="0" borderId="9" xfId="11" applyBorder="1"/>
    <xf numFmtId="0" fontId="4" fillId="0" borderId="7" xfId="11" applyBorder="1" applyAlignment="1">
      <alignment horizontal="center"/>
    </xf>
    <xf numFmtId="0" fontId="4" fillId="0" borderId="10" xfId="11" applyBorder="1"/>
    <xf numFmtId="0" fontId="4" fillId="0" borderId="10" xfId="11" applyBorder="1" applyAlignment="1">
      <alignment horizontal="center"/>
    </xf>
    <xf numFmtId="2" fontId="4" fillId="0" borderId="10" xfId="11" applyNumberFormat="1" applyBorder="1"/>
    <xf numFmtId="0" fontId="3" fillId="0" borderId="10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2" fontId="3" fillId="0" borderId="10" xfId="11" applyNumberFormat="1" applyFont="1" applyBorder="1"/>
    <xf numFmtId="0" fontId="3" fillId="0" borderId="10" xfId="11" applyFont="1" applyBorder="1"/>
    <xf numFmtId="0" fontId="4" fillId="0" borderId="0" xfId="12"/>
    <xf numFmtId="0" fontId="2" fillId="0" borderId="0" xfId="12" applyFont="1"/>
    <xf numFmtId="0" fontId="4" fillId="0" borderId="0" xfId="12" applyFont="1"/>
    <xf numFmtId="0" fontId="5" fillId="0" borderId="0" xfId="12" applyFont="1"/>
    <xf numFmtId="0" fontId="4" fillId="0" borderId="1" xfId="12" applyBorder="1"/>
    <xf numFmtId="0" fontId="4" fillId="0" borderId="2" xfId="12" applyBorder="1"/>
    <xf numFmtId="0" fontId="4" fillId="0" borderId="3" xfId="12" applyBorder="1"/>
    <xf numFmtId="0" fontId="4" fillId="0" borderId="4" xfId="12" applyBorder="1"/>
    <xf numFmtId="0" fontId="2" fillId="0" borderId="4" xfId="12" applyFont="1" applyBorder="1" applyAlignment="1">
      <alignment horizontal="center"/>
    </xf>
    <xf numFmtId="0" fontId="3" fillId="0" borderId="4" xfId="12" applyFont="1" applyBorder="1" applyAlignment="1">
      <alignment horizontal="center"/>
    </xf>
    <xf numFmtId="0" fontId="4" fillId="0" borderId="4" xfId="12" applyFont="1" applyBorder="1"/>
    <xf numFmtId="0" fontId="4" fillId="0" borderId="7" xfId="12" applyBorder="1"/>
    <xf numFmtId="0" fontId="4" fillId="0" borderId="8" xfId="12" applyBorder="1"/>
    <xf numFmtId="0" fontId="4" fillId="0" borderId="9" xfId="12" applyBorder="1"/>
    <xf numFmtId="0" fontId="4" fillId="0" borderId="7" xfId="12" applyBorder="1" applyAlignment="1">
      <alignment horizontal="center"/>
    </xf>
    <xf numFmtId="0" fontId="4" fillId="0" borderId="10" xfId="12" applyBorder="1"/>
    <xf numFmtId="0" fontId="4" fillId="0" borderId="10" xfId="12" applyBorder="1" applyAlignment="1">
      <alignment horizontal="center"/>
    </xf>
    <xf numFmtId="0" fontId="3" fillId="0" borderId="10" xfId="12" applyFont="1" applyBorder="1" applyAlignment="1">
      <alignment horizontal="center"/>
    </xf>
    <xf numFmtId="0" fontId="2" fillId="0" borderId="10" xfId="12" applyFont="1" applyBorder="1" applyAlignment="1">
      <alignment horizontal="center"/>
    </xf>
    <xf numFmtId="0" fontId="3" fillId="0" borderId="10" xfId="12" applyFont="1" applyBorder="1"/>
    <xf numFmtId="0" fontId="4" fillId="0" borderId="0" xfId="13"/>
    <xf numFmtId="0" fontId="2" fillId="0" borderId="0" xfId="13" applyFont="1"/>
    <xf numFmtId="0" fontId="5" fillId="0" borderId="0" xfId="13" applyFont="1"/>
    <xf numFmtId="0" fontId="4" fillId="0" borderId="1" xfId="13" applyBorder="1"/>
    <xf numFmtId="0" fontId="4" fillId="0" borderId="2" xfId="13" applyBorder="1"/>
    <xf numFmtId="0" fontId="4" fillId="0" borderId="3" xfId="13" applyBorder="1"/>
    <xf numFmtId="0" fontId="4" fillId="0" borderId="4" xfId="13" applyBorder="1"/>
    <xf numFmtId="0" fontId="2" fillId="0" borderId="4" xfId="13" applyFont="1" applyBorder="1" applyAlignment="1">
      <alignment horizontal="center"/>
    </xf>
    <xf numFmtId="0" fontId="3" fillId="0" borderId="4" xfId="13" applyFont="1" applyBorder="1" applyAlignment="1">
      <alignment horizontal="center"/>
    </xf>
    <xf numFmtId="0" fontId="4" fillId="0" borderId="4" xfId="13" applyFont="1" applyBorder="1"/>
    <xf numFmtId="0" fontId="4" fillId="0" borderId="7" xfId="13" applyBorder="1"/>
    <xf numFmtId="0" fontId="4" fillId="0" borderId="8" xfId="13" applyBorder="1"/>
    <xf numFmtId="0" fontId="4" fillId="0" borderId="9" xfId="13" applyBorder="1"/>
    <xf numFmtId="0" fontId="4" fillId="0" borderId="7" xfId="13" applyBorder="1" applyAlignment="1">
      <alignment horizontal="center"/>
    </xf>
    <xf numFmtId="0" fontId="4" fillId="0" borderId="10" xfId="13" applyBorder="1"/>
    <xf numFmtId="0" fontId="4" fillId="0" borderId="10" xfId="13" applyBorder="1" applyAlignment="1">
      <alignment horizontal="center"/>
    </xf>
    <xf numFmtId="0" fontId="3" fillId="0" borderId="10" xfId="13" applyFont="1" applyBorder="1" applyAlignment="1">
      <alignment horizontal="center"/>
    </xf>
    <xf numFmtId="0" fontId="2" fillId="0" borderId="10" xfId="13" applyFont="1" applyBorder="1" applyAlignment="1">
      <alignment horizontal="center"/>
    </xf>
    <xf numFmtId="0" fontId="3" fillId="0" borderId="10" xfId="13" applyFont="1" applyBorder="1"/>
    <xf numFmtId="0" fontId="5" fillId="0" borderId="0" xfId="2" applyFont="1"/>
    <xf numFmtId="0" fontId="4" fillId="0" borderId="0" xfId="14"/>
    <xf numFmtId="0" fontId="2" fillId="0" borderId="0" xfId="14" applyFont="1"/>
    <xf numFmtId="0" fontId="4" fillId="0" borderId="1" xfId="14" applyBorder="1"/>
    <xf numFmtId="0" fontId="4" fillId="0" borderId="2" xfId="14" applyBorder="1"/>
    <xf numFmtId="0" fontId="4" fillId="0" borderId="3" xfId="14" applyBorder="1"/>
    <xf numFmtId="0" fontId="4" fillId="0" borderId="4" xfId="14" applyBorder="1"/>
    <xf numFmtId="0" fontId="2" fillId="0" borderId="4" xfId="14" applyFont="1" applyBorder="1" applyAlignment="1">
      <alignment horizontal="center"/>
    </xf>
    <xf numFmtId="0" fontId="3" fillId="0" borderId="4" xfId="14" applyFont="1" applyBorder="1" applyAlignment="1">
      <alignment horizontal="center"/>
    </xf>
    <xf numFmtId="0" fontId="4" fillId="0" borderId="4" xfId="14" applyFont="1" applyBorder="1"/>
    <xf numFmtId="0" fontId="4" fillId="0" borderId="7" xfId="14" applyBorder="1"/>
    <xf numFmtId="0" fontId="4" fillId="0" borderId="8" xfId="14" applyBorder="1"/>
    <xf numFmtId="0" fontId="4" fillId="0" borderId="9" xfId="14" applyBorder="1"/>
    <xf numFmtId="0" fontId="4" fillId="0" borderId="7" xfId="14" applyBorder="1" applyAlignment="1">
      <alignment horizontal="center"/>
    </xf>
    <xf numFmtId="0" fontId="4" fillId="0" borderId="10" xfId="14" applyBorder="1"/>
    <xf numFmtId="0" fontId="4" fillId="0" borderId="10" xfId="14" applyBorder="1" applyAlignment="1">
      <alignment horizontal="center"/>
    </xf>
    <xf numFmtId="0" fontId="3" fillId="0" borderId="10" xfId="14" applyFont="1" applyBorder="1" applyAlignment="1">
      <alignment horizontal="center"/>
    </xf>
    <xf numFmtId="0" fontId="2" fillId="0" borderId="10" xfId="14" applyFont="1" applyBorder="1" applyAlignment="1">
      <alignment horizontal="center"/>
    </xf>
    <xf numFmtId="0" fontId="3" fillId="0" borderId="10" xfId="14" applyFont="1" applyBorder="1"/>
    <xf numFmtId="0" fontId="4" fillId="0" borderId="0" xfId="15"/>
    <xf numFmtId="0" fontId="2" fillId="0" borderId="0" xfId="15" applyFont="1"/>
    <xf numFmtId="0" fontId="4" fillId="0" borderId="0" xfId="15" applyFont="1"/>
    <xf numFmtId="0" fontId="5" fillId="0" borderId="0" xfId="15" applyFont="1"/>
    <xf numFmtId="0" fontId="4" fillId="0" borderId="0" xfId="15" applyBorder="1"/>
    <xf numFmtId="0" fontId="4" fillId="0" borderId="11" xfId="15" applyBorder="1" applyAlignment="1">
      <alignment horizontal="center"/>
    </xf>
    <xf numFmtId="0" fontId="4" fillId="0" borderId="11" xfId="15" applyBorder="1"/>
    <xf numFmtId="0" fontId="4" fillId="0" borderId="4" xfId="15" applyBorder="1"/>
    <xf numFmtId="0" fontId="4" fillId="0" borderId="2" xfId="15" applyBorder="1"/>
    <xf numFmtId="0" fontId="4" fillId="0" borderId="6" xfId="15" applyBorder="1"/>
    <xf numFmtId="0" fontId="2" fillId="0" borderId="4" xfId="15" applyFont="1" applyBorder="1" applyAlignment="1">
      <alignment horizontal="center"/>
    </xf>
    <xf numFmtId="0" fontId="3" fillId="0" borderId="4" xfId="15" applyFont="1" applyBorder="1" applyAlignment="1">
      <alignment horizontal="center"/>
    </xf>
    <xf numFmtId="0" fontId="4" fillId="0" borderId="4" xfId="15" applyFont="1" applyBorder="1"/>
    <xf numFmtId="0" fontId="4" fillId="0" borderId="7" xfId="15" applyBorder="1"/>
    <xf numFmtId="0" fontId="4" fillId="0" borderId="8" xfId="15" applyBorder="1"/>
    <xf numFmtId="0" fontId="4" fillId="0" borderId="9" xfId="15" applyBorder="1"/>
    <xf numFmtId="0" fontId="4" fillId="0" borderId="7" xfId="15" applyBorder="1" applyAlignment="1">
      <alignment horizontal="center"/>
    </xf>
    <xf numFmtId="2" fontId="4" fillId="0" borderId="8" xfId="15" applyNumberFormat="1" applyBorder="1"/>
    <xf numFmtId="0" fontId="4" fillId="0" borderId="10" xfId="15" applyBorder="1"/>
    <xf numFmtId="0" fontId="4" fillId="0" borderId="10" xfId="15" applyBorder="1" applyAlignment="1">
      <alignment horizontal="center"/>
    </xf>
    <xf numFmtId="2" fontId="4" fillId="0" borderId="10" xfId="15" applyNumberFormat="1" applyBorder="1"/>
    <xf numFmtId="0" fontId="3" fillId="0" borderId="10" xfId="15" applyFont="1" applyBorder="1" applyAlignment="1">
      <alignment horizontal="center"/>
    </xf>
    <xf numFmtId="0" fontId="3" fillId="0" borderId="10" xfId="15" applyFont="1" applyBorder="1"/>
    <xf numFmtId="0" fontId="2" fillId="0" borderId="10" xfId="15" applyFont="1" applyBorder="1" applyAlignment="1">
      <alignment horizontal="center"/>
    </xf>
    <xf numFmtId="2" fontId="3" fillId="0" borderId="10" xfId="15" applyNumberFormat="1" applyFont="1" applyBorder="1"/>
    <xf numFmtId="0" fontId="4" fillId="0" borderId="0" xfId="16"/>
    <xf numFmtId="0" fontId="2" fillId="0" borderId="0" xfId="16" applyFont="1"/>
    <xf numFmtId="0" fontId="5" fillId="0" borderId="0" xfId="16" applyFont="1"/>
    <xf numFmtId="0" fontId="4" fillId="0" borderId="1" xfId="16" applyBorder="1"/>
    <xf numFmtId="0" fontId="4" fillId="0" borderId="2" xfId="16" applyBorder="1"/>
    <xf numFmtId="0" fontId="4" fillId="0" borderId="3" xfId="16" applyBorder="1"/>
    <xf numFmtId="0" fontId="4" fillId="0" borderId="4" xfId="16" applyBorder="1"/>
    <xf numFmtId="0" fontId="2" fillId="0" borderId="4" xfId="16" applyFont="1" applyBorder="1" applyAlignment="1">
      <alignment horizontal="center"/>
    </xf>
    <xf numFmtId="0" fontId="3" fillId="0" borderId="4" xfId="16" applyFont="1" applyBorder="1" applyAlignment="1">
      <alignment horizontal="center"/>
    </xf>
    <xf numFmtId="0" fontId="4" fillId="0" borderId="4" xfId="16" applyFont="1" applyBorder="1"/>
    <xf numFmtId="0" fontId="4" fillId="0" borderId="7" xfId="16" applyBorder="1"/>
    <xf numFmtId="0" fontId="4" fillId="0" borderId="8" xfId="16" applyBorder="1"/>
    <xf numFmtId="0" fontId="4" fillId="0" borderId="9" xfId="16" applyBorder="1"/>
    <xf numFmtId="0" fontId="4" fillId="0" borderId="7" xfId="16" applyBorder="1" applyAlignment="1">
      <alignment horizontal="center"/>
    </xf>
    <xf numFmtId="0" fontId="4" fillId="0" borderId="10" xfId="16" applyBorder="1"/>
    <xf numFmtId="0" fontId="4" fillId="0" borderId="10" xfId="16" applyBorder="1" applyAlignment="1">
      <alignment horizontal="center"/>
    </xf>
    <xf numFmtId="0" fontId="3" fillId="0" borderId="10" xfId="16" applyFont="1" applyBorder="1" applyAlignment="1">
      <alignment horizontal="center"/>
    </xf>
    <xf numFmtId="0" fontId="3" fillId="0" borderId="10" xfId="16" applyFont="1" applyBorder="1"/>
    <xf numFmtId="0" fontId="2" fillId="0" borderId="10" xfId="16" applyFont="1" applyBorder="1" applyAlignment="1">
      <alignment horizontal="center"/>
    </xf>
    <xf numFmtId="0" fontId="4" fillId="0" borderId="0" xfId="17"/>
    <xf numFmtId="0" fontId="2" fillId="0" borderId="0" xfId="17" applyFont="1"/>
    <xf numFmtId="0" fontId="5" fillId="0" borderId="0" xfId="17" applyFont="1"/>
    <xf numFmtId="0" fontId="4" fillId="0" borderId="1" xfId="17" applyBorder="1"/>
    <xf numFmtId="0" fontId="4" fillId="0" borderId="2" xfId="17" applyBorder="1"/>
    <xf numFmtId="0" fontId="4" fillId="0" borderId="3" xfId="17" applyBorder="1"/>
    <xf numFmtId="0" fontId="4" fillId="0" borderId="4" xfId="17" applyBorder="1"/>
    <xf numFmtId="0" fontId="2" fillId="0" borderId="4" xfId="17" applyFont="1" applyBorder="1" applyAlignment="1">
      <alignment horizontal="center"/>
    </xf>
    <xf numFmtId="0" fontId="3" fillId="0" borderId="4" xfId="17" applyFont="1" applyBorder="1" applyAlignment="1">
      <alignment horizontal="center"/>
    </xf>
    <xf numFmtId="0" fontId="4" fillId="0" borderId="4" xfId="17" applyFont="1" applyBorder="1"/>
    <xf numFmtId="0" fontId="4" fillId="0" borderId="7" xfId="17" applyBorder="1"/>
    <xf numFmtId="0" fontId="4" fillId="0" borderId="8" xfId="17" applyBorder="1"/>
    <xf numFmtId="0" fontId="4" fillId="0" borderId="9" xfId="17" applyBorder="1"/>
    <xf numFmtId="0" fontId="4" fillId="0" borderId="7" xfId="17" applyBorder="1" applyAlignment="1">
      <alignment horizontal="center"/>
    </xf>
    <xf numFmtId="0" fontId="4" fillId="0" borderId="10" xfId="17" applyBorder="1"/>
    <xf numFmtId="0" fontId="4" fillId="0" borderId="10" xfId="17" applyBorder="1" applyAlignment="1">
      <alignment horizontal="center"/>
    </xf>
    <xf numFmtId="0" fontId="3" fillId="0" borderId="10" xfId="17" applyFont="1" applyBorder="1" applyAlignment="1">
      <alignment horizontal="center"/>
    </xf>
    <xf numFmtId="0" fontId="3" fillId="0" borderId="10" xfId="17" applyFont="1" applyBorder="1"/>
    <xf numFmtId="0" fontId="2" fillId="0" borderId="10" xfId="17" applyFont="1" applyBorder="1" applyAlignment="1">
      <alignment horizontal="center"/>
    </xf>
    <xf numFmtId="0" fontId="4" fillId="0" borderId="0" xfId="18"/>
    <xf numFmtId="0" fontId="2" fillId="0" borderId="0" xfId="18" applyFont="1"/>
    <xf numFmtId="0" fontId="5" fillId="0" borderId="0" xfId="18" applyFont="1"/>
    <xf numFmtId="0" fontId="4" fillId="0" borderId="1" xfId="18" applyBorder="1"/>
    <xf numFmtId="0" fontId="4" fillId="0" borderId="2" xfId="18" applyBorder="1"/>
    <xf numFmtId="0" fontId="4" fillId="0" borderId="3" xfId="18" applyBorder="1"/>
    <xf numFmtId="0" fontId="4" fillId="0" borderId="4" xfId="18" applyBorder="1"/>
    <xf numFmtId="0" fontId="2" fillId="0" borderId="4" xfId="18" applyFont="1" applyBorder="1" applyAlignment="1">
      <alignment horizontal="center"/>
    </xf>
    <xf numFmtId="0" fontId="3" fillId="0" borderId="4" xfId="18" applyFont="1" applyBorder="1" applyAlignment="1">
      <alignment horizontal="center"/>
    </xf>
    <xf numFmtId="0" fontId="4" fillId="0" borderId="4" xfId="18" applyFont="1" applyBorder="1"/>
    <xf numFmtId="0" fontId="4" fillId="0" borderId="7" xfId="18" applyBorder="1"/>
    <xf numFmtId="0" fontId="4" fillId="0" borderId="8" xfId="18" applyBorder="1"/>
    <xf numFmtId="0" fontId="4" fillId="0" borderId="9" xfId="18" applyBorder="1"/>
    <xf numFmtId="0" fontId="4" fillId="0" borderId="7" xfId="18" applyBorder="1" applyAlignment="1">
      <alignment horizontal="center"/>
    </xf>
    <xf numFmtId="0" fontId="4" fillId="0" borderId="10" xfId="18" applyBorder="1"/>
    <xf numFmtId="0" fontId="4" fillId="0" borderId="10" xfId="18" applyBorder="1" applyAlignment="1">
      <alignment horizontal="center"/>
    </xf>
    <xf numFmtId="0" fontId="3" fillId="0" borderId="10" xfId="18" applyFont="1" applyBorder="1" applyAlignment="1">
      <alignment horizontal="center"/>
    </xf>
    <xf numFmtId="0" fontId="3" fillId="0" borderId="10" xfId="18" applyFont="1" applyBorder="1"/>
    <xf numFmtId="0" fontId="2" fillId="0" borderId="10" xfId="18" applyFont="1" applyBorder="1" applyAlignment="1">
      <alignment horizontal="center"/>
    </xf>
    <xf numFmtId="0" fontId="4" fillId="0" borderId="0" xfId="19"/>
    <xf numFmtId="0" fontId="2" fillId="0" borderId="0" xfId="19" applyFont="1"/>
    <xf numFmtId="0" fontId="5" fillId="0" borderId="0" xfId="19" applyFont="1"/>
    <xf numFmtId="0" fontId="4" fillId="0" borderId="1" xfId="19" applyBorder="1"/>
    <xf numFmtId="0" fontId="4" fillId="0" borderId="2" xfId="19" applyBorder="1"/>
    <xf numFmtId="0" fontId="4" fillId="0" borderId="3" xfId="19" applyBorder="1"/>
    <xf numFmtId="0" fontId="4" fillId="0" borderId="4" xfId="19" applyBorder="1"/>
    <xf numFmtId="0" fontId="2" fillId="0" borderId="4" xfId="19" applyFont="1" applyBorder="1" applyAlignment="1">
      <alignment horizontal="center"/>
    </xf>
    <xf numFmtId="0" fontId="3" fillId="0" borderId="4" xfId="19" applyFont="1" applyBorder="1" applyAlignment="1">
      <alignment horizontal="center"/>
    </xf>
    <xf numFmtId="0" fontId="4" fillId="0" borderId="4" xfId="19" applyFont="1" applyBorder="1"/>
    <xf numFmtId="0" fontId="4" fillId="0" borderId="7" xfId="19" applyBorder="1"/>
    <xf numFmtId="0" fontId="4" fillId="0" borderId="8" xfId="19" applyBorder="1"/>
    <xf numFmtId="0" fontId="4" fillId="0" borderId="9" xfId="19" applyBorder="1"/>
    <xf numFmtId="0" fontId="4" fillId="0" borderId="7" xfId="19" applyBorder="1" applyAlignment="1">
      <alignment horizontal="center"/>
    </xf>
    <xf numFmtId="0" fontId="4" fillId="0" borderId="10" xfId="19" applyBorder="1"/>
    <xf numFmtId="0" fontId="4" fillId="0" borderId="10" xfId="19" applyBorder="1" applyAlignment="1">
      <alignment horizontal="center"/>
    </xf>
    <xf numFmtId="0" fontId="3" fillId="0" borderId="10" xfId="19" applyFont="1" applyBorder="1" applyAlignment="1">
      <alignment horizontal="center"/>
    </xf>
    <xf numFmtId="0" fontId="3" fillId="0" borderId="10" xfId="19" applyFont="1" applyBorder="1"/>
    <xf numFmtId="0" fontId="2" fillId="0" borderId="10" xfId="19" applyFont="1" applyBorder="1" applyAlignment="1">
      <alignment horizontal="center"/>
    </xf>
    <xf numFmtId="0" fontId="4" fillId="0" borderId="0" xfId="20"/>
    <xf numFmtId="0" fontId="2" fillId="0" borderId="0" xfId="20" applyFont="1"/>
    <xf numFmtId="0" fontId="5" fillId="0" borderId="0" xfId="20" applyFont="1"/>
    <xf numFmtId="0" fontId="4" fillId="0" borderId="11" xfId="20" applyBorder="1" applyAlignment="1">
      <alignment horizontal="center"/>
    </xf>
    <xf numFmtId="0" fontId="4" fillId="0" borderId="11" xfId="20" applyBorder="1"/>
    <xf numFmtId="0" fontId="4" fillId="0" borderId="4" xfId="20" applyBorder="1"/>
    <xf numFmtId="0" fontId="4" fillId="0" borderId="2" xfId="20" applyBorder="1"/>
    <xf numFmtId="0" fontId="4" fillId="0" borderId="6" xfId="20" applyBorder="1"/>
    <xf numFmtId="0" fontId="2" fillId="0" borderId="4" xfId="20" applyFont="1" applyBorder="1" applyAlignment="1">
      <alignment horizontal="center"/>
    </xf>
    <xf numFmtId="0" fontId="3" fillId="0" borderId="4" xfId="20" applyFont="1" applyBorder="1" applyAlignment="1">
      <alignment horizontal="center"/>
    </xf>
    <xf numFmtId="0" fontId="4" fillId="0" borderId="4" xfId="20" applyFont="1" applyBorder="1"/>
    <xf numFmtId="0" fontId="4" fillId="0" borderId="7" xfId="20" applyBorder="1"/>
    <xf numFmtId="0" fontId="4" fillId="0" borderId="8" xfId="20" applyBorder="1"/>
    <xf numFmtId="0" fontId="4" fillId="0" borderId="9" xfId="20" applyBorder="1"/>
    <xf numFmtId="0" fontId="4" fillId="0" borderId="7" xfId="20" applyBorder="1" applyAlignment="1">
      <alignment horizontal="center"/>
    </xf>
    <xf numFmtId="0" fontId="4" fillId="0" borderId="10" xfId="20" applyBorder="1"/>
    <xf numFmtId="0" fontId="4" fillId="0" borderId="10" xfId="20" applyBorder="1" applyAlignment="1">
      <alignment horizontal="center"/>
    </xf>
    <xf numFmtId="0" fontId="3" fillId="0" borderId="10" xfId="20" applyFont="1" applyBorder="1" applyAlignment="1">
      <alignment horizontal="center"/>
    </xf>
    <xf numFmtId="0" fontId="3" fillId="0" borderId="10" xfId="20" applyFont="1" applyBorder="1"/>
    <xf numFmtId="0" fontId="2" fillId="0" borderId="10" xfId="20" applyFont="1" applyBorder="1" applyAlignment="1">
      <alignment horizontal="center"/>
    </xf>
    <xf numFmtId="0" fontId="4" fillId="0" borderId="0" xfId="21"/>
    <xf numFmtId="0" fontId="2" fillId="0" borderId="0" xfId="21" applyFont="1"/>
    <xf numFmtId="0" fontId="5" fillId="0" borderId="0" xfId="21" applyFont="1"/>
    <xf numFmtId="0" fontId="4" fillId="0" borderId="11" xfId="21" applyBorder="1" applyAlignment="1">
      <alignment horizontal="center"/>
    </xf>
    <xf numFmtId="0" fontId="4" fillId="0" borderId="11" xfId="21" applyBorder="1"/>
    <xf numFmtId="0" fontId="4" fillId="0" borderId="4" xfId="21" applyBorder="1"/>
    <xf numFmtId="0" fontId="4" fillId="0" borderId="2" xfId="21" applyBorder="1"/>
    <xf numFmtId="0" fontId="4" fillId="0" borderId="6" xfId="21" applyBorder="1"/>
    <xf numFmtId="0" fontId="2" fillId="0" borderId="4" xfId="21" applyFont="1" applyBorder="1" applyAlignment="1">
      <alignment horizontal="center"/>
    </xf>
    <xf numFmtId="0" fontId="3" fillId="0" borderId="4" xfId="21" applyFont="1" applyBorder="1" applyAlignment="1">
      <alignment horizontal="center"/>
    </xf>
    <xf numFmtId="0" fontId="4" fillId="0" borderId="4" xfId="21" applyFont="1" applyBorder="1"/>
    <xf numFmtId="0" fontId="4" fillId="0" borderId="7" xfId="21" applyBorder="1"/>
    <xf numFmtId="0" fontId="4" fillId="0" borderId="8" xfId="21" applyBorder="1"/>
    <xf numFmtId="0" fontId="4" fillId="0" borderId="9" xfId="21" applyBorder="1"/>
    <xf numFmtId="0" fontId="4" fillId="0" borderId="7" xfId="21" applyBorder="1" applyAlignment="1">
      <alignment horizontal="center"/>
    </xf>
    <xf numFmtId="0" fontId="4" fillId="0" borderId="10" xfId="21" applyBorder="1"/>
    <xf numFmtId="0" fontId="4" fillId="0" borderId="10" xfId="21" applyBorder="1" applyAlignment="1">
      <alignment horizontal="center"/>
    </xf>
    <xf numFmtId="0" fontId="3" fillId="0" borderId="10" xfId="21" applyFont="1" applyBorder="1" applyAlignment="1">
      <alignment horizontal="center"/>
    </xf>
    <xf numFmtId="0" fontId="3" fillId="0" borderId="10" xfId="21" applyFont="1" applyBorder="1"/>
    <xf numFmtId="0" fontId="2" fillId="0" borderId="10" xfId="21" applyFont="1" applyBorder="1" applyAlignment="1">
      <alignment horizontal="center"/>
    </xf>
    <xf numFmtId="0" fontId="4" fillId="0" borderId="0" xfId="22"/>
    <xf numFmtId="0" fontId="2" fillId="0" borderId="0" xfId="22" applyFont="1"/>
    <xf numFmtId="0" fontId="5" fillId="0" borderId="0" xfId="22" applyFont="1"/>
    <xf numFmtId="0" fontId="4" fillId="0" borderId="11" xfId="22" applyBorder="1" applyAlignment="1">
      <alignment horizontal="center"/>
    </xf>
    <xf numFmtId="0" fontId="4" fillId="0" borderId="11" xfId="22" applyBorder="1"/>
    <xf numFmtId="0" fontId="4" fillId="0" borderId="4" xfId="22" applyBorder="1"/>
    <xf numFmtId="0" fontId="4" fillId="0" borderId="2" xfId="22" applyBorder="1"/>
    <xf numFmtId="0" fontId="4" fillId="0" borderId="6" xfId="22" applyBorder="1"/>
    <xf numFmtId="0" fontId="2" fillId="0" borderId="4" xfId="22" applyFont="1" applyBorder="1" applyAlignment="1">
      <alignment horizontal="center"/>
    </xf>
    <xf numFmtId="0" fontId="3" fillId="0" borderId="4" xfId="22" applyFont="1" applyBorder="1" applyAlignment="1">
      <alignment horizontal="center"/>
    </xf>
    <xf numFmtId="0" fontId="4" fillId="0" borderId="4" xfId="22" applyFont="1" applyBorder="1"/>
    <xf numFmtId="0" fontId="4" fillId="0" borderId="7" xfId="22" applyBorder="1"/>
    <xf numFmtId="0" fontId="4" fillId="0" borderId="8" xfId="22" applyBorder="1"/>
    <xf numFmtId="0" fontId="4" fillId="0" borderId="9" xfId="22" applyBorder="1"/>
    <xf numFmtId="0" fontId="4" fillId="0" borderId="7" xfId="22" applyBorder="1" applyAlignment="1">
      <alignment horizontal="center"/>
    </xf>
    <xf numFmtId="0" fontId="4" fillId="0" borderId="10" xfId="22" applyBorder="1"/>
    <xf numFmtId="0" fontId="4" fillId="0" borderId="10" xfId="22" applyBorder="1" applyAlignment="1">
      <alignment horizontal="center"/>
    </xf>
    <xf numFmtId="0" fontId="3" fillId="0" borderId="10" xfId="22" applyFont="1" applyBorder="1" applyAlignment="1">
      <alignment horizontal="center"/>
    </xf>
    <xf numFmtId="0" fontId="3" fillId="0" borderId="10" xfId="22" applyFont="1" applyBorder="1"/>
    <xf numFmtId="0" fontId="2" fillId="0" borderId="10" xfId="22" applyFont="1" applyBorder="1" applyAlignment="1">
      <alignment horizontal="center"/>
    </xf>
    <xf numFmtId="2" fontId="0" fillId="0" borderId="8" xfId="0" applyNumberFormat="1" applyBorder="1"/>
    <xf numFmtId="2" fontId="6" fillId="0" borderId="10" xfId="0" applyNumberFormat="1" applyFont="1" applyBorder="1"/>
    <xf numFmtId="0" fontId="0" fillId="0" borderId="10" xfId="0" applyFont="1" applyBorder="1"/>
    <xf numFmtId="0" fontId="5" fillId="0" borderId="10" xfId="2" applyFont="1" applyBorder="1" applyAlignment="1">
      <alignment horizontal="center"/>
    </xf>
    <xf numFmtId="2" fontId="5" fillId="0" borderId="10" xfId="0" applyNumberFormat="1" applyFont="1" applyBorder="1"/>
    <xf numFmtId="0" fontId="0" fillId="0" borderId="10" xfId="0" applyFill="1" applyBorder="1"/>
    <xf numFmtId="0" fontId="3" fillId="0" borderId="12" xfId="0" applyFont="1" applyBorder="1"/>
    <xf numFmtId="0" fontId="0" fillId="0" borderId="13" xfId="0" applyBorder="1"/>
    <xf numFmtId="0" fontId="0" fillId="0" borderId="0" xfId="0" applyFill="1" applyBorder="1"/>
    <xf numFmtId="2" fontId="3" fillId="0" borderId="0" xfId="0" applyNumberFormat="1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10" xfId="3" applyFont="1" applyBorder="1"/>
    <xf numFmtId="2" fontId="5" fillId="0" borderId="10" xfId="1" applyNumberFormat="1" applyFont="1" applyBorder="1"/>
    <xf numFmtId="0" fontId="5" fillId="0" borderId="0" xfId="2" applyFont="1" applyBorder="1"/>
    <xf numFmtId="0" fontId="0" fillId="0" borderId="5" xfId="0" applyBorder="1"/>
    <xf numFmtId="2" fontId="5" fillId="0" borderId="0" xfId="2" applyNumberFormat="1" applyFont="1" applyBorder="1"/>
    <xf numFmtId="2" fontId="4" fillId="0" borderId="0" xfId="2" applyNumberFormat="1"/>
    <xf numFmtId="0" fontId="4" fillId="0" borderId="11" xfId="2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2" fillId="0" borderId="5" xfId="5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0" fontId="3" fillId="0" borderId="5" xfId="5" applyFont="1" applyBorder="1" applyAlignment="1">
      <alignment horizontal="center"/>
    </xf>
    <xf numFmtId="0" fontId="3" fillId="0" borderId="6" xfId="5" applyFont="1" applyBorder="1" applyAlignment="1">
      <alignment horizontal="center"/>
    </xf>
    <xf numFmtId="0" fontId="4" fillId="0" borderId="0" xfId="3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6" xfId="3" applyFont="1" applyBorder="1" applyAlignment="1">
      <alignment horizontal="center"/>
    </xf>
    <xf numFmtId="0" fontId="4" fillId="0" borderId="11" xfId="6" applyBorder="1" applyAlignment="1">
      <alignment horizontal="center"/>
    </xf>
    <xf numFmtId="0" fontId="2" fillId="0" borderId="5" xfId="6" applyFont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0" fontId="4" fillId="0" borderId="11" xfId="4" applyBorder="1" applyAlignment="1">
      <alignment horizontal="center"/>
    </xf>
    <xf numFmtId="0" fontId="2" fillId="0" borderId="5" xfId="4" applyFont="1" applyBorder="1" applyAlignment="1">
      <alignment horizontal="center"/>
    </xf>
    <xf numFmtId="0" fontId="2" fillId="0" borderId="6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4" fillId="0" borderId="0" xfId="7" applyBorder="1" applyAlignment="1">
      <alignment horizontal="center"/>
    </xf>
    <xf numFmtId="0" fontId="2" fillId="0" borderId="5" xfId="7" applyFont="1" applyBorder="1" applyAlignment="1">
      <alignment horizontal="center"/>
    </xf>
    <xf numFmtId="0" fontId="2" fillId="0" borderId="6" xfId="7" applyFont="1" applyBorder="1" applyAlignment="1">
      <alignment horizontal="center"/>
    </xf>
    <xf numFmtId="0" fontId="3" fillId="0" borderId="5" xfId="7" applyFont="1" applyBorder="1" applyAlignment="1">
      <alignment horizontal="center"/>
    </xf>
    <xf numFmtId="0" fontId="3" fillId="0" borderId="6" xfId="7" applyFont="1" applyBorder="1" applyAlignment="1">
      <alignment horizontal="center"/>
    </xf>
    <xf numFmtId="0" fontId="4" fillId="0" borderId="11" xfId="8" applyBorder="1" applyAlignment="1">
      <alignment horizontal="center"/>
    </xf>
    <xf numFmtId="0" fontId="2" fillId="0" borderId="5" xfId="8" applyFont="1" applyBorder="1" applyAlignment="1">
      <alignment horizontal="center"/>
    </xf>
    <xf numFmtId="0" fontId="2" fillId="0" borderId="6" xfId="8" applyFont="1" applyBorder="1" applyAlignment="1">
      <alignment horizontal="center"/>
    </xf>
    <xf numFmtId="0" fontId="3" fillId="0" borderId="5" xfId="8" applyFont="1" applyBorder="1" applyAlignment="1">
      <alignment horizontal="center"/>
    </xf>
    <xf numFmtId="0" fontId="3" fillId="0" borderId="6" xfId="8" applyFont="1" applyBorder="1" applyAlignment="1">
      <alignment horizontal="center"/>
    </xf>
    <xf numFmtId="0" fontId="4" fillId="0" borderId="11" xfId="9" applyBorder="1" applyAlignment="1">
      <alignment horizontal="center"/>
    </xf>
    <xf numFmtId="0" fontId="2" fillId="0" borderId="5" xfId="9" applyFont="1" applyBorder="1" applyAlignment="1">
      <alignment horizontal="center"/>
    </xf>
    <xf numFmtId="0" fontId="2" fillId="0" borderId="6" xfId="9" applyFont="1" applyBorder="1" applyAlignment="1">
      <alignment horizontal="center"/>
    </xf>
    <xf numFmtId="0" fontId="3" fillId="0" borderId="5" xfId="9" applyFont="1" applyBorder="1" applyAlignment="1">
      <alignment horizontal="center"/>
    </xf>
    <xf numFmtId="0" fontId="3" fillId="0" borderId="6" xfId="9" applyFont="1" applyBorder="1" applyAlignment="1">
      <alignment horizontal="center"/>
    </xf>
    <xf numFmtId="0" fontId="4" fillId="0" borderId="11" xfId="10" applyBorder="1" applyAlignment="1">
      <alignment horizontal="center"/>
    </xf>
    <xf numFmtId="0" fontId="2" fillId="0" borderId="5" xfId="10" applyFont="1" applyBorder="1" applyAlignment="1">
      <alignment horizontal="center"/>
    </xf>
    <xf numFmtId="0" fontId="2" fillId="0" borderId="6" xfId="10" applyFont="1" applyBorder="1" applyAlignment="1">
      <alignment horizontal="center"/>
    </xf>
    <xf numFmtId="0" fontId="3" fillId="0" borderId="5" xfId="10" applyFont="1" applyBorder="1" applyAlignment="1">
      <alignment horizontal="center"/>
    </xf>
    <xf numFmtId="0" fontId="3" fillId="0" borderId="6" xfId="10" applyFont="1" applyBorder="1" applyAlignment="1">
      <alignment horizontal="center"/>
    </xf>
    <xf numFmtId="0" fontId="2" fillId="0" borderId="5" xfId="11" applyFont="1" applyBorder="1" applyAlignment="1">
      <alignment horizontal="center"/>
    </xf>
    <xf numFmtId="0" fontId="2" fillId="0" borderId="6" xfId="11" applyFont="1" applyBorder="1" applyAlignment="1">
      <alignment horizontal="center"/>
    </xf>
    <xf numFmtId="0" fontId="3" fillId="0" borderId="5" xfId="11" applyFont="1" applyBorder="1" applyAlignment="1">
      <alignment horizontal="center"/>
    </xf>
    <xf numFmtId="0" fontId="3" fillId="0" borderId="6" xfId="11" applyFont="1" applyBorder="1" applyAlignment="1">
      <alignment horizontal="center"/>
    </xf>
    <xf numFmtId="0" fontId="2" fillId="0" borderId="5" xfId="12" applyFont="1" applyBorder="1" applyAlignment="1">
      <alignment horizontal="center"/>
    </xf>
    <xf numFmtId="0" fontId="2" fillId="0" borderId="6" xfId="12" applyFont="1" applyBorder="1" applyAlignment="1">
      <alignment horizontal="center"/>
    </xf>
    <xf numFmtId="0" fontId="3" fillId="0" borderId="5" xfId="12" applyFont="1" applyBorder="1" applyAlignment="1">
      <alignment horizontal="center"/>
    </xf>
    <xf numFmtId="0" fontId="3" fillId="0" borderId="6" xfId="12" applyFont="1" applyBorder="1" applyAlignment="1">
      <alignment horizontal="center"/>
    </xf>
    <xf numFmtId="0" fontId="2" fillId="0" borderId="5" xfId="13" applyFont="1" applyBorder="1" applyAlignment="1">
      <alignment horizontal="center"/>
    </xf>
    <xf numFmtId="0" fontId="2" fillId="0" borderId="6" xfId="13" applyFont="1" applyBorder="1" applyAlignment="1">
      <alignment horizontal="center"/>
    </xf>
    <xf numFmtId="0" fontId="3" fillId="0" borderId="5" xfId="13" applyFont="1" applyBorder="1" applyAlignment="1">
      <alignment horizontal="center"/>
    </xf>
    <xf numFmtId="0" fontId="3" fillId="0" borderId="6" xfId="13" applyFont="1" applyBorder="1" applyAlignment="1">
      <alignment horizontal="center"/>
    </xf>
    <xf numFmtId="0" fontId="5" fillId="0" borderId="0" xfId="14" applyFont="1" applyAlignment="1">
      <alignment horizontal="center"/>
    </xf>
    <xf numFmtId="0" fontId="2" fillId="0" borderId="5" xfId="14" applyFont="1" applyBorder="1" applyAlignment="1">
      <alignment horizontal="center"/>
    </xf>
    <xf numFmtId="0" fontId="2" fillId="0" borderId="6" xfId="14" applyFont="1" applyBorder="1" applyAlignment="1">
      <alignment horizontal="center"/>
    </xf>
    <xf numFmtId="0" fontId="3" fillId="0" borderId="5" xfId="14" applyFont="1" applyBorder="1" applyAlignment="1">
      <alignment horizontal="center"/>
    </xf>
    <xf numFmtId="0" fontId="3" fillId="0" borderId="6" xfId="14" applyFont="1" applyBorder="1" applyAlignment="1">
      <alignment horizontal="center"/>
    </xf>
    <xf numFmtId="0" fontId="4" fillId="0" borderId="11" xfId="15" applyBorder="1" applyAlignment="1">
      <alignment horizontal="center"/>
    </xf>
    <xf numFmtId="0" fontId="2" fillId="0" borderId="5" xfId="15" applyFont="1" applyBorder="1" applyAlignment="1">
      <alignment horizontal="center"/>
    </xf>
    <xf numFmtId="0" fontId="2" fillId="0" borderId="6" xfId="15" applyFont="1" applyBorder="1" applyAlignment="1">
      <alignment horizontal="center"/>
    </xf>
    <xf numFmtId="0" fontId="3" fillId="0" borderId="5" xfId="15" applyFont="1" applyBorder="1" applyAlignment="1">
      <alignment horizontal="center"/>
    </xf>
    <xf numFmtId="0" fontId="3" fillId="0" borderId="6" xfId="15" applyFont="1" applyBorder="1" applyAlignment="1">
      <alignment horizontal="center"/>
    </xf>
    <xf numFmtId="0" fontId="2" fillId="0" borderId="5" xfId="16" applyFont="1" applyBorder="1" applyAlignment="1">
      <alignment horizontal="center"/>
    </xf>
    <xf numFmtId="0" fontId="2" fillId="0" borderId="6" xfId="16" applyFont="1" applyBorder="1" applyAlignment="1">
      <alignment horizontal="center"/>
    </xf>
    <xf numFmtId="0" fontId="3" fillId="0" borderId="5" xfId="16" applyFont="1" applyBorder="1" applyAlignment="1">
      <alignment horizontal="center"/>
    </xf>
    <xf numFmtId="0" fontId="3" fillId="0" borderId="6" xfId="16" applyFont="1" applyBorder="1" applyAlignment="1">
      <alignment horizontal="center"/>
    </xf>
    <xf numFmtId="0" fontId="2" fillId="0" borderId="5" xfId="17" applyFont="1" applyBorder="1" applyAlignment="1">
      <alignment horizontal="center"/>
    </xf>
    <xf numFmtId="0" fontId="2" fillId="0" borderId="6" xfId="17" applyFont="1" applyBorder="1" applyAlignment="1">
      <alignment horizontal="center"/>
    </xf>
    <xf numFmtId="0" fontId="3" fillId="0" borderId="5" xfId="17" applyFont="1" applyBorder="1" applyAlignment="1">
      <alignment horizontal="center"/>
    </xf>
    <xf numFmtId="0" fontId="3" fillId="0" borderId="6" xfId="17" applyFont="1" applyBorder="1" applyAlignment="1">
      <alignment horizontal="center"/>
    </xf>
    <xf numFmtId="0" fontId="2" fillId="0" borderId="5" xfId="18" applyFont="1" applyBorder="1" applyAlignment="1">
      <alignment horizontal="center"/>
    </xf>
    <xf numFmtId="0" fontId="2" fillId="0" borderId="6" xfId="18" applyFont="1" applyBorder="1" applyAlignment="1">
      <alignment horizontal="center"/>
    </xf>
    <xf numFmtId="0" fontId="3" fillId="0" borderId="5" xfId="18" applyFont="1" applyBorder="1" applyAlignment="1">
      <alignment horizontal="center"/>
    </xf>
    <xf numFmtId="0" fontId="3" fillId="0" borderId="6" xfId="18" applyFont="1" applyBorder="1" applyAlignment="1">
      <alignment horizontal="center"/>
    </xf>
    <xf numFmtId="0" fontId="2" fillId="0" borderId="5" xfId="19" applyFont="1" applyBorder="1" applyAlignment="1">
      <alignment horizontal="center"/>
    </xf>
    <xf numFmtId="0" fontId="2" fillId="0" borderId="6" xfId="19" applyFont="1" applyBorder="1" applyAlignment="1">
      <alignment horizontal="center"/>
    </xf>
    <xf numFmtId="0" fontId="3" fillId="0" borderId="5" xfId="19" applyFont="1" applyBorder="1" applyAlignment="1">
      <alignment horizontal="center"/>
    </xf>
    <xf numFmtId="0" fontId="3" fillId="0" borderId="6" xfId="19" applyFont="1" applyBorder="1" applyAlignment="1">
      <alignment horizontal="center"/>
    </xf>
    <xf numFmtId="0" fontId="4" fillId="0" borderId="11" xfId="20" applyBorder="1" applyAlignment="1">
      <alignment horizontal="center"/>
    </xf>
    <xf numFmtId="0" fontId="2" fillId="0" borderId="5" xfId="20" applyFont="1" applyBorder="1" applyAlignment="1">
      <alignment horizontal="center"/>
    </xf>
    <xf numFmtId="0" fontId="2" fillId="0" borderId="6" xfId="20" applyFont="1" applyBorder="1" applyAlignment="1">
      <alignment horizont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 applyAlignment="1">
      <alignment horizontal="center"/>
    </xf>
    <xf numFmtId="0" fontId="4" fillId="0" borderId="11" xfId="21" applyBorder="1" applyAlignment="1">
      <alignment horizontal="center"/>
    </xf>
    <xf numFmtId="0" fontId="2" fillId="0" borderId="5" xfId="21" applyFont="1" applyBorder="1" applyAlignment="1">
      <alignment horizontal="center"/>
    </xf>
    <xf numFmtId="0" fontId="2" fillId="0" borderId="6" xfId="21" applyFont="1" applyBorder="1" applyAlignment="1">
      <alignment horizontal="center"/>
    </xf>
    <xf numFmtId="0" fontId="3" fillId="0" borderId="5" xfId="21" applyFont="1" applyBorder="1" applyAlignment="1">
      <alignment horizontal="center"/>
    </xf>
    <xf numFmtId="0" fontId="3" fillId="0" borderId="6" xfId="21" applyFont="1" applyBorder="1" applyAlignment="1">
      <alignment horizontal="center"/>
    </xf>
    <xf numFmtId="0" fontId="4" fillId="0" borderId="11" xfId="22" applyBorder="1" applyAlignment="1">
      <alignment horizontal="center"/>
    </xf>
    <xf numFmtId="0" fontId="2" fillId="0" borderId="5" xfId="22" applyFont="1" applyBorder="1" applyAlignment="1">
      <alignment horizontal="center"/>
    </xf>
    <xf numFmtId="0" fontId="2" fillId="0" borderId="6" xfId="22" applyFont="1" applyBorder="1" applyAlignment="1">
      <alignment horizontal="center"/>
    </xf>
    <xf numFmtId="0" fontId="3" fillId="0" borderId="5" xfId="22" applyFont="1" applyBorder="1" applyAlignment="1">
      <alignment horizontal="center"/>
    </xf>
    <xf numFmtId="0" fontId="3" fillId="0" borderId="6" xfId="2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/>
    </xf>
  </cellXfs>
  <cellStyles count="23">
    <cellStyle name="Денежный" xfId="1" builtinId="4"/>
    <cellStyle name="Обычный" xfId="0" builtinId="0"/>
    <cellStyle name="Обычный_В15" xfId="4"/>
    <cellStyle name="Обычный_В17" xfId="7"/>
    <cellStyle name="Обычный_В18" xfId="8"/>
    <cellStyle name="Обычный_В19" xfId="9"/>
    <cellStyle name="Обычный_В20" xfId="10"/>
    <cellStyle name="Обычный_В21" xfId="11"/>
    <cellStyle name="Обычный_В22" xfId="12"/>
    <cellStyle name="Обычный_В23" xfId="13"/>
    <cellStyle name="Обычный_В24" xfId="14"/>
    <cellStyle name="Обычный_В25" xfId="15"/>
    <cellStyle name="Обычный_В26" xfId="16"/>
    <cellStyle name="Обычный_В27" xfId="17"/>
    <cellStyle name="Обычный_В28" xfId="18"/>
    <cellStyle name="Обычный_В30" xfId="19"/>
    <cellStyle name="Обычный_В32" xfId="20"/>
    <cellStyle name="Обычный_В34" xfId="21"/>
    <cellStyle name="Обычный_В36" xfId="22"/>
    <cellStyle name="Обычный_Лист1" xfId="2"/>
    <cellStyle name="Обычный_Лист12" xfId="6"/>
    <cellStyle name="Обычный_Лист3" xfId="5"/>
    <cellStyle name="Обычный_Лист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3" workbookViewId="0">
      <selection activeCell="G21" sqref="G21"/>
    </sheetView>
  </sheetViews>
  <sheetFormatPr defaultRowHeight="15" x14ac:dyDescent="0.25"/>
  <cols>
    <col min="2" max="2" width="38.140625" customWidth="1"/>
    <col min="4" max="4" width="13.28515625" customWidth="1"/>
    <col min="5" max="5" width="11.5703125" customWidth="1"/>
  </cols>
  <sheetData>
    <row r="1" spans="1:5" ht="15.75" x14ac:dyDescent="0.25">
      <c r="A1" s="37"/>
      <c r="B1" s="64" t="s">
        <v>0</v>
      </c>
      <c r="C1" s="37"/>
      <c r="D1" s="37"/>
      <c r="E1" s="37"/>
    </row>
    <row r="2" spans="1:5" x14ac:dyDescent="0.25">
      <c r="A2" s="37"/>
      <c r="B2" s="37"/>
      <c r="C2" s="37"/>
      <c r="D2" s="37"/>
      <c r="E2" s="37"/>
    </row>
    <row r="3" spans="1:5" x14ac:dyDescent="0.25">
      <c r="A3" s="37"/>
      <c r="B3" s="37" t="s">
        <v>1</v>
      </c>
      <c r="C3" s="37"/>
      <c r="D3" s="37"/>
      <c r="E3" s="37"/>
    </row>
    <row r="4" spans="1:5" x14ac:dyDescent="0.25">
      <c r="A4" s="37"/>
      <c r="B4" s="65" t="s">
        <v>70</v>
      </c>
      <c r="C4" s="37"/>
      <c r="D4" s="37"/>
      <c r="E4" s="37"/>
    </row>
    <row r="5" spans="1:5" x14ac:dyDescent="0.25">
      <c r="A5" s="37"/>
      <c r="B5" s="37" t="s">
        <v>71</v>
      </c>
      <c r="C5" s="37"/>
      <c r="D5" s="37"/>
      <c r="E5" s="37"/>
    </row>
    <row r="6" spans="1:5" x14ac:dyDescent="0.25">
      <c r="A6" s="479"/>
      <c r="B6" s="479"/>
      <c r="C6" s="479"/>
      <c r="D6" s="66"/>
      <c r="E6" s="67"/>
    </row>
    <row r="7" spans="1:5" x14ac:dyDescent="0.25">
      <c r="A7" s="68"/>
      <c r="B7" s="68"/>
      <c r="C7" s="68"/>
      <c r="D7" s="34"/>
      <c r="E7" s="69"/>
    </row>
    <row r="8" spans="1:5" ht="15.75" x14ac:dyDescent="0.25">
      <c r="A8" s="70"/>
      <c r="B8" s="71" t="s">
        <v>4</v>
      </c>
      <c r="C8" s="72" t="s">
        <v>5</v>
      </c>
      <c r="D8" s="480" t="s">
        <v>6</v>
      </c>
      <c r="E8" s="481"/>
    </row>
    <row r="9" spans="1:5" ht="15.75" x14ac:dyDescent="0.25">
      <c r="A9" s="73"/>
      <c r="B9" s="71" t="s">
        <v>7</v>
      </c>
      <c r="C9" s="72" t="s">
        <v>8</v>
      </c>
      <c r="D9" s="482" t="s">
        <v>72</v>
      </c>
      <c r="E9" s="483"/>
    </row>
    <row r="10" spans="1:5" x14ac:dyDescent="0.25">
      <c r="A10" s="74"/>
      <c r="B10" s="74"/>
      <c r="C10" s="74"/>
      <c r="D10" s="75"/>
      <c r="E10" s="76"/>
    </row>
    <row r="11" spans="1:5" x14ac:dyDescent="0.25">
      <c r="A11" s="74"/>
      <c r="B11" s="77" t="s">
        <v>73</v>
      </c>
      <c r="C11" s="74"/>
      <c r="D11" s="20">
        <v>-243114.52</v>
      </c>
      <c r="E11" s="76"/>
    </row>
    <row r="12" spans="1:5" x14ac:dyDescent="0.25">
      <c r="A12" s="20"/>
      <c r="B12" s="78" t="s">
        <v>11</v>
      </c>
      <c r="C12" s="20" t="s">
        <v>12</v>
      </c>
      <c r="D12" s="20">
        <v>8134.1</v>
      </c>
      <c r="E12" s="20"/>
    </row>
    <row r="13" spans="1:5" x14ac:dyDescent="0.25">
      <c r="A13" s="20"/>
      <c r="B13" s="78" t="s">
        <v>13</v>
      </c>
      <c r="C13" s="20" t="s">
        <v>12</v>
      </c>
      <c r="D13" s="20">
        <v>6467.2</v>
      </c>
      <c r="E13" s="20"/>
    </row>
    <row r="14" spans="1:5" x14ac:dyDescent="0.25">
      <c r="A14" s="20"/>
      <c r="B14" s="25" t="s">
        <v>14</v>
      </c>
      <c r="C14" s="20" t="s">
        <v>15</v>
      </c>
      <c r="D14" s="22">
        <v>270542.46000000002</v>
      </c>
      <c r="E14" s="20"/>
    </row>
    <row r="15" spans="1:5" x14ac:dyDescent="0.25">
      <c r="A15" s="20"/>
      <c r="B15" s="20"/>
      <c r="C15" s="20"/>
      <c r="D15" s="20"/>
      <c r="E15" s="20"/>
    </row>
    <row r="16" spans="1:5" ht="15.75" x14ac:dyDescent="0.25">
      <c r="A16" s="20"/>
      <c r="B16" s="21" t="s">
        <v>16</v>
      </c>
      <c r="C16" s="20"/>
      <c r="D16" s="20"/>
      <c r="E16" s="20"/>
    </row>
    <row r="17" spans="1:5" x14ac:dyDescent="0.25">
      <c r="A17" s="20">
        <v>1</v>
      </c>
      <c r="B17" s="20" t="s">
        <v>17</v>
      </c>
      <c r="C17" s="20" t="s">
        <v>15</v>
      </c>
      <c r="D17" s="22">
        <v>257054.76</v>
      </c>
      <c r="E17" s="20"/>
    </row>
    <row r="18" spans="1:5" ht="15.75" x14ac:dyDescent="0.25">
      <c r="A18" s="20"/>
      <c r="B18" s="21" t="s">
        <v>19</v>
      </c>
      <c r="C18" s="20"/>
      <c r="D18" s="26">
        <f>D17</f>
        <v>257054.76</v>
      </c>
      <c r="E18" s="20"/>
    </row>
    <row r="19" spans="1:5" ht="15.75" x14ac:dyDescent="0.25">
      <c r="A19" s="20"/>
      <c r="B19" s="21"/>
      <c r="C19" s="20"/>
      <c r="D19" s="26"/>
      <c r="E19" s="20"/>
    </row>
    <row r="20" spans="1:5" ht="15.75" x14ac:dyDescent="0.25">
      <c r="A20" s="20"/>
      <c r="B20" s="21" t="s">
        <v>20</v>
      </c>
      <c r="C20" s="20"/>
      <c r="D20" s="22"/>
      <c r="E20" s="3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115002.03</v>
      </c>
      <c r="E21" s="26">
        <f>E22</f>
        <v>28817.977360000004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109992.28</v>
      </c>
      <c r="E22" s="26">
        <f>E23+E24+E25</f>
        <v>28817.977360000004</v>
      </c>
    </row>
    <row r="23" spans="1:5" x14ac:dyDescent="0.25">
      <c r="A23" s="20"/>
      <c r="B23" s="20" t="s">
        <v>25</v>
      </c>
      <c r="C23" s="20"/>
      <c r="D23" s="20">
        <v>27485.38</v>
      </c>
      <c r="E23" s="28">
        <f>D23*26.2%</f>
        <v>7201.1695600000003</v>
      </c>
    </row>
    <row r="24" spans="1:5" x14ac:dyDescent="0.25">
      <c r="A24" s="20"/>
      <c r="B24" s="20" t="s">
        <v>26</v>
      </c>
      <c r="C24" s="20"/>
      <c r="D24" s="29">
        <v>48570.73</v>
      </c>
      <c r="E24" s="28">
        <f>D24*26.2%</f>
        <v>12725.531260000002</v>
      </c>
    </row>
    <row r="25" spans="1:5" x14ac:dyDescent="0.25">
      <c r="A25" s="20"/>
      <c r="B25" s="20" t="s">
        <v>27</v>
      </c>
      <c r="C25" s="20"/>
      <c r="D25" s="20">
        <v>33936.17</v>
      </c>
      <c r="E25" s="28">
        <f>D25*26.2%</f>
        <v>8891.2765400000008</v>
      </c>
    </row>
    <row r="26" spans="1:5" x14ac:dyDescent="0.25">
      <c r="A26" s="20">
        <v>2</v>
      </c>
      <c r="B26" s="27" t="s">
        <v>28</v>
      </c>
      <c r="C26" s="20"/>
      <c r="D26" s="20">
        <v>5009.75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61596.22</v>
      </c>
      <c r="E27" s="26">
        <f>E28</f>
        <v>15031.956560000001</v>
      </c>
    </row>
    <row r="28" spans="1:5" x14ac:dyDescent="0.25">
      <c r="A28" s="20">
        <v>1</v>
      </c>
      <c r="B28" s="31" t="s">
        <v>31</v>
      </c>
      <c r="C28" s="20"/>
      <c r="D28" s="31">
        <v>57373.88</v>
      </c>
      <c r="E28" s="28">
        <f>D28*26.2%</f>
        <v>15031.956560000001</v>
      </c>
    </row>
    <row r="29" spans="1:5" x14ac:dyDescent="0.25">
      <c r="A29" s="20">
        <v>2</v>
      </c>
      <c r="B29" s="31" t="s">
        <v>28</v>
      </c>
      <c r="C29" s="20"/>
      <c r="D29" s="31">
        <v>4222.34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</f>
        <v>30934.868000000002</v>
      </c>
      <c r="E30" s="20"/>
    </row>
    <row r="31" spans="1:5" x14ac:dyDescent="0.25">
      <c r="A31" s="20"/>
      <c r="B31" s="20" t="s">
        <v>34</v>
      </c>
      <c r="C31" s="20"/>
      <c r="D31" s="28">
        <f>D18*5%</f>
        <v>12852.738000000001</v>
      </c>
      <c r="E31" s="20"/>
    </row>
    <row r="32" spans="1:5" x14ac:dyDescent="0.25">
      <c r="A32" s="20"/>
      <c r="B32" s="20" t="s">
        <v>74</v>
      </c>
      <c r="C32" s="20"/>
      <c r="D32" s="20">
        <v>0</v>
      </c>
      <c r="E32" s="20"/>
    </row>
    <row r="33" spans="1:5" x14ac:dyDescent="0.25">
      <c r="A33" s="20"/>
      <c r="B33" s="31" t="s">
        <v>58</v>
      </c>
      <c r="C33" s="20"/>
      <c r="D33" s="20">
        <f>10*84.52</f>
        <v>845.19999999999993</v>
      </c>
      <c r="E33" s="20"/>
    </row>
    <row r="34" spans="1:5" x14ac:dyDescent="0.25">
      <c r="A34" s="20"/>
      <c r="B34" s="20" t="s">
        <v>36</v>
      </c>
      <c r="C34" s="20"/>
      <c r="D34" s="28">
        <v>10492.39</v>
      </c>
      <c r="E34" s="20"/>
    </row>
    <row r="35" spans="1:5" x14ac:dyDescent="0.25">
      <c r="A35" s="20"/>
      <c r="B35" s="27" t="s">
        <v>37</v>
      </c>
      <c r="C35" s="20"/>
      <c r="D35" s="20">
        <v>1284.47</v>
      </c>
      <c r="E35" s="20"/>
    </row>
    <row r="36" spans="1:5" x14ac:dyDescent="0.25">
      <c r="A36" s="20"/>
      <c r="B36" s="27" t="s">
        <v>38</v>
      </c>
      <c r="C36" s="20"/>
      <c r="D36" s="20">
        <v>1760.49</v>
      </c>
      <c r="E36" s="20"/>
    </row>
    <row r="37" spans="1:5" x14ac:dyDescent="0.25">
      <c r="A37" s="20"/>
      <c r="B37" s="20" t="s">
        <v>41</v>
      </c>
      <c r="C37" s="20"/>
      <c r="D37" s="20">
        <v>3699.58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32239.64</v>
      </c>
      <c r="E38" s="26">
        <f>E39</f>
        <v>6932.0562600000003</v>
      </c>
    </row>
    <row r="39" spans="1:5" x14ac:dyDescent="0.25">
      <c r="A39" s="20"/>
      <c r="B39" s="31" t="s">
        <v>43</v>
      </c>
      <c r="C39" s="20"/>
      <c r="D39" s="33">
        <v>26458.23</v>
      </c>
      <c r="E39" s="33">
        <f>D39*26.2%</f>
        <v>6932.0562600000003</v>
      </c>
    </row>
    <row r="40" spans="1:5" x14ac:dyDescent="0.25">
      <c r="A40" s="20"/>
      <c r="B40" s="20" t="s">
        <v>44</v>
      </c>
      <c r="C40" s="20"/>
      <c r="D40" s="33">
        <v>5781.41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D21+E21+D27+E27+D30+D38+E38</f>
        <v>290554.74818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15423.285599999999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305978.03378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D18-D43</f>
        <v>-48923.273779999989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D11+D45</f>
        <v>-292037.79377999995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50</v>
      </c>
      <c r="C48" s="37"/>
      <c r="D48" s="37" t="s">
        <v>51</v>
      </c>
      <c r="E48" s="37"/>
    </row>
    <row r="49" spans="1:5" x14ac:dyDescent="0.25">
      <c r="A49" s="37"/>
      <c r="B49" s="37" t="s">
        <v>52</v>
      </c>
      <c r="C49" s="37"/>
      <c r="D49" s="37" t="s">
        <v>53</v>
      </c>
      <c r="E49" s="37"/>
    </row>
    <row r="50" spans="1:5" x14ac:dyDescent="0.25">
      <c r="A50" s="37"/>
      <c r="B50" s="37"/>
      <c r="C50" s="37"/>
      <c r="D50" s="37"/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I9" sqref="I9"/>
    </sheetView>
  </sheetViews>
  <sheetFormatPr defaultRowHeight="15" x14ac:dyDescent="0.25"/>
  <cols>
    <col min="2" max="2" width="38.5703125" customWidth="1"/>
    <col min="4" max="4" width="10.7109375" customWidth="1"/>
    <col min="5" max="5" width="10.42578125" customWidth="1"/>
  </cols>
  <sheetData>
    <row r="1" spans="1:5" ht="15.75" x14ac:dyDescent="0.25">
      <c r="A1" s="179"/>
      <c r="B1" s="180" t="s">
        <v>0</v>
      </c>
      <c r="C1" s="179"/>
      <c r="D1" s="179"/>
      <c r="E1" s="179"/>
    </row>
    <row r="2" spans="1:5" x14ac:dyDescent="0.25">
      <c r="A2" s="179"/>
      <c r="B2" s="179"/>
      <c r="C2" s="179"/>
      <c r="D2" s="179"/>
      <c r="E2" s="179"/>
    </row>
    <row r="3" spans="1:5" x14ac:dyDescent="0.25">
      <c r="A3" s="179"/>
      <c r="B3" s="179" t="s">
        <v>1</v>
      </c>
      <c r="C3" s="179"/>
      <c r="D3" s="179"/>
      <c r="E3" s="179"/>
    </row>
    <row r="4" spans="1:5" x14ac:dyDescent="0.25">
      <c r="A4" s="179"/>
      <c r="B4" s="181" t="s">
        <v>98</v>
      </c>
      <c r="C4" s="179"/>
      <c r="D4" s="179"/>
      <c r="E4" s="179"/>
    </row>
    <row r="5" spans="1:5" x14ac:dyDescent="0.25">
      <c r="A5" s="513"/>
      <c r="B5" s="513"/>
      <c r="C5" s="513"/>
      <c r="D5" s="182"/>
      <c r="E5" s="183"/>
    </row>
    <row r="6" spans="1:5" x14ac:dyDescent="0.25">
      <c r="A6" s="184"/>
      <c r="B6" s="184"/>
      <c r="C6" s="184"/>
      <c r="D6" s="185"/>
      <c r="E6" s="186"/>
    </row>
    <row r="7" spans="1:5" ht="15.75" x14ac:dyDescent="0.25">
      <c r="A7" s="184"/>
      <c r="B7" s="187" t="s">
        <v>4</v>
      </c>
      <c r="C7" s="188" t="s">
        <v>5</v>
      </c>
      <c r="D7" s="514" t="s">
        <v>6</v>
      </c>
      <c r="E7" s="515"/>
    </row>
    <row r="8" spans="1:5" ht="15.75" x14ac:dyDescent="0.25">
      <c r="A8" s="189"/>
      <c r="B8" s="187" t="s">
        <v>7</v>
      </c>
      <c r="C8" s="188" t="s">
        <v>8</v>
      </c>
      <c r="D8" s="516" t="s">
        <v>99</v>
      </c>
      <c r="E8" s="517"/>
    </row>
    <row r="9" spans="1:5" x14ac:dyDescent="0.25">
      <c r="A9" s="190"/>
      <c r="B9" s="190"/>
      <c r="C9" s="190"/>
      <c r="D9" s="191"/>
      <c r="E9" s="192"/>
    </row>
    <row r="10" spans="1:5" x14ac:dyDescent="0.25">
      <c r="A10" s="190"/>
      <c r="B10" s="193" t="s">
        <v>100</v>
      </c>
      <c r="C10" s="190"/>
      <c r="D10" s="191">
        <v>71820.789999999994</v>
      </c>
      <c r="E10" s="192"/>
    </row>
    <row r="11" spans="1:5" x14ac:dyDescent="0.25">
      <c r="A11" s="194"/>
      <c r="B11" s="195" t="s">
        <v>11</v>
      </c>
      <c r="C11" s="194" t="s">
        <v>12</v>
      </c>
      <c r="D11" s="194">
        <v>4036</v>
      </c>
      <c r="E11" s="194"/>
    </row>
    <row r="12" spans="1:5" x14ac:dyDescent="0.25">
      <c r="A12" s="194"/>
      <c r="B12" s="195" t="s">
        <v>13</v>
      </c>
      <c r="C12" s="194" t="s">
        <v>12</v>
      </c>
      <c r="D12" s="194">
        <v>2430.8000000000002</v>
      </c>
      <c r="E12" s="194"/>
    </row>
    <row r="13" spans="1:5" x14ac:dyDescent="0.25">
      <c r="A13" s="194"/>
      <c r="B13" s="196" t="s">
        <v>14</v>
      </c>
      <c r="C13" s="194" t="s">
        <v>15</v>
      </c>
      <c r="D13" s="194">
        <f>46532.85*2</f>
        <v>93065.7</v>
      </c>
      <c r="E13" s="194"/>
    </row>
    <row r="14" spans="1:5" x14ac:dyDescent="0.25">
      <c r="A14" s="194"/>
      <c r="B14" s="194"/>
      <c r="C14" s="194"/>
      <c r="D14" s="194"/>
      <c r="E14" s="194"/>
    </row>
    <row r="15" spans="1:5" ht="15.75" x14ac:dyDescent="0.25">
      <c r="A15" s="194"/>
      <c r="B15" s="197" t="s">
        <v>16</v>
      </c>
      <c r="C15" s="194"/>
      <c r="D15" s="194"/>
      <c r="E15" s="194"/>
    </row>
    <row r="16" spans="1:5" x14ac:dyDescent="0.25">
      <c r="A16" s="194">
        <v>1</v>
      </c>
      <c r="B16" s="194" t="s">
        <v>17</v>
      </c>
      <c r="C16" s="194" t="s">
        <v>15</v>
      </c>
      <c r="D16" s="194">
        <v>97567.34</v>
      </c>
      <c r="E16" s="194"/>
    </row>
    <row r="17" spans="1:5" x14ac:dyDescent="0.25">
      <c r="A17" s="194">
        <v>2</v>
      </c>
      <c r="B17" s="13" t="s">
        <v>101</v>
      </c>
      <c r="C17" s="194"/>
      <c r="D17" s="194">
        <v>120000</v>
      </c>
      <c r="E17" s="194"/>
    </row>
    <row r="18" spans="1:5" ht="15.75" x14ac:dyDescent="0.25">
      <c r="A18" s="194"/>
      <c r="B18" s="197" t="s">
        <v>19</v>
      </c>
      <c r="C18" s="194"/>
      <c r="D18" s="198">
        <f>D16+D17</f>
        <v>217567.34</v>
      </c>
      <c r="E18" s="194"/>
    </row>
    <row r="19" spans="1:5" ht="15.75" x14ac:dyDescent="0.25">
      <c r="A19" s="194"/>
      <c r="B19" s="197"/>
      <c r="C19" s="194"/>
      <c r="D19" s="199"/>
      <c r="E19" s="194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18310.580000000002</v>
      </c>
      <c r="E21" s="26">
        <f>E22</f>
        <v>4246.6505800000004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16208.59</v>
      </c>
      <c r="E22" s="26">
        <f>E23</f>
        <v>4246.6505800000004</v>
      </c>
    </row>
    <row r="23" spans="1:5" x14ac:dyDescent="0.25">
      <c r="A23" s="20"/>
      <c r="B23" s="20" t="s">
        <v>25</v>
      </c>
      <c r="C23" s="20"/>
      <c r="D23" s="20">
        <v>16208.59</v>
      </c>
      <c r="E23" s="28">
        <f>D23*26.2%</f>
        <v>4246.6505800000004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2101.9899999999998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21608.940000000002</v>
      </c>
      <c r="E27" s="26">
        <f>E28</f>
        <v>5649.9985600000009</v>
      </c>
    </row>
    <row r="28" spans="1:5" x14ac:dyDescent="0.25">
      <c r="A28" s="20">
        <v>1</v>
      </c>
      <c r="B28" s="31" t="s">
        <v>31</v>
      </c>
      <c r="C28" s="20"/>
      <c r="D28" s="31">
        <v>21564.880000000001</v>
      </c>
      <c r="E28" s="28">
        <f>D28*26.2%</f>
        <v>5649.9985600000009</v>
      </c>
    </row>
    <row r="29" spans="1:5" x14ac:dyDescent="0.25">
      <c r="A29" s="20">
        <v>2</v>
      </c>
      <c r="B29" s="31" t="s">
        <v>28</v>
      </c>
      <c r="C29" s="20"/>
      <c r="D29" s="31">
        <v>44.06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D31+D34+D35+D36+D37+D38+D39+D33</f>
        <v>61522.917000000001</v>
      </c>
      <c r="E30" s="20"/>
    </row>
    <row r="31" spans="1:5" x14ac:dyDescent="0.25">
      <c r="A31" s="20"/>
      <c r="B31" s="20" t="s">
        <v>34</v>
      </c>
      <c r="C31" s="20"/>
      <c r="D31" s="28">
        <f>D18*5%</f>
        <v>10878.367</v>
      </c>
      <c r="E31" s="20"/>
    </row>
    <row r="32" spans="1:5" x14ac:dyDescent="0.25">
      <c r="A32" s="20"/>
      <c r="B32" s="31" t="s">
        <v>58</v>
      </c>
      <c r="C32" s="20"/>
      <c r="D32" s="28">
        <f>2*84.52</f>
        <v>169.04</v>
      </c>
      <c r="E32" s="20"/>
    </row>
    <row r="33" spans="1:5" x14ac:dyDescent="0.25">
      <c r="A33" s="20"/>
      <c r="B33" s="20" t="s">
        <v>66</v>
      </c>
      <c r="C33" s="20"/>
      <c r="D33" s="20">
        <v>25010</v>
      </c>
      <c r="E33" s="20"/>
    </row>
    <row r="34" spans="1:5" x14ac:dyDescent="0.25">
      <c r="A34" s="20"/>
      <c r="B34" s="20" t="s">
        <v>36</v>
      </c>
      <c r="C34" s="20"/>
      <c r="D34" s="28">
        <v>4375.4399999999996</v>
      </c>
      <c r="E34" s="20"/>
    </row>
    <row r="35" spans="1:5" x14ac:dyDescent="0.25">
      <c r="A35" s="20"/>
      <c r="B35" s="194" t="s">
        <v>102</v>
      </c>
      <c r="C35" s="20"/>
      <c r="D35" s="28">
        <v>6724.06</v>
      </c>
      <c r="E35" s="20"/>
    </row>
    <row r="36" spans="1:5" x14ac:dyDescent="0.25">
      <c r="A36" s="20"/>
      <c r="B36" s="27" t="s">
        <v>37</v>
      </c>
      <c r="C36" s="20"/>
      <c r="D36" s="20">
        <v>482.79</v>
      </c>
      <c r="E36" s="20"/>
    </row>
    <row r="37" spans="1:5" x14ac:dyDescent="0.25">
      <c r="A37" s="20"/>
      <c r="B37" s="27" t="s">
        <v>38</v>
      </c>
      <c r="C37" s="20"/>
      <c r="D37" s="20">
        <v>661.71</v>
      </c>
      <c r="E37" s="20"/>
    </row>
    <row r="38" spans="1:5" x14ac:dyDescent="0.25">
      <c r="A38" s="20"/>
      <c r="B38" s="20" t="s">
        <v>41</v>
      </c>
      <c r="C38" s="20"/>
      <c r="D38" s="20">
        <v>1390.55</v>
      </c>
      <c r="E38" s="20"/>
    </row>
    <row r="39" spans="1:5" x14ac:dyDescent="0.25">
      <c r="A39" s="20"/>
      <c r="B39" s="27" t="s">
        <v>103</v>
      </c>
      <c r="C39" s="20"/>
      <c r="D39" s="20">
        <v>12000</v>
      </c>
      <c r="E39" s="20"/>
    </row>
    <row r="40" spans="1:5" x14ac:dyDescent="0.25">
      <c r="A40" s="20">
        <v>4</v>
      </c>
      <c r="B40" s="22" t="s">
        <v>42</v>
      </c>
      <c r="C40" s="20"/>
      <c r="D40" s="26">
        <f>D41+D42</f>
        <v>12117.78</v>
      </c>
      <c r="E40" s="26">
        <f>E41</f>
        <v>2605.5245</v>
      </c>
    </row>
    <row r="41" spans="1:5" x14ac:dyDescent="0.25">
      <c r="A41" s="20"/>
      <c r="B41" s="31" t="s">
        <v>43</v>
      </c>
      <c r="C41" s="31"/>
      <c r="D41" s="33">
        <v>9944.75</v>
      </c>
      <c r="E41" s="28">
        <f>D41*26.2%</f>
        <v>2605.5245</v>
      </c>
    </row>
    <row r="42" spans="1:5" x14ac:dyDescent="0.25">
      <c r="A42" s="20"/>
      <c r="B42" s="27" t="s">
        <v>44</v>
      </c>
      <c r="C42" s="20"/>
      <c r="D42" s="33">
        <v>2173.0300000000002</v>
      </c>
      <c r="E42" s="20"/>
    </row>
    <row r="43" spans="1:5" x14ac:dyDescent="0.25">
      <c r="A43" s="20">
        <v>5</v>
      </c>
      <c r="B43" s="22" t="s">
        <v>45</v>
      </c>
      <c r="C43" s="20"/>
      <c r="D43" s="26">
        <f>D21+E21+D27+E27+D30+D40+E40</f>
        <v>126062.39064</v>
      </c>
      <c r="E43" s="20"/>
    </row>
    <row r="44" spans="1:5" x14ac:dyDescent="0.25">
      <c r="A44" s="20">
        <v>6</v>
      </c>
      <c r="B44" s="20" t="s">
        <v>46</v>
      </c>
      <c r="C44" s="20"/>
      <c r="D44" s="26">
        <f>D18*6%</f>
        <v>13054.0404</v>
      </c>
      <c r="E44" s="20"/>
    </row>
    <row r="45" spans="1:5" x14ac:dyDescent="0.25">
      <c r="A45" s="20">
        <v>7</v>
      </c>
      <c r="B45" s="22" t="s">
        <v>47</v>
      </c>
      <c r="C45" s="20"/>
      <c r="D45" s="26">
        <f>D43+D44</f>
        <v>139116.43104</v>
      </c>
      <c r="E45" s="20"/>
    </row>
    <row r="46" spans="1:5" x14ac:dyDescent="0.25">
      <c r="A46" s="20"/>
      <c r="B46" s="20"/>
      <c r="C46" s="20"/>
      <c r="D46" s="20"/>
      <c r="E46" s="20"/>
    </row>
    <row r="47" spans="1:5" x14ac:dyDescent="0.25">
      <c r="A47" s="20">
        <v>8</v>
      </c>
      <c r="B47" s="22" t="s">
        <v>104</v>
      </c>
      <c r="C47" s="20"/>
      <c r="D47" s="26">
        <f>D18-D45</f>
        <v>78450.908960000001</v>
      </c>
      <c r="E47" s="20"/>
    </row>
    <row r="48" spans="1:5" x14ac:dyDescent="0.25">
      <c r="A48" s="20">
        <v>9</v>
      </c>
      <c r="B48" s="22" t="s">
        <v>49</v>
      </c>
      <c r="C48" s="20"/>
      <c r="D48" s="26">
        <f>D10+D47</f>
        <v>150271.69896000001</v>
      </c>
      <c r="E48" s="20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K31" sqref="K31"/>
    </sheetView>
  </sheetViews>
  <sheetFormatPr defaultRowHeight="15" x14ac:dyDescent="0.25"/>
  <cols>
    <col min="2" max="2" width="39" customWidth="1"/>
    <col min="4" max="4" width="11.7109375" customWidth="1"/>
    <col min="5" max="5" width="9.7109375" customWidth="1"/>
  </cols>
  <sheetData>
    <row r="1" spans="1:5" ht="15.75" x14ac:dyDescent="0.25">
      <c r="A1" s="200"/>
      <c r="B1" s="201" t="s">
        <v>0</v>
      </c>
      <c r="C1" s="200"/>
      <c r="D1" s="200"/>
      <c r="E1" s="200"/>
    </row>
    <row r="2" spans="1:5" x14ac:dyDescent="0.25">
      <c r="A2" s="200"/>
      <c r="B2" s="200"/>
      <c r="C2" s="200"/>
      <c r="D2" s="200"/>
      <c r="E2" s="200"/>
    </row>
    <row r="3" spans="1:5" x14ac:dyDescent="0.25">
      <c r="A3" s="200"/>
      <c r="B3" s="200" t="s">
        <v>1</v>
      </c>
      <c r="C3" s="200"/>
      <c r="D3" s="200"/>
      <c r="E3" s="200"/>
    </row>
    <row r="4" spans="1:5" x14ac:dyDescent="0.25">
      <c r="A4" s="200"/>
      <c r="B4" s="202" t="s">
        <v>105</v>
      </c>
      <c r="C4" s="200"/>
      <c r="D4" s="200"/>
      <c r="E4" s="200"/>
    </row>
    <row r="5" spans="1:5" x14ac:dyDescent="0.25">
      <c r="A5" s="200"/>
      <c r="B5" s="200" t="s">
        <v>106</v>
      </c>
      <c r="C5" s="200"/>
      <c r="D5" s="200"/>
      <c r="E5" s="200"/>
    </row>
    <row r="6" spans="1:5" x14ac:dyDescent="0.25">
      <c r="A6" s="518"/>
      <c r="B6" s="518"/>
      <c r="C6" s="518"/>
      <c r="D6" s="203"/>
      <c r="E6" s="204"/>
    </row>
    <row r="7" spans="1:5" x14ac:dyDescent="0.25">
      <c r="A7" s="205"/>
      <c r="B7" s="205"/>
      <c r="C7" s="205"/>
      <c r="D7" s="206"/>
      <c r="E7" s="207"/>
    </row>
    <row r="8" spans="1:5" ht="15.75" x14ac:dyDescent="0.25">
      <c r="A8" s="205"/>
      <c r="B8" s="208" t="s">
        <v>4</v>
      </c>
      <c r="C8" s="209" t="s">
        <v>5</v>
      </c>
      <c r="D8" s="519" t="s">
        <v>6</v>
      </c>
      <c r="E8" s="520"/>
    </row>
    <row r="9" spans="1:5" ht="15.75" x14ac:dyDescent="0.25">
      <c r="A9" s="210"/>
      <c r="B9" s="208" t="s">
        <v>7</v>
      </c>
      <c r="C9" s="209" t="s">
        <v>8</v>
      </c>
      <c r="D9" s="521" t="s">
        <v>92</v>
      </c>
      <c r="E9" s="522"/>
    </row>
    <row r="10" spans="1:5" x14ac:dyDescent="0.25">
      <c r="A10" s="211"/>
      <c r="B10" s="211"/>
      <c r="C10" s="211"/>
      <c r="D10" s="212"/>
      <c r="E10" s="213"/>
    </row>
    <row r="11" spans="1:5" x14ac:dyDescent="0.25">
      <c r="A11" s="211"/>
      <c r="B11" s="214" t="s">
        <v>10</v>
      </c>
      <c r="C11" s="211"/>
      <c r="D11" s="212">
        <v>-78771.25</v>
      </c>
      <c r="E11" s="213"/>
    </row>
    <row r="12" spans="1:5" x14ac:dyDescent="0.25">
      <c r="A12" s="215"/>
      <c r="B12" s="216" t="s">
        <v>11</v>
      </c>
      <c r="C12" s="215" t="s">
        <v>12</v>
      </c>
      <c r="D12" s="215">
        <v>8085.8</v>
      </c>
      <c r="E12" s="215"/>
    </row>
    <row r="13" spans="1:5" x14ac:dyDescent="0.25">
      <c r="A13" s="215"/>
      <c r="B13" s="216" t="s">
        <v>13</v>
      </c>
      <c r="C13" s="215" t="s">
        <v>12</v>
      </c>
      <c r="D13" s="215">
        <v>6343.7</v>
      </c>
      <c r="E13" s="215"/>
    </row>
    <row r="14" spans="1:5" x14ac:dyDescent="0.25">
      <c r="A14" s="215"/>
      <c r="B14" s="217" t="s">
        <v>14</v>
      </c>
      <c r="C14" s="215" t="s">
        <v>15</v>
      </c>
      <c r="D14" s="215">
        <f>132643.17*2</f>
        <v>265286.34000000003</v>
      </c>
      <c r="E14" s="215"/>
    </row>
    <row r="15" spans="1:5" x14ac:dyDescent="0.25">
      <c r="A15" s="215"/>
      <c r="B15" s="215"/>
      <c r="C15" s="215"/>
      <c r="D15" s="215"/>
      <c r="E15" s="215"/>
    </row>
    <row r="16" spans="1:5" ht="15.75" x14ac:dyDescent="0.25">
      <c r="A16" s="215"/>
      <c r="B16" s="218" t="s">
        <v>16</v>
      </c>
      <c r="C16" s="215"/>
      <c r="D16" s="215"/>
      <c r="E16" s="215"/>
    </row>
    <row r="17" spans="1:5" x14ac:dyDescent="0.25">
      <c r="A17" s="215">
        <v>1</v>
      </c>
      <c r="B17" s="215" t="s">
        <v>17</v>
      </c>
      <c r="C17" s="215" t="s">
        <v>15</v>
      </c>
      <c r="D17" s="215">
        <v>239257.81</v>
      </c>
      <c r="E17" s="215"/>
    </row>
    <row r="18" spans="1:5" x14ac:dyDescent="0.25">
      <c r="A18" s="215"/>
      <c r="B18" s="215"/>
      <c r="C18" s="215"/>
      <c r="D18" s="215"/>
      <c r="E18" s="215"/>
    </row>
    <row r="19" spans="1:5" ht="15.75" x14ac:dyDescent="0.25">
      <c r="A19" s="215"/>
      <c r="B19" s="218" t="s">
        <v>19</v>
      </c>
      <c r="C19" s="215"/>
      <c r="D19" s="219">
        <f>D17</f>
        <v>239257.81</v>
      </c>
      <c r="E19" s="215"/>
    </row>
    <row r="20" spans="1:5" ht="15.75" x14ac:dyDescent="0.25">
      <c r="A20" s="215"/>
      <c r="B20" s="218"/>
      <c r="C20" s="215"/>
      <c r="D20" s="219"/>
      <c r="E20" s="215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6">
        <f>D23+D27</f>
        <v>75277.69</v>
      </c>
      <c r="E22" s="26">
        <f>E23</f>
        <v>19035.159360000001</v>
      </c>
    </row>
    <row r="23" spans="1:5" x14ac:dyDescent="0.25">
      <c r="A23" s="20">
        <v>1</v>
      </c>
      <c r="B23" s="22" t="s">
        <v>24</v>
      </c>
      <c r="C23" s="27" t="s">
        <v>15</v>
      </c>
      <c r="D23" s="26">
        <f>D24+D25+D26</f>
        <v>72653.279999999999</v>
      </c>
      <c r="E23" s="26">
        <f>E24+E25+E26</f>
        <v>19035.159360000001</v>
      </c>
    </row>
    <row r="24" spans="1:5" x14ac:dyDescent="0.25">
      <c r="A24" s="20"/>
      <c r="B24" s="20" t="s">
        <v>25</v>
      </c>
      <c r="C24" s="20"/>
      <c r="D24" s="20">
        <v>18754.73</v>
      </c>
      <c r="E24" s="28">
        <f>D24*26.2%</f>
        <v>4913.7392600000003</v>
      </c>
    </row>
    <row r="25" spans="1:5" x14ac:dyDescent="0.25">
      <c r="A25" s="20"/>
      <c r="B25" s="20" t="s">
        <v>26</v>
      </c>
      <c r="C25" s="20"/>
      <c r="D25" s="29">
        <v>28145.26</v>
      </c>
      <c r="E25" s="28">
        <f>D25*26.2%</f>
        <v>7374.0581199999997</v>
      </c>
    </row>
    <row r="26" spans="1:5" x14ac:dyDescent="0.25">
      <c r="A26" s="20"/>
      <c r="B26" s="20" t="s">
        <v>27</v>
      </c>
      <c r="C26" s="20"/>
      <c r="D26" s="20">
        <v>25753.29</v>
      </c>
      <c r="E26" s="28">
        <f>D26*26.2%</f>
        <v>6747.3619800000006</v>
      </c>
    </row>
    <row r="27" spans="1:5" x14ac:dyDescent="0.25">
      <c r="A27" s="20">
        <v>2</v>
      </c>
      <c r="B27" s="27" t="s">
        <v>28</v>
      </c>
      <c r="C27" s="20"/>
      <c r="D27" s="20">
        <v>2624.41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59892.9</v>
      </c>
      <c r="E28" s="26">
        <f>E29</f>
        <v>14744.9015</v>
      </c>
    </row>
    <row r="29" spans="1:5" x14ac:dyDescent="0.25">
      <c r="A29" s="20">
        <v>1</v>
      </c>
      <c r="B29" s="31" t="s">
        <v>31</v>
      </c>
      <c r="C29" s="20"/>
      <c r="D29" s="31">
        <v>56278.25</v>
      </c>
      <c r="E29" s="28">
        <f>D29*26.2%</f>
        <v>14744.9015</v>
      </c>
    </row>
    <row r="30" spans="1:5" x14ac:dyDescent="0.25">
      <c r="A30" s="20">
        <v>2</v>
      </c>
      <c r="B30" s="31" t="s">
        <v>28</v>
      </c>
      <c r="C30" s="20"/>
      <c r="D30" s="31">
        <v>3614.65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D32+D34+D35+D36+D37+D38+D33</f>
        <v>32129.700499999999</v>
      </c>
      <c r="E31" s="20"/>
    </row>
    <row r="32" spans="1:5" x14ac:dyDescent="0.25">
      <c r="A32" s="20"/>
      <c r="B32" s="20" t="s">
        <v>34</v>
      </c>
      <c r="C32" s="20"/>
      <c r="D32" s="28">
        <f>D19*5%</f>
        <v>11962.890500000001</v>
      </c>
      <c r="E32" s="20"/>
    </row>
    <row r="33" spans="1:5" x14ac:dyDescent="0.25">
      <c r="A33" s="20"/>
      <c r="B33" s="31" t="s">
        <v>58</v>
      </c>
      <c r="C33" s="20"/>
      <c r="D33" s="28">
        <f>2*84.52</f>
        <v>169.04</v>
      </c>
      <c r="E33" s="20"/>
    </row>
    <row r="34" spans="1:5" x14ac:dyDescent="0.25">
      <c r="A34" s="20"/>
      <c r="B34" s="20" t="s">
        <v>35</v>
      </c>
      <c r="C34" s="20"/>
      <c r="D34" s="20">
        <v>3090</v>
      </c>
      <c r="E34" s="20"/>
    </row>
    <row r="35" spans="1:5" x14ac:dyDescent="0.25">
      <c r="A35" s="20"/>
      <c r="B35" s="20" t="s">
        <v>36</v>
      </c>
      <c r="C35" s="20"/>
      <c r="D35" s="28">
        <v>10292.030000000001</v>
      </c>
      <c r="E35" s="20"/>
    </row>
    <row r="36" spans="1:5" x14ac:dyDescent="0.25">
      <c r="A36" s="20"/>
      <c r="B36" s="27" t="s">
        <v>37</v>
      </c>
      <c r="C36" s="20"/>
      <c r="D36" s="20">
        <v>1259.94</v>
      </c>
      <c r="E36" s="20"/>
    </row>
    <row r="37" spans="1:5" x14ac:dyDescent="0.25">
      <c r="A37" s="20"/>
      <c r="B37" s="27" t="s">
        <v>38</v>
      </c>
      <c r="C37" s="20"/>
      <c r="D37" s="20">
        <v>1726.87</v>
      </c>
      <c r="E37" s="20"/>
    </row>
    <row r="38" spans="1:5" x14ac:dyDescent="0.25">
      <c r="A38" s="20"/>
      <c r="B38" s="20" t="s">
        <v>41</v>
      </c>
      <c r="C38" s="20"/>
      <c r="D38" s="20">
        <v>3628.93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31623.99</v>
      </c>
      <c r="E39" s="26">
        <f>E40</f>
        <v>6799.6781400000009</v>
      </c>
    </row>
    <row r="40" spans="1:5" x14ac:dyDescent="0.25">
      <c r="A40" s="20"/>
      <c r="B40" s="31" t="s">
        <v>43</v>
      </c>
      <c r="C40" s="31"/>
      <c r="D40" s="33">
        <v>25952.97</v>
      </c>
      <c r="E40" s="28">
        <f>D40*26.2%</f>
        <v>6799.6781400000009</v>
      </c>
    </row>
    <row r="41" spans="1:5" x14ac:dyDescent="0.25">
      <c r="A41" s="20"/>
      <c r="B41" s="27" t="s">
        <v>44</v>
      </c>
      <c r="C41" s="20"/>
      <c r="D41" s="33">
        <v>5671.02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D22+E22+D28+E28+D31+D39+E39</f>
        <v>239504.01950000002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D19*6%</f>
        <v>14355.4686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253859.48810000002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D19-D44</f>
        <v>-14601.678100000019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D11+D46</f>
        <v>-93372.928100000019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E11" sqref="E11"/>
    </sheetView>
  </sheetViews>
  <sheetFormatPr defaultRowHeight="15" x14ac:dyDescent="0.25"/>
  <cols>
    <col min="2" max="2" width="41.140625" customWidth="1"/>
    <col min="4" max="4" width="10.5703125" customWidth="1"/>
    <col min="5" max="5" width="10.28515625" customWidth="1"/>
  </cols>
  <sheetData>
    <row r="1" spans="1:5" ht="15.75" x14ac:dyDescent="0.25">
      <c r="A1" s="220"/>
      <c r="B1" s="221" t="s">
        <v>0</v>
      </c>
      <c r="C1" s="220"/>
      <c r="D1" s="220"/>
      <c r="E1" s="220"/>
    </row>
    <row r="2" spans="1:5" x14ac:dyDescent="0.25">
      <c r="A2" s="220"/>
      <c r="B2" s="220"/>
      <c r="C2" s="220"/>
      <c r="D2" s="220"/>
      <c r="E2" s="220"/>
    </row>
    <row r="3" spans="1:5" x14ac:dyDescent="0.25">
      <c r="A3" s="220"/>
      <c r="B3" s="220" t="s">
        <v>1</v>
      </c>
      <c r="C3" s="220"/>
      <c r="D3" s="220"/>
      <c r="E3" s="220"/>
    </row>
    <row r="4" spans="1:5" x14ac:dyDescent="0.25">
      <c r="A4" s="220"/>
      <c r="B4" s="222" t="s">
        <v>107</v>
      </c>
      <c r="C4" s="220"/>
      <c r="D4" s="220"/>
      <c r="E4" s="220"/>
    </row>
    <row r="5" spans="1:5" x14ac:dyDescent="0.25">
      <c r="A5" s="223"/>
      <c r="B5" s="220" t="s">
        <v>55</v>
      </c>
      <c r="C5" s="220"/>
      <c r="D5" s="220"/>
      <c r="E5" s="220"/>
    </row>
    <row r="6" spans="1:5" x14ac:dyDescent="0.25">
      <c r="A6" s="224"/>
      <c r="B6" s="224"/>
      <c r="C6" s="224"/>
      <c r="D6" s="225"/>
      <c r="E6" s="226"/>
    </row>
    <row r="7" spans="1:5" ht="15.75" x14ac:dyDescent="0.25">
      <c r="A7" s="227"/>
      <c r="B7" s="228" t="s">
        <v>4</v>
      </c>
      <c r="C7" s="229" t="s">
        <v>5</v>
      </c>
      <c r="D7" s="523" t="s">
        <v>6</v>
      </c>
      <c r="E7" s="524"/>
    </row>
    <row r="8" spans="1:5" ht="15.75" x14ac:dyDescent="0.25">
      <c r="A8" s="230"/>
      <c r="B8" s="228" t="s">
        <v>7</v>
      </c>
      <c r="C8" s="229" t="s">
        <v>8</v>
      </c>
      <c r="D8" s="525" t="s">
        <v>92</v>
      </c>
      <c r="E8" s="526"/>
    </row>
    <row r="9" spans="1:5" x14ac:dyDescent="0.25">
      <c r="A9" s="231"/>
      <c r="B9" s="231"/>
      <c r="C9" s="231"/>
      <c r="D9" s="232"/>
      <c r="E9" s="233"/>
    </row>
    <row r="10" spans="1:5" x14ac:dyDescent="0.25">
      <c r="A10" s="231"/>
      <c r="B10" s="234" t="s">
        <v>10</v>
      </c>
      <c r="C10" s="231"/>
      <c r="D10" s="232">
        <v>-102331.28</v>
      </c>
      <c r="E10" s="233"/>
    </row>
    <row r="11" spans="1:5" x14ac:dyDescent="0.25">
      <c r="A11" s="235"/>
      <c r="B11" s="236" t="s">
        <v>11</v>
      </c>
      <c r="C11" s="235" t="s">
        <v>12</v>
      </c>
      <c r="D11" s="235">
        <v>3011.34</v>
      </c>
      <c r="E11" s="235"/>
    </row>
    <row r="12" spans="1:5" x14ac:dyDescent="0.25">
      <c r="A12" s="235"/>
      <c r="B12" s="236" t="s">
        <v>13</v>
      </c>
      <c r="C12" s="235" t="s">
        <v>12</v>
      </c>
      <c r="D12" s="237">
        <v>2135</v>
      </c>
      <c r="E12" s="235"/>
    </row>
    <row r="13" spans="1:5" x14ac:dyDescent="0.25">
      <c r="A13" s="235"/>
      <c r="B13" s="238" t="s">
        <v>14</v>
      </c>
      <c r="C13" s="235" t="s">
        <v>63</v>
      </c>
      <c r="D13" s="235">
        <f>44650.53*2</f>
        <v>89301.06</v>
      </c>
      <c r="E13" s="235"/>
    </row>
    <row r="14" spans="1:5" x14ac:dyDescent="0.25">
      <c r="A14" s="235"/>
      <c r="B14" s="235"/>
      <c r="C14" s="235"/>
      <c r="D14" s="235"/>
      <c r="E14" s="235"/>
    </row>
    <row r="15" spans="1:5" ht="15.75" x14ac:dyDescent="0.25">
      <c r="A15" s="235"/>
      <c r="B15" s="239" t="s">
        <v>16</v>
      </c>
      <c r="C15" s="235"/>
      <c r="D15" s="235"/>
      <c r="E15" s="235"/>
    </row>
    <row r="16" spans="1:5" x14ac:dyDescent="0.25">
      <c r="A16" s="235">
        <v>1</v>
      </c>
      <c r="B16" s="235" t="s">
        <v>17</v>
      </c>
      <c r="C16" s="235" t="s">
        <v>15</v>
      </c>
      <c r="D16" s="237">
        <v>84338.73</v>
      </c>
      <c r="E16" s="235"/>
    </row>
    <row r="17" spans="1:5" x14ac:dyDescent="0.25">
      <c r="A17" s="235">
        <v>2</v>
      </c>
      <c r="B17" s="235" t="s">
        <v>18</v>
      </c>
      <c r="C17" s="235"/>
      <c r="D17" s="235">
        <v>15260.9</v>
      </c>
      <c r="E17" s="235"/>
    </row>
    <row r="18" spans="1:5" ht="15.75" x14ac:dyDescent="0.25">
      <c r="A18" s="235"/>
      <c r="B18" s="239" t="s">
        <v>19</v>
      </c>
      <c r="C18" s="235"/>
      <c r="D18" s="240">
        <f>D16+D17</f>
        <v>99599.62999999999</v>
      </c>
      <c r="E18" s="235"/>
    </row>
    <row r="19" spans="1:5" ht="15.75" x14ac:dyDescent="0.25">
      <c r="A19" s="235"/>
      <c r="B19" s="239"/>
      <c r="C19" s="235"/>
      <c r="D19" s="241"/>
      <c r="E19" s="235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41131.33</v>
      </c>
      <c r="E21" s="26">
        <f>E22</f>
        <v>10468.359339999999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39955.57</v>
      </c>
      <c r="E22" s="26">
        <f>E23+E24+E25</f>
        <v>10468.359339999999</v>
      </c>
    </row>
    <row r="23" spans="1:5" x14ac:dyDescent="0.25">
      <c r="A23" s="20"/>
      <c r="B23" s="20" t="s">
        <v>25</v>
      </c>
      <c r="C23" s="20"/>
      <c r="D23" s="20">
        <v>15197.78</v>
      </c>
      <c r="E23" s="28">
        <f>D23*26.2%</f>
        <v>3981.8183600000002</v>
      </c>
    </row>
    <row r="24" spans="1:5" x14ac:dyDescent="0.25">
      <c r="A24" s="20"/>
      <c r="B24" s="20" t="s">
        <v>26</v>
      </c>
      <c r="C24" s="20"/>
      <c r="D24" s="29">
        <v>13273.88</v>
      </c>
      <c r="E24" s="28">
        <f>D24*26.2%</f>
        <v>3477.7565599999998</v>
      </c>
    </row>
    <row r="25" spans="1:5" x14ac:dyDescent="0.25">
      <c r="A25" s="20"/>
      <c r="B25" s="20" t="s">
        <v>27</v>
      </c>
      <c r="C25" s="20"/>
      <c r="D25" s="20">
        <v>11483.91</v>
      </c>
      <c r="E25" s="28">
        <f>D25*26.2%</f>
        <v>3008.78442</v>
      </c>
    </row>
    <row r="26" spans="1:5" x14ac:dyDescent="0.25">
      <c r="A26" s="20">
        <v>2</v>
      </c>
      <c r="B26" s="27" t="s">
        <v>28</v>
      </c>
      <c r="C26" s="20"/>
      <c r="D26" s="20">
        <v>1175.76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18999.39</v>
      </c>
      <c r="E27" s="26">
        <f>E28</f>
        <v>4962.4607799999994</v>
      </c>
    </row>
    <row r="28" spans="1:5" x14ac:dyDescent="0.25">
      <c r="A28" s="20">
        <v>1</v>
      </c>
      <c r="B28" s="31" t="s">
        <v>31</v>
      </c>
      <c r="C28" s="20"/>
      <c r="D28" s="31">
        <v>18940.689999999999</v>
      </c>
      <c r="E28" s="28">
        <f>D28*26.2%</f>
        <v>4962.4607799999994</v>
      </c>
    </row>
    <row r="29" spans="1:5" x14ac:dyDescent="0.25">
      <c r="A29" s="20">
        <v>2</v>
      </c>
      <c r="B29" s="31" t="s">
        <v>28</v>
      </c>
      <c r="C29" s="20"/>
      <c r="D29" s="31">
        <v>58.7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D31+D33+D34+D35+D36+D37</f>
        <v>17615.741499999996</v>
      </c>
      <c r="E30" s="20"/>
    </row>
    <row r="31" spans="1:5" x14ac:dyDescent="0.25">
      <c r="A31" s="20"/>
      <c r="B31" s="20" t="s">
        <v>34</v>
      </c>
      <c r="C31" s="20"/>
      <c r="D31" s="28">
        <f>D18*5%</f>
        <v>4979.9814999999999</v>
      </c>
      <c r="E31" s="20"/>
    </row>
    <row r="32" spans="1:5" x14ac:dyDescent="0.25">
      <c r="A32" s="20"/>
      <c r="B32" s="31" t="s">
        <v>58</v>
      </c>
      <c r="C32" s="20"/>
      <c r="D32" s="28">
        <f>4*84.52</f>
        <v>338.08</v>
      </c>
      <c r="E32" s="20"/>
    </row>
    <row r="33" spans="1:5" x14ac:dyDescent="0.25">
      <c r="A33" s="20"/>
      <c r="B33" s="20" t="s">
        <v>36</v>
      </c>
      <c r="C33" s="20"/>
      <c r="D33" s="28">
        <v>3463.83</v>
      </c>
      <c r="E33" s="20"/>
    </row>
    <row r="34" spans="1:5" x14ac:dyDescent="0.25">
      <c r="A34" s="20"/>
      <c r="B34" s="235" t="s">
        <v>97</v>
      </c>
      <c r="C34" s="20"/>
      <c r="D34" s="28">
        <v>6945.37</v>
      </c>
      <c r="E34" s="20"/>
    </row>
    <row r="35" spans="1:5" x14ac:dyDescent="0.25">
      <c r="A35" s="20"/>
      <c r="B35" s="27" t="s">
        <v>37</v>
      </c>
      <c r="C35" s="20"/>
      <c r="D35" s="20">
        <v>424.04</v>
      </c>
      <c r="E35" s="20"/>
    </row>
    <row r="36" spans="1:5" x14ac:dyDescent="0.25">
      <c r="A36" s="20"/>
      <c r="B36" s="27" t="s">
        <v>38</v>
      </c>
      <c r="C36" s="20"/>
      <c r="D36" s="20">
        <v>581.19000000000005</v>
      </c>
      <c r="E36" s="20"/>
    </row>
    <row r="37" spans="1:5" x14ac:dyDescent="0.25">
      <c r="A37" s="20"/>
      <c r="B37" s="20" t="s">
        <v>41</v>
      </c>
      <c r="C37" s="20"/>
      <c r="D37" s="20">
        <v>1221.33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10643.2</v>
      </c>
      <c r="E38" s="26">
        <f>E39</f>
        <v>2288.4625800000003</v>
      </c>
    </row>
    <row r="39" spans="1:5" x14ac:dyDescent="0.25">
      <c r="A39" s="20"/>
      <c r="B39" s="31" t="s">
        <v>43</v>
      </c>
      <c r="C39" s="31"/>
      <c r="D39" s="33">
        <v>8734.59</v>
      </c>
      <c r="E39" s="28">
        <f>D39*26.2%</f>
        <v>2288.4625800000003</v>
      </c>
    </row>
    <row r="40" spans="1:5" x14ac:dyDescent="0.25">
      <c r="A40" s="20"/>
      <c r="B40" s="27" t="s">
        <v>44</v>
      </c>
      <c r="C40" s="20"/>
      <c r="D40" s="33">
        <v>1908.61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D21+E21+D27+E27+D30+D38+E38</f>
        <v>106108.9442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5975.9777999999988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112084.92199999999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48</v>
      </c>
      <c r="C45" s="20"/>
      <c r="D45" s="26">
        <f>D16-D43</f>
        <v>-27746.191999999995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-130077.47199999999</v>
      </c>
      <c r="E46" s="20"/>
    </row>
    <row r="47" spans="1:5" x14ac:dyDescent="0.25">
      <c r="A47" s="34"/>
      <c r="B47" s="35" t="s">
        <v>18</v>
      </c>
      <c r="C47" s="34"/>
      <c r="D47" s="36">
        <v>15260.9</v>
      </c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7" workbookViewId="0">
      <selection activeCell="F51" sqref="F51"/>
    </sheetView>
  </sheetViews>
  <sheetFormatPr defaultRowHeight="15" x14ac:dyDescent="0.25"/>
  <cols>
    <col min="1" max="1" width="6.42578125" customWidth="1"/>
    <col min="2" max="2" width="41.140625" customWidth="1"/>
    <col min="4" max="4" width="11" customWidth="1"/>
    <col min="5" max="5" width="11.28515625" customWidth="1"/>
  </cols>
  <sheetData>
    <row r="1" spans="1:5" ht="15.75" x14ac:dyDescent="0.25">
      <c r="A1" s="242"/>
      <c r="B1" s="243" t="s">
        <v>0</v>
      </c>
      <c r="C1" s="242"/>
      <c r="D1" s="242"/>
      <c r="E1" s="242"/>
    </row>
    <row r="2" spans="1:5" x14ac:dyDescent="0.25">
      <c r="A2" s="242"/>
      <c r="B2" s="242"/>
      <c r="C2" s="242"/>
      <c r="D2" s="242"/>
      <c r="E2" s="242"/>
    </row>
    <row r="3" spans="1:5" x14ac:dyDescent="0.25">
      <c r="A3" s="242"/>
      <c r="B3" s="244" t="s">
        <v>108</v>
      </c>
      <c r="C3" s="242"/>
      <c r="D3" s="242"/>
      <c r="E3" s="242"/>
    </row>
    <row r="4" spans="1:5" x14ac:dyDescent="0.25">
      <c r="A4" s="242"/>
      <c r="B4" s="245" t="s">
        <v>109</v>
      </c>
      <c r="C4" s="242"/>
      <c r="D4" s="242"/>
      <c r="E4" s="242"/>
    </row>
    <row r="5" spans="1:5" x14ac:dyDescent="0.25">
      <c r="A5" s="242"/>
      <c r="B5" s="242" t="s">
        <v>96</v>
      </c>
      <c r="C5" s="242"/>
      <c r="D5" s="242"/>
      <c r="E5" s="242"/>
    </row>
    <row r="6" spans="1:5" x14ac:dyDescent="0.25">
      <c r="A6" s="246"/>
      <c r="B6" s="246"/>
      <c r="C6" s="246"/>
      <c r="D6" s="247"/>
      <c r="E6" s="248"/>
    </row>
    <row r="7" spans="1:5" ht="15.75" x14ac:dyDescent="0.25">
      <c r="A7" s="249"/>
      <c r="B7" s="250" t="s">
        <v>4</v>
      </c>
      <c r="C7" s="251" t="s">
        <v>5</v>
      </c>
      <c r="D7" s="527" t="s">
        <v>6</v>
      </c>
      <c r="E7" s="528"/>
    </row>
    <row r="8" spans="1:5" ht="15.75" x14ac:dyDescent="0.25">
      <c r="A8" s="252"/>
      <c r="B8" s="250" t="s">
        <v>7</v>
      </c>
      <c r="C8" s="251" t="s">
        <v>8</v>
      </c>
      <c r="D8" s="529" t="s">
        <v>92</v>
      </c>
      <c r="E8" s="530"/>
    </row>
    <row r="9" spans="1:5" x14ac:dyDescent="0.25">
      <c r="A9" s="253"/>
      <c r="B9" s="253"/>
      <c r="C9" s="253"/>
      <c r="D9" s="254"/>
      <c r="E9" s="255"/>
    </row>
    <row r="10" spans="1:5" x14ac:dyDescent="0.25">
      <c r="A10" s="253"/>
      <c r="B10" s="256" t="s">
        <v>10</v>
      </c>
      <c r="C10" s="253"/>
      <c r="D10" s="254">
        <v>-4649.57</v>
      </c>
      <c r="E10" s="255"/>
    </row>
    <row r="11" spans="1:5" x14ac:dyDescent="0.25">
      <c r="A11" s="257"/>
      <c r="B11" s="258" t="s">
        <v>11</v>
      </c>
      <c r="C11" s="257" t="s">
        <v>12</v>
      </c>
      <c r="D11" s="257">
        <v>5460.6</v>
      </c>
      <c r="E11" s="257"/>
    </row>
    <row r="12" spans="1:5" x14ac:dyDescent="0.25">
      <c r="A12" s="257"/>
      <c r="B12" s="258" t="s">
        <v>13</v>
      </c>
      <c r="C12" s="257" t="s">
        <v>12</v>
      </c>
      <c r="D12" s="257">
        <v>4405.1000000000004</v>
      </c>
      <c r="E12" s="257"/>
    </row>
    <row r="13" spans="1:5" x14ac:dyDescent="0.25">
      <c r="A13" s="257"/>
      <c r="B13" s="259" t="s">
        <v>14</v>
      </c>
      <c r="C13" s="257" t="s">
        <v>63</v>
      </c>
      <c r="D13" s="257">
        <f>84710.1*2</f>
        <v>169420.2</v>
      </c>
      <c r="E13" s="257"/>
    </row>
    <row r="14" spans="1:5" x14ac:dyDescent="0.25">
      <c r="A14" s="257"/>
      <c r="B14" s="257"/>
      <c r="C14" s="257"/>
      <c r="D14" s="257"/>
      <c r="E14" s="257"/>
    </row>
    <row r="15" spans="1:5" ht="15.75" x14ac:dyDescent="0.25">
      <c r="A15" s="257"/>
      <c r="B15" s="260" t="s">
        <v>16</v>
      </c>
      <c r="C15" s="257"/>
      <c r="D15" s="257"/>
      <c r="E15" s="257"/>
    </row>
    <row r="16" spans="1:5" x14ac:dyDescent="0.25">
      <c r="A16" s="257">
        <v>1</v>
      </c>
      <c r="B16" s="257" t="s">
        <v>17</v>
      </c>
      <c r="C16" s="257" t="s">
        <v>15</v>
      </c>
      <c r="D16" s="257">
        <v>156727.74</v>
      </c>
      <c r="E16" s="257"/>
    </row>
    <row r="17" spans="1:5" x14ac:dyDescent="0.25">
      <c r="A17" s="257"/>
      <c r="B17" s="257"/>
      <c r="C17" s="257"/>
      <c r="D17" s="257"/>
      <c r="E17" s="257"/>
    </row>
    <row r="18" spans="1:5" ht="15.75" x14ac:dyDescent="0.25">
      <c r="A18" s="257"/>
      <c r="B18" s="260" t="s">
        <v>19</v>
      </c>
      <c r="C18" s="257"/>
      <c r="D18" s="261">
        <f>D16</f>
        <v>156727.74</v>
      </c>
      <c r="E18" s="257"/>
    </row>
    <row r="19" spans="1:5" ht="15.75" x14ac:dyDescent="0.25">
      <c r="A19" s="257"/>
      <c r="B19" s="260"/>
      <c r="C19" s="257"/>
      <c r="D19" s="261"/>
      <c r="E19" s="257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13577.49</v>
      </c>
      <c r="E21" s="26">
        <f>E22</f>
        <v>2949.9051600000003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11259.18</v>
      </c>
      <c r="E22" s="26">
        <f>E23</f>
        <v>2949.9051600000003</v>
      </c>
    </row>
    <row r="23" spans="1:5" x14ac:dyDescent="0.25">
      <c r="A23" s="20"/>
      <c r="B23" s="20" t="s">
        <v>25</v>
      </c>
      <c r="C23" s="20"/>
      <c r="D23" s="20">
        <v>11259.18</v>
      </c>
      <c r="E23" s="28">
        <f>D23*26.2%</f>
        <v>2949.9051600000003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2318.31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40157.1</v>
      </c>
      <c r="E27" s="26">
        <f>E28</f>
        <v>10323.31352</v>
      </c>
    </row>
    <row r="28" spans="1:5" x14ac:dyDescent="0.25">
      <c r="A28" s="20">
        <v>1</v>
      </c>
      <c r="B28" s="31" t="s">
        <v>31</v>
      </c>
      <c r="C28" s="20"/>
      <c r="D28" s="31">
        <v>39401.96</v>
      </c>
      <c r="E28" s="28">
        <f>D28*26.2%</f>
        <v>10323.31352</v>
      </c>
    </row>
    <row r="29" spans="1:5" x14ac:dyDescent="0.25">
      <c r="A29" s="20">
        <v>2</v>
      </c>
      <c r="B29" s="31" t="s">
        <v>28</v>
      </c>
      <c r="C29" s="20"/>
      <c r="D29" s="31">
        <v>755.14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</f>
        <v>20800.846999999998</v>
      </c>
      <c r="E30" s="20"/>
    </row>
    <row r="31" spans="1:5" x14ac:dyDescent="0.25">
      <c r="A31" s="20"/>
      <c r="B31" s="20" t="s">
        <v>34</v>
      </c>
      <c r="C31" s="20"/>
      <c r="D31" s="28">
        <f>D18*5%</f>
        <v>7836.3869999999997</v>
      </c>
      <c r="E31" s="20"/>
    </row>
    <row r="32" spans="1:5" x14ac:dyDescent="0.25">
      <c r="A32" s="20"/>
      <c r="B32" s="31" t="s">
        <v>58</v>
      </c>
      <c r="C32" s="20"/>
      <c r="D32" s="20">
        <f>84.52*4</f>
        <v>338.08</v>
      </c>
      <c r="E32" s="20"/>
    </row>
    <row r="33" spans="1:5" x14ac:dyDescent="0.25">
      <c r="A33" s="20"/>
      <c r="B33" s="20" t="s">
        <v>36</v>
      </c>
      <c r="C33" s="20"/>
      <c r="D33" s="28">
        <v>7994.52</v>
      </c>
      <c r="E33" s="20"/>
    </row>
    <row r="34" spans="1:5" x14ac:dyDescent="0.25">
      <c r="A34" s="20"/>
      <c r="B34" s="27" t="s">
        <v>37</v>
      </c>
      <c r="C34" s="20"/>
      <c r="D34" s="20">
        <v>882.12</v>
      </c>
      <c r="E34" s="20"/>
    </row>
    <row r="35" spans="1:5" x14ac:dyDescent="0.25">
      <c r="A35" s="20"/>
      <c r="B35" s="27" t="s">
        <v>38</v>
      </c>
      <c r="C35" s="20"/>
      <c r="D35" s="20">
        <v>1209.03</v>
      </c>
      <c r="E35" s="20"/>
    </row>
    <row r="36" spans="1:5" x14ac:dyDescent="0.25">
      <c r="A36" s="20"/>
      <c r="B36" s="20" t="s">
        <v>41</v>
      </c>
      <c r="C36" s="20"/>
      <c r="D36" s="20">
        <v>2540.71</v>
      </c>
      <c r="E36" s="20"/>
    </row>
    <row r="37" spans="1:5" x14ac:dyDescent="0.25">
      <c r="A37" s="20">
        <v>4</v>
      </c>
      <c r="B37" s="22" t="s">
        <v>42</v>
      </c>
      <c r="C37" s="20"/>
      <c r="D37" s="26">
        <f>D38+D39</f>
        <v>22140.829999999998</v>
      </c>
      <c r="E37" s="26">
        <f>E38</f>
        <v>4760.6421799999998</v>
      </c>
    </row>
    <row r="38" spans="1:5" x14ac:dyDescent="0.25">
      <c r="A38" s="20"/>
      <c r="B38" s="31" t="s">
        <v>43</v>
      </c>
      <c r="C38" s="31"/>
      <c r="D38" s="33">
        <v>18170.39</v>
      </c>
      <c r="E38" s="28">
        <f>D38*26.2%</f>
        <v>4760.6421799999998</v>
      </c>
    </row>
    <row r="39" spans="1:5" x14ac:dyDescent="0.25">
      <c r="A39" s="20"/>
      <c r="B39" s="27" t="s">
        <v>44</v>
      </c>
      <c r="C39" s="20"/>
      <c r="D39" s="33">
        <v>3970.44</v>
      </c>
      <c r="E39" s="20"/>
    </row>
    <row r="40" spans="1:5" x14ac:dyDescent="0.25">
      <c r="A40" s="20">
        <v>5</v>
      </c>
      <c r="B40" s="22" t="s">
        <v>45</v>
      </c>
      <c r="C40" s="20"/>
      <c r="D40" s="26">
        <f>D21+E21+D27+E27+D30+D37+E37</f>
        <v>114710.12785999999</v>
      </c>
      <c r="E40" s="20"/>
    </row>
    <row r="41" spans="1:5" x14ac:dyDescent="0.25">
      <c r="A41" s="20">
        <v>6</v>
      </c>
      <c r="B41" s="20" t="s">
        <v>46</v>
      </c>
      <c r="C41" s="20"/>
      <c r="D41" s="26">
        <f>D18*6%</f>
        <v>9403.6643999999997</v>
      </c>
      <c r="E41" s="20"/>
    </row>
    <row r="42" spans="1:5" x14ac:dyDescent="0.25">
      <c r="A42" s="20">
        <v>7</v>
      </c>
      <c r="B42" s="22" t="s">
        <v>47</v>
      </c>
      <c r="C42" s="20"/>
      <c r="D42" s="26">
        <f>D40+D41</f>
        <v>124113.79225999999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59</v>
      </c>
      <c r="C44" s="20"/>
      <c r="D44" s="26">
        <f>D18-D42</f>
        <v>32613.947740000003</v>
      </c>
      <c r="E44" s="20"/>
    </row>
    <row r="45" spans="1:5" x14ac:dyDescent="0.25">
      <c r="A45" s="20">
        <v>9</v>
      </c>
      <c r="B45" s="22" t="s">
        <v>49</v>
      </c>
      <c r="C45" s="20"/>
      <c r="D45" s="26">
        <f>D10+D44</f>
        <v>27964.377740000004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7"/>
      <c r="B47" s="37" t="s">
        <v>50</v>
      </c>
      <c r="C47" s="37"/>
      <c r="D47" s="37" t="s">
        <v>51</v>
      </c>
      <c r="E47" s="37"/>
    </row>
    <row r="48" spans="1:5" x14ac:dyDescent="0.25">
      <c r="A48" s="37"/>
      <c r="B48" s="37" t="s">
        <v>52</v>
      </c>
      <c r="C48" s="37"/>
      <c r="D48" s="37" t="s">
        <v>53</v>
      </c>
      <c r="E48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E12" sqref="E12"/>
    </sheetView>
  </sheetViews>
  <sheetFormatPr defaultRowHeight="15" x14ac:dyDescent="0.25"/>
  <cols>
    <col min="2" max="2" width="40.7109375" customWidth="1"/>
    <col min="4" max="4" width="11" customWidth="1"/>
    <col min="5" max="5" width="10.5703125" customWidth="1"/>
  </cols>
  <sheetData>
    <row r="1" spans="1:5" ht="15.75" x14ac:dyDescent="0.25">
      <c r="A1" s="262"/>
      <c r="B1" s="263" t="s">
        <v>0</v>
      </c>
      <c r="C1" s="262"/>
      <c r="D1" s="262"/>
      <c r="E1" s="262"/>
    </row>
    <row r="2" spans="1:5" x14ac:dyDescent="0.25">
      <c r="A2" s="262"/>
      <c r="B2" s="262"/>
      <c r="C2" s="262"/>
      <c r="D2" s="262"/>
      <c r="E2" s="262"/>
    </row>
    <row r="3" spans="1:5" x14ac:dyDescent="0.25">
      <c r="A3" s="262"/>
      <c r="B3" s="262" t="s">
        <v>1</v>
      </c>
      <c r="C3" s="262"/>
      <c r="D3" s="262"/>
      <c r="E3" s="262"/>
    </row>
    <row r="4" spans="1:5" x14ac:dyDescent="0.25">
      <c r="A4" s="262"/>
      <c r="B4" s="264" t="s">
        <v>110</v>
      </c>
      <c r="C4" s="262"/>
      <c r="D4" s="262"/>
      <c r="E4" s="262"/>
    </row>
    <row r="5" spans="1:5" x14ac:dyDescent="0.25">
      <c r="A5" s="262"/>
      <c r="B5" s="262" t="s">
        <v>111</v>
      </c>
      <c r="C5" s="262"/>
      <c r="D5" s="262"/>
      <c r="E5" s="262"/>
    </row>
    <row r="6" spans="1:5" x14ac:dyDescent="0.25">
      <c r="A6" s="265"/>
      <c r="B6" s="265"/>
      <c r="C6" s="265"/>
      <c r="D6" s="266"/>
      <c r="E6" s="267"/>
    </row>
    <row r="7" spans="1:5" ht="15.75" x14ac:dyDescent="0.25">
      <c r="A7" s="268"/>
      <c r="B7" s="269" t="s">
        <v>4</v>
      </c>
      <c r="C7" s="270" t="s">
        <v>5</v>
      </c>
      <c r="D7" s="531" t="s">
        <v>6</v>
      </c>
      <c r="E7" s="532"/>
    </row>
    <row r="8" spans="1:5" ht="15.75" x14ac:dyDescent="0.25">
      <c r="A8" s="271"/>
      <c r="B8" s="269" t="s">
        <v>7</v>
      </c>
      <c r="C8" s="270" t="s">
        <v>8</v>
      </c>
      <c r="D8" s="533" t="s">
        <v>92</v>
      </c>
      <c r="E8" s="534"/>
    </row>
    <row r="9" spans="1:5" x14ac:dyDescent="0.25">
      <c r="A9" s="272"/>
      <c r="B9" s="272"/>
      <c r="C9" s="272"/>
      <c r="D9" s="273"/>
      <c r="E9" s="274"/>
    </row>
    <row r="10" spans="1:5" x14ac:dyDescent="0.25">
      <c r="A10" s="272"/>
      <c r="B10" s="275" t="s">
        <v>10</v>
      </c>
      <c r="C10" s="272"/>
      <c r="D10" s="273">
        <v>-90415.74</v>
      </c>
      <c r="E10" s="274"/>
    </row>
    <row r="11" spans="1:5" x14ac:dyDescent="0.25">
      <c r="A11" s="276"/>
      <c r="B11" s="277" t="s">
        <v>11</v>
      </c>
      <c r="C11" s="276" t="s">
        <v>12</v>
      </c>
      <c r="D11" s="276">
        <v>4143.2</v>
      </c>
      <c r="E11" s="276"/>
    </row>
    <row r="12" spans="1:5" x14ac:dyDescent="0.25">
      <c r="A12" s="276"/>
      <c r="B12" s="277" t="s">
        <v>13</v>
      </c>
      <c r="C12" s="276" t="s">
        <v>12</v>
      </c>
      <c r="D12" s="276">
        <v>2538.1999999999998</v>
      </c>
      <c r="E12" s="276"/>
    </row>
    <row r="13" spans="1:5" x14ac:dyDescent="0.25">
      <c r="A13" s="276"/>
      <c r="B13" s="278" t="s">
        <v>14</v>
      </c>
      <c r="C13" s="276" t="s">
        <v>63</v>
      </c>
      <c r="D13" s="276">
        <f>48788.52*2</f>
        <v>97577.04</v>
      </c>
      <c r="E13" s="276"/>
    </row>
    <row r="14" spans="1:5" x14ac:dyDescent="0.25">
      <c r="A14" s="276"/>
      <c r="B14" s="276"/>
      <c r="C14" s="276"/>
      <c r="D14" s="276"/>
      <c r="E14" s="276"/>
    </row>
    <row r="15" spans="1:5" ht="15.75" x14ac:dyDescent="0.25">
      <c r="A15" s="276"/>
      <c r="B15" s="279" t="s">
        <v>16</v>
      </c>
      <c r="C15" s="276"/>
      <c r="D15" s="276"/>
      <c r="E15" s="276"/>
    </row>
    <row r="16" spans="1:5" x14ac:dyDescent="0.25">
      <c r="A16" s="276">
        <v>1</v>
      </c>
      <c r="B16" s="276" t="s">
        <v>17</v>
      </c>
      <c r="C16" s="276" t="s">
        <v>15</v>
      </c>
      <c r="D16" s="276">
        <v>92662.23</v>
      </c>
      <c r="E16" s="276"/>
    </row>
    <row r="17" spans="1:5" x14ac:dyDescent="0.25">
      <c r="A17" s="276"/>
      <c r="B17" s="276"/>
      <c r="C17" s="276"/>
      <c r="D17" s="276"/>
      <c r="E17" s="276"/>
    </row>
    <row r="18" spans="1:5" ht="15.75" x14ac:dyDescent="0.25">
      <c r="A18" s="276"/>
      <c r="B18" s="279" t="s">
        <v>19</v>
      </c>
      <c r="C18" s="276"/>
      <c r="D18" s="280">
        <f>D16</f>
        <v>92662.23</v>
      </c>
      <c r="E18" s="276"/>
    </row>
    <row r="19" spans="1:5" ht="15.75" x14ac:dyDescent="0.25">
      <c r="A19" s="276"/>
      <c r="B19" s="279"/>
      <c r="C19" s="276"/>
      <c r="D19" s="280"/>
      <c r="E19" s="276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15030.3</v>
      </c>
      <c r="E21" s="26">
        <f>E22</f>
        <v>3727.66788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14227.74</v>
      </c>
      <c r="E22" s="26">
        <f>E23</f>
        <v>3727.66788</v>
      </c>
    </row>
    <row r="23" spans="1:5" x14ac:dyDescent="0.25">
      <c r="A23" s="20"/>
      <c r="B23" s="20" t="s">
        <v>25</v>
      </c>
      <c r="C23" s="20"/>
      <c r="D23" s="20">
        <v>14227.74</v>
      </c>
      <c r="E23" s="28">
        <f>D23*26.2%</f>
        <v>3727.66788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802.56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30134.67</v>
      </c>
      <c r="E27" s="26">
        <f>E28</f>
        <v>5899.6347800000003</v>
      </c>
    </row>
    <row r="28" spans="1:5" x14ac:dyDescent="0.25">
      <c r="A28" s="20">
        <v>1</v>
      </c>
      <c r="B28" s="31" t="s">
        <v>31</v>
      </c>
      <c r="C28" s="20"/>
      <c r="D28" s="31">
        <v>22517.69</v>
      </c>
      <c r="E28" s="28">
        <f>D28*26.2%</f>
        <v>5899.6347800000003</v>
      </c>
    </row>
    <row r="29" spans="1:5" x14ac:dyDescent="0.25">
      <c r="A29" s="20">
        <v>2</v>
      </c>
      <c r="B29" s="31" t="s">
        <v>28</v>
      </c>
      <c r="C29" s="20"/>
      <c r="D29" s="31">
        <v>7616.98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D31+D32+D33+D35+D36+D37+D34</f>
        <v>39009.4015</v>
      </c>
      <c r="E30" s="20"/>
    </row>
    <row r="31" spans="1:5" x14ac:dyDescent="0.25">
      <c r="A31" s="20"/>
      <c r="B31" s="20" t="s">
        <v>34</v>
      </c>
      <c r="C31" s="20"/>
      <c r="D31" s="28">
        <f>D18*5%</f>
        <v>4633.1115</v>
      </c>
      <c r="E31" s="20"/>
    </row>
    <row r="32" spans="1:5" x14ac:dyDescent="0.25">
      <c r="A32" s="20"/>
      <c r="B32" s="31" t="s">
        <v>58</v>
      </c>
      <c r="C32" s="20"/>
      <c r="D32" s="20">
        <f>2*84.52</f>
        <v>169.04</v>
      </c>
      <c r="E32" s="20"/>
    </row>
    <row r="33" spans="1:5" x14ac:dyDescent="0.25">
      <c r="A33" s="20"/>
      <c r="B33" s="20" t="s">
        <v>36</v>
      </c>
      <c r="C33" s="20"/>
      <c r="D33" s="28">
        <v>4117.9799999999996</v>
      </c>
      <c r="E33" s="20"/>
    </row>
    <row r="34" spans="1:5" x14ac:dyDescent="0.25">
      <c r="A34" s="20"/>
      <c r="B34" s="235" t="s">
        <v>97</v>
      </c>
      <c r="C34" s="20"/>
      <c r="D34" s="28">
        <v>27442.23</v>
      </c>
      <c r="E34" s="20"/>
    </row>
    <row r="35" spans="1:5" x14ac:dyDescent="0.25">
      <c r="A35" s="20"/>
      <c r="B35" s="27" t="s">
        <v>37</v>
      </c>
      <c r="C35" s="20"/>
      <c r="D35" s="20">
        <v>504.12</v>
      </c>
      <c r="E35" s="20"/>
    </row>
    <row r="36" spans="1:5" x14ac:dyDescent="0.25">
      <c r="A36" s="20"/>
      <c r="B36" s="27" t="s">
        <v>38</v>
      </c>
      <c r="C36" s="20"/>
      <c r="D36" s="20">
        <v>690.94</v>
      </c>
      <c r="E36" s="20"/>
    </row>
    <row r="37" spans="1:5" x14ac:dyDescent="0.25">
      <c r="A37" s="20"/>
      <c r="B37" s="20" t="s">
        <v>41</v>
      </c>
      <c r="C37" s="20"/>
      <c r="D37" s="20">
        <v>1451.98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12653.18</v>
      </c>
      <c r="E38" s="22">
        <f>E39</f>
        <v>2720.6420599999997</v>
      </c>
    </row>
    <row r="39" spans="1:5" x14ac:dyDescent="0.25">
      <c r="A39" s="20"/>
      <c r="B39" s="31" t="s">
        <v>43</v>
      </c>
      <c r="C39" s="31"/>
      <c r="D39" s="33">
        <v>10384.129999999999</v>
      </c>
      <c r="E39" s="20">
        <f>D39*26.2%</f>
        <v>2720.6420599999997</v>
      </c>
    </row>
    <row r="40" spans="1:5" x14ac:dyDescent="0.25">
      <c r="A40" s="20"/>
      <c r="B40" s="31" t="s">
        <v>44</v>
      </c>
      <c r="C40" s="20"/>
      <c r="D40" s="33">
        <v>2269.0500000000002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D21+E21+D27+E27+D30+D38</f>
        <v>106454.85415999999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5559.7338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112014.58795999999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D18-D43</f>
        <v>-19352.357959999994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-109768.09796</v>
      </c>
      <c r="E46" s="20"/>
    </row>
    <row r="47" spans="1:5" x14ac:dyDescent="0.25">
      <c r="A47" s="34"/>
      <c r="B47" s="35"/>
      <c r="C47" s="34"/>
      <c r="D47" s="262"/>
    </row>
    <row r="48" spans="1:5" x14ac:dyDescent="0.25">
      <c r="A48" s="37"/>
      <c r="B48" s="37" t="s">
        <v>50</v>
      </c>
      <c r="C48" s="281" t="s">
        <v>51</v>
      </c>
      <c r="D48" s="262"/>
    </row>
    <row r="49" spans="1:4" x14ac:dyDescent="0.25">
      <c r="A49" s="37"/>
      <c r="B49" s="37" t="s">
        <v>52</v>
      </c>
      <c r="C49" s="281" t="s">
        <v>53</v>
      </c>
      <c r="D49" s="262"/>
    </row>
    <row r="50" spans="1:4" x14ac:dyDescent="0.25">
      <c r="D50" s="262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4" workbookViewId="0">
      <selection activeCell="E13" sqref="E13"/>
    </sheetView>
  </sheetViews>
  <sheetFormatPr defaultRowHeight="15" x14ac:dyDescent="0.25"/>
  <cols>
    <col min="2" max="2" width="40.28515625" customWidth="1"/>
    <col min="4" max="4" width="10.7109375" customWidth="1"/>
    <col min="5" max="5" width="10.42578125" customWidth="1"/>
  </cols>
  <sheetData>
    <row r="1" spans="1:5" ht="15.75" x14ac:dyDescent="0.25">
      <c r="A1" s="282"/>
      <c r="B1" s="283" t="s">
        <v>0</v>
      </c>
      <c r="C1" s="282"/>
      <c r="D1" s="282"/>
      <c r="E1" s="282"/>
    </row>
    <row r="2" spans="1:5" x14ac:dyDescent="0.25">
      <c r="A2" s="282"/>
      <c r="B2" s="282"/>
      <c r="C2" s="282"/>
      <c r="D2" s="282"/>
      <c r="E2" s="282"/>
    </row>
    <row r="3" spans="1:5" x14ac:dyDescent="0.25">
      <c r="A3" s="282"/>
      <c r="B3" s="282" t="s">
        <v>68</v>
      </c>
      <c r="C3" s="282"/>
      <c r="D3" s="282"/>
      <c r="E3" s="282"/>
    </row>
    <row r="4" spans="1:5" x14ac:dyDescent="0.25">
      <c r="A4" s="282"/>
      <c r="B4" s="535" t="s">
        <v>112</v>
      </c>
      <c r="C4" s="535"/>
      <c r="D4" s="535"/>
      <c r="E4" s="535"/>
    </row>
    <row r="5" spans="1:5" x14ac:dyDescent="0.25">
      <c r="A5" s="282"/>
      <c r="C5" s="282" t="s">
        <v>96</v>
      </c>
      <c r="D5" s="282"/>
      <c r="E5" s="282"/>
    </row>
    <row r="6" spans="1:5" x14ac:dyDescent="0.25">
      <c r="A6" s="284"/>
      <c r="B6" s="284"/>
      <c r="C6" s="284"/>
      <c r="D6" s="285"/>
      <c r="E6" s="286"/>
    </row>
    <row r="7" spans="1:5" ht="15.75" x14ac:dyDescent="0.25">
      <c r="A7" s="287"/>
      <c r="B7" s="288" t="s">
        <v>4</v>
      </c>
      <c r="C7" s="289" t="s">
        <v>5</v>
      </c>
      <c r="D7" s="536" t="s">
        <v>6</v>
      </c>
      <c r="E7" s="537"/>
    </row>
    <row r="8" spans="1:5" ht="15.75" x14ac:dyDescent="0.25">
      <c r="A8" s="290"/>
      <c r="B8" s="288" t="s">
        <v>7</v>
      </c>
      <c r="C8" s="289" t="s">
        <v>8</v>
      </c>
      <c r="D8" s="538" t="s">
        <v>92</v>
      </c>
      <c r="E8" s="539"/>
    </row>
    <row r="9" spans="1:5" x14ac:dyDescent="0.25">
      <c r="A9" s="291"/>
      <c r="B9" s="291"/>
      <c r="C9" s="291"/>
      <c r="D9" s="292"/>
      <c r="E9" s="293"/>
    </row>
    <row r="10" spans="1:5" x14ac:dyDescent="0.25">
      <c r="A10" s="291"/>
      <c r="B10" s="294" t="s">
        <v>10</v>
      </c>
      <c r="C10" s="291"/>
      <c r="D10" s="292">
        <v>-33863.25</v>
      </c>
      <c r="E10" s="293"/>
    </row>
    <row r="11" spans="1:5" x14ac:dyDescent="0.25">
      <c r="A11" s="295"/>
      <c r="B11" s="296" t="s">
        <v>11</v>
      </c>
      <c r="C11" s="295" t="s">
        <v>12</v>
      </c>
      <c r="D11" s="295">
        <v>5388.2</v>
      </c>
      <c r="E11" s="295"/>
    </row>
    <row r="12" spans="1:5" x14ac:dyDescent="0.25">
      <c r="A12" s="295"/>
      <c r="B12" s="296" t="s">
        <v>13</v>
      </c>
      <c r="C12" s="295" t="s">
        <v>12</v>
      </c>
      <c r="D12" s="295">
        <v>4378</v>
      </c>
      <c r="E12" s="295"/>
    </row>
    <row r="13" spans="1:5" x14ac:dyDescent="0.25">
      <c r="A13" s="295"/>
      <c r="B13" s="297" t="s">
        <v>14</v>
      </c>
      <c r="C13" s="295" t="s">
        <v>63</v>
      </c>
      <c r="D13" s="295">
        <f>83916.06*2</f>
        <v>167832.12</v>
      </c>
      <c r="E13" s="295"/>
    </row>
    <row r="14" spans="1:5" x14ac:dyDescent="0.25">
      <c r="A14" s="295"/>
      <c r="B14" s="295"/>
      <c r="C14" s="295"/>
      <c r="D14" s="295"/>
      <c r="E14" s="295"/>
    </row>
    <row r="15" spans="1:5" ht="15.75" x14ac:dyDescent="0.25">
      <c r="A15" s="295"/>
      <c r="B15" s="298" t="s">
        <v>16</v>
      </c>
      <c r="C15" s="295"/>
      <c r="D15" s="295"/>
      <c r="E15" s="295"/>
    </row>
    <row r="16" spans="1:5" x14ac:dyDescent="0.25">
      <c r="A16" s="295">
        <v>1</v>
      </c>
      <c r="B16" s="295" t="s">
        <v>17</v>
      </c>
      <c r="C16" s="295" t="s">
        <v>15</v>
      </c>
      <c r="D16" s="295">
        <v>152413.64000000001</v>
      </c>
      <c r="E16" s="295"/>
    </row>
    <row r="17" spans="1:5" x14ac:dyDescent="0.25">
      <c r="A17" s="295"/>
      <c r="B17" s="295"/>
      <c r="C17" s="295"/>
      <c r="D17" s="295"/>
      <c r="E17" s="295"/>
    </row>
    <row r="18" spans="1:5" ht="15.75" x14ac:dyDescent="0.25">
      <c r="A18" s="295"/>
      <c r="B18" s="298" t="s">
        <v>19</v>
      </c>
      <c r="C18" s="295"/>
      <c r="D18" s="299">
        <f>D16</f>
        <v>152413.64000000001</v>
      </c>
      <c r="E18" s="295"/>
    </row>
    <row r="19" spans="1:5" ht="15.75" x14ac:dyDescent="0.25">
      <c r="A19" s="295"/>
      <c r="B19" s="298"/>
      <c r="C19" s="295"/>
      <c r="D19" s="299"/>
      <c r="E19" s="295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20404.03</v>
      </c>
      <c r="E21" s="26">
        <f>E22</f>
        <v>4983.1692599999997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19019.73</v>
      </c>
      <c r="E22" s="26">
        <f>E23</f>
        <v>4983.1692599999997</v>
      </c>
    </row>
    <row r="23" spans="1:5" x14ac:dyDescent="0.25">
      <c r="A23" s="20"/>
      <c r="B23" s="20" t="s">
        <v>25</v>
      </c>
      <c r="C23" s="20"/>
      <c r="D23" s="20">
        <v>19019.73</v>
      </c>
      <c r="E23" s="28">
        <f>D23*26.2%</f>
        <v>4983.1692599999997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1384.3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39368.199999999997</v>
      </c>
      <c r="E27" s="26">
        <f>E28</f>
        <v>10175.949000000001</v>
      </c>
    </row>
    <row r="28" spans="1:5" x14ac:dyDescent="0.25">
      <c r="A28" s="20">
        <v>1</v>
      </c>
      <c r="B28" s="31" t="s">
        <v>31</v>
      </c>
      <c r="C28" s="20"/>
      <c r="D28" s="31">
        <v>38839.5</v>
      </c>
      <c r="E28" s="28">
        <f>D28*26.2%</f>
        <v>10175.949000000001</v>
      </c>
    </row>
    <row r="29" spans="1:5" x14ac:dyDescent="0.25">
      <c r="A29" s="20">
        <v>2</v>
      </c>
      <c r="B29" s="31" t="s">
        <v>28</v>
      </c>
      <c r="C29" s="20"/>
      <c r="D29" s="31">
        <v>528.70000000000005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</f>
        <v>20235.871999999999</v>
      </c>
      <c r="E30" s="20"/>
    </row>
    <row r="31" spans="1:5" x14ac:dyDescent="0.25">
      <c r="A31" s="20"/>
      <c r="B31" s="20" t="s">
        <v>34</v>
      </c>
      <c r="C31" s="20"/>
      <c r="D31" s="28">
        <f>D18*5%</f>
        <v>7620.6820000000007</v>
      </c>
      <c r="E31" s="20"/>
    </row>
    <row r="32" spans="1:5" x14ac:dyDescent="0.25">
      <c r="A32" s="20"/>
      <c r="B32" s="31" t="s">
        <v>58</v>
      </c>
      <c r="C32" s="20"/>
      <c r="D32" s="20">
        <f>2*84.52</f>
        <v>169.04</v>
      </c>
      <c r="E32" s="20"/>
    </row>
    <row r="33" spans="1:5" x14ac:dyDescent="0.25">
      <c r="A33" s="20"/>
      <c r="B33" s="20" t="s">
        <v>36</v>
      </c>
      <c r="C33" s="20"/>
      <c r="D33" s="28">
        <v>7880.4</v>
      </c>
      <c r="E33" s="20"/>
    </row>
    <row r="34" spans="1:5" x14ac:dyDescent="0.25">
      <c r="A34" s="20"/>
      <c r="B34" s="27" t="s">
        <v>37</v>
      </c>
      <c r="C34" s="20"/>
      <c r="D34" s="20">
        <v>869.53</v>
      </c>
      <c r="E34" s="20"/>
    </row>
    <row r="35" spans="1:5" x14ac:dyDescent="0.25">
      <c r="A35" s="20"/>
      <c r="B35" s="27" t="s">
        <v>38</v>
      </c>
      <c r="C35" s="20"/>
      <c r="D35" s="20">
        <v>1191.77</v>
      </c>
      <c r="E35" s="20"/>
    </row>
    <row r="36" spans="1:5" x14ac:dyDescent="0.25">
      <c r="A36" s="20"/>
      <c r="B36" s="20" t="s">
        <v>41</v>
      </c>
      <c r="C36" s="20"/>
      <c r="D36" s="20">
        <v>2504.4499999999998</v>
      </c>
      <c r="E36" s="20"/>
    </row>
    <row r="37" spans="1:5" x14ac:dyDescent="0.25">
      <c r="A37" s="20">
        <v>4</v>
      </c>
      <c r="B37" s="22" t="s">
        <v>42</v>
      </c>
      <c r="C37" s="20"/>
      <c r="D37" s="26">
        <f>D38+D39</f>
        <v>21824.769999999997</v>
      </c>
      <c r="E37" s="26">
        <f>E38</f>
        <v>4692.68462</v>
      </c>
    </row>
    <row r="38" spans="1:5" x14ac:dyDescent="0.25">
      <c r="A38" s="20"/>
      <c r="B38" s="31" t="s">
        <v>78</v>
      </c>
      <c r="C38" s="31"/>
      <c r="D38" s="33">
        <v>17911.009999999998</v>
      </c>
      <c r="E38" s="28">
        <f>D38*26.2%</f>
        <v>4692.68462</v>
      </c>
    </row>
    <row r="39" spans="1:5" x14ac:dyDescent="0.25">
      <c r="A39" s="20"/>
      <c r="B39" s="27" t="s">
        <v>44</v>
      </c>
      <c r="C39" s="20"/>
      <c r="D39" s="33">
        <v>3913.76</v>
      </c>
      <c r="E39" s="20"/>
    </row>
    <row r="40" spans="1:5" x14ac:dyDescent="0.25">
      <c r="A40" s="20">
        <v>5</v>
      </c>
      <c r="B40" s="22" t="s">
        <v>45</v>
      </c>
      <c r="C40" s="20"/>
      <c r="D40" s="26">
        <f>D21+E21+D27+E27+D30+D37+E37</f>
        <v>121684.67487999999</v>
      </c>
      <c r="E40" s="20"/>
    </row>
    <row r="41" spans="1:5" x14ac:dyDescent="0.25">
      <c r="A41" s="20">
        <v>6</v>
      </c>
      <c r="B41" s="20" t="s">
        <v>46</v>
      </c>
      <c r="C41" s="20"/>
      <c r="D41" s="26">
        <f>D18*6%</f>
        <v>9144.8184000000001</v>
      </c>
      <c r="E41" s="20"/>
    </row>
    <row r="42" spans="1:5" x14ac:dyDescent="0.25">
      <c r="A42" s="20">
        <v>7</v>
      </c>
      <c r="B42" s="22" t="s">
        <v>47</v>
      </c>
      <c r="C42" s="20"/>
      <c r="D42" s="26">
        <f>D40+D41</f>
        <v>130829.49328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59</v>
      </c>
      <c r="C44" s="20"/>
      <c r="D44" s="26">
        <f>D18-D42</f>
        <v>21584.146720000019</v>
      </c>
      <c r="E44" s="20"/>
    </row>
    <row r="45" spans="1:5" x14ac:dyDescent="0.25">
      <c r="A45" s="20">
        <v>9</v>
      </c>
      <c r="B45" s="22" t="s">
        <v>49</v>
      </c>
      <c r="C45" s="20"/>
      <c r="D45" s="26">
        <f>D10+D44</f>
        <v>-12279.103279999981</v>
      </c>
      <c r="E45" s="20"/>
    </row>
    <row r="46" spans="1:5" x14ac:dyDescent="0.25">
      <c r="A46" s="37"/>
      <c r="B46" s="37" t="s">
        <v>50</v>
      </c>
      <c r="C46" s="37"/>
      <c r="D46" s="37" t="s">
        <v>51</v>
      </c>
      <c r="E46" s="37"/>
    </row>
    <row r="47" spans="1:5" x14ac:dyDescent="0.25">
      <c r="A47" s="37"/>
      <c r="B47" s="37" t="s">
        <v>52</v>
      </c>
      <c r="C47" s="37"/>
      <c r="D47" s="37" t="s">
        <v>53</v>
      </c>
      <c r="E47" s="37"/>
    </row>
  </sheetData>
  <mergeCells count="3">
    <mergeCell ref="B4:E4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6" workbookViewId="0">
      <selection activeCell="A8" sqref="A7:A8"/>
    </sheetView>
  </sheetViews>
  <sheetFormatPr defaultRowHeight="15" x14ac:dyDescent="0.25"/>
  <cols>
    <col min="1" max="1" width="8" customWidth="1"/>
    <col min="2" max="2" width="43.140625" customWidth="1"/>
    <col min="4" max="4" width="12.28515625" customWidth="1"/>
    <col min="5" max="5" width="12" customWidth="1"/>
  </cols>
  <sheetData>
    <row r="1" spans="1:5" ht="15.75" x14ac:dyDescent="0.25">
      <c r="A1" s="300"/>
      <c r="B1" s="301" t="s">
        <v>0</v>
      </c>
      <c r="C1" s="300"/>
      <c r="D1" s="300"/>
      <c r="E1" s="300"/>
    </row>
    <row r="2" spans="1:5" x14ac:dyDescent="0.25">
      <c r="A2" s="300"/>
      <c r="B2" s="300"/>
      <c r="C2" s="300"/>
      <c r="D2" s="300"/>
      <c r="E2" s="300"/>
    </row>
    <row r="3" spans="1:5" x14ac:dyDescent="0.25">
      <c r="A3" s="300"/>
      <c r="B3" s="302" t="s">
        <v>108</v>
      </c>
      <c r="C3" s="300"/>
      <c r="D3" s="300"/>
      <c r="E3" s="300"/>
    </row>
    <row r="4" spans="1:5" x14ac:dyDescent="0.25">
      <c r="A4" s="300"/>
      <c r="B4" s="303" t="s">
        <v>113</v>
      </c>
      <c r="C4" s="300"/>
      <c r="D4" s="300"/>
      <c r="E4" s="300"/>
    </row>
    <row r="5" spans="1:5" x14ac:dyDescent="0.25">
      <c r="A5" s="304"/>
      <c r="B5" s="304"/>
      <c r="C5" s="304"/>
      <c r="D5" s="304"/>
      <c r="E5" s="300"/>
    </row>
    <row r="6" spans="1:5" x14ac:dyDescent="0.25">
      <c r="A6" s="540"/>
      <c r="B6" s="540"/>
      <c r="C6" s="540"/>
      <c r="D6" s="305"/>
      <c r="E6" s="306"/>
    </row>
    <row r="7" spans="1:5" x14ac:dyDescent="0.25">
      <c r="A7" s="307"/>
      <c r="B7" s="307"/>
      <c r="C7" s="307"/>
      <c r="D7" s="308"/>
      <c r="E7" s="309"/>
    </row>
    <row r="8" spans="1:5" ht="15.75" x14ac:dyDescent="0.25">
      <c r="A8" s="307"/>
      <c r="B8" s="310" t="s">
        <v>4</v>
      </c>
      <c r="C8" s="311" t="s">
        <v>5</v>
      </c>
      <c r="D8" s="541" t="s">
        <v>6</v>
      </c>
      <c r="E8" s="542"/>
    </row>
    <row r="9" spans="1:5" ht="15.75" x14ac:dyDescent="0.25">
      <c r="A9" s="312"/>
      <c r="B9" s="310" t="s">
        <v>7</v>
      </c>
      <c r="C9" s="311" t="s">
        <v>8</v>
      </c>
      <c r="D9" s="543" t="s">
        <v>9</v>
      </c>
      <c r="E9" s="544"/>
    </row>
    <row r="10" spans="1:5" x14ac:dyDescent="0.25">
      <c r="A10" s="313"/>
      <c r="B10" s="313"/>
      <c r="C10" s="313"/>
      <c r="D10" s="314"/>
      <c r="E10" s="315"/>
    </row>
    <row r="11" spans="1:5" x14ac:dyDescent="0.25">
      <c r="A11" s="313"/>
      <c r="B11" s="316" t="s">
        <v>10</v>
      </c>
      <c r="C11" s="313"/>
      <c r="D11" s="317">
        <v>-126401.13</v>
      </c>
      <c r="E11" s="315"/>
    </row>
    <row r="12" spans="1:5" x14ac:dyDescent="0.25">
      <c r="A12" s="318"/>
      <c r="B12" s="319" t="s">
        <v>11</v>
      </c>
      <c r="C12" s="318" t="s">
        <v>12</v>
      </c>
      <c r="D12" s="318">
        <v>6439.15</v>
      </c>
      <c r="E12" s="318"/>
    </row>
    <row r="13" spans="1:5" x14ac:dyDescent="0.25">
      <c r="A13" s="318"/>
      <c r="B13" s="319" t="s">
        <v>13</v>
      </c>
      <c r="C13" s="318" t="s">
        <v>12</v>
      </c>
      <c r="D13" s="320">
        <v>4391.3</v>
      </c>
      <c r="E13" s="318"/>
    </row>
    <row r="14" spans="1:5" x14ac:dyDescent="0.25">
      <c r="A14" s="318"/>
      <c r="B14" s="321" t="s">
        <v>114</v>
      </c>
      <c r="C14" s="318" t="s">
        <v>15</v>
      </c>
      <c r="D14" s="322">
        <f>91530.06*2</f>
        <v>183060.12</v>
      </c>
      <c r="E14" s="318"/>
    </row>
    <row r="15" spans="1:5" ht="15.75" x14ac:dyDescent="0.25">
      <c r="A15" s="318"/>
      <c r="B15" s="323" t="s">
        <v>16</v>
      </c>
      <c r="C15" s="318"/>
      <c r="D15" s="318"/>
      <c r="E15" s="318"/>
    </row>
    <row r="16" spans="1:5" x14ac:dyDescent="0.25">
      <c r="A16" s="318">
        <v>1</v>
      </c>
      <c r="B16" s="318" t="s">
        <v>17</v>
      </c>
      <c r="C16" s="318" t="s">
        <v>15</v>
      </c>
      <c r="D16" s="320">
        <v>181733.93</v>
      </c>
      <c r="E16" s="318"/>
    </row>
    <row r="17" spans="1:5" x14ac:dyDescent="0.25">
      <c r="A17" s="318"/>
      <c r="B17" s="318"/>
      <c r="C17" s="318"/>
      <c r="D17" s="318"/>
      <c r="E17" s="318"/>
    </row>
    <row r="18" spans="1:5" ht="15.75" x14ac:dyDescent="0.25">
      <c r="A18" s="318"/>
      <c r="B18" s="323" t="s">
        <v>19</v>
      </c>
      <c r="C18" s="318"/>
      <c r="D18" s="324">
        <f>D16</f>
        <v>181733.93</v>
      </c>
      <c r="E18" s="318"/>
    </row>
    <row r="19" spans="1:5" ht="15.75" x14ac:dyDescent="0.25">
      <c r="A19" s="318"/>
      <c r="B19" s="323"/>
      <c r="C19" s="318"/>
      <c r="D19" s="322"/>
      <c r="E19" s="318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64980.3</v>
      </c>
      <c r="E21" s="26">
        <f>E22</f>
        <v>16273.737000000001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62113.5</v>
      </c>
      <c r="E22" s="26">
        <f>E23+E24+E25</f>
        <v>16273.737000000001</v>
      </c>
    </row>
    <row r="23" spans="1:5" x14ac:dyDescent="0.25">
      <c r="A23" s="20"/>
      <c r="B23" s="20" t="s">
        <v>25</v>
      </c>
      <c r="C23" s="20"/>
      <c r="D23" s="20">
        <v>14310.35</v>
      </c>
      <c r="E23" s="28">
        <f>D23*26.2%</f>
        <v>3749.3117000000002</v>
      </c>
    </row>
    <row r="24" spans="1:5" x14ac:dyDescent="0.25">
      <c r="A24" s="20"/>
      <c r="B24" s="20" t="s">
        <v>26</v>
      </c>
      <c r="C24" s="20"/>
      <c r="D24" s="29">
        <v>22839.62</v>
      </c>
      <c r="E24" s="28">
        <f>D24*26.2%</f>
        <v>5983.9804400000003</v>
      </c>
    </row>
    <row r="25" spans="1:5" x14ac:dyDescent="0.25">
      <c r="A25" s="20"/>
      <c r="B25" s="20" t="s">
        <v>27</v>
      </c>
      <c r="C25" s="20"/>
      <c r="D25" s="20">
        <v>24963.53</v>
      </c>
      <c r="E25" s="28">
        <f>D25*26.2%</f>
        <v>6540.4448599999996</v>
      </c>
    </row>
    <row r="26" spans="1:5" x14ac:dyDescent="0.25">
      <c r="A26" s="20">
        <v>2</v>
      </c>
      <c r="B26" s="27" t="s">
        <v>28</v>
      </c>
      <c r="C26" s="20"/>
      <c r="D26" s="20">
        <v>2866.8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42758.64</v>
      </c>
      <c r="E27" s="26">
        <f>E28</f>
        <v>10206.872859999999</v>
      </c>
    </row>
    <row r="28" spans="1:5" x14ac:dyDescent="0.25">
      <c r="A28" s="20">
        <v>1</v>
      </c>
      <c r="B28" s="31" t="s">
        <v>31</v>
      </c>
      <c r="C28" s="20"/>
      <c r="D28" s="31">
        <v>38957.53</v>
      </c>
      <c r="E28" s="28">
        <f>D28*26.2%</f>
        <v>10206.872859999999</v>
      </c>
    </row>
    <row r="29" spans="1:5" x14ac:dyDescent="0.25">
      <c r="A29" s="20">
        <v>2</v>
      </c>
      <c r="B29" s="31" t="s">
        <v>28</v>
      </c>
      <c r="C29" s="20"/>
      <c r="D29" s="31">
        <v>3801.11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</f>
        <v>20959.796499999997</v>
      </c>
      <c r="E30" s="20"/>
    </row>
    <row r="31" spans="1:5" x14ac:dyDescent="0.25">
      <c r="A31" s="20"/>
      <c r="B31" s="20" t="s">
        <v>34</v>
      </c>
      <c r="C31" s="20"/>
      <c r="D31" s="28">
        <f>D18*5%</f>
        <v>9086.6965</v>
      </c>
      <c r="E31" s="20"/>
    </row>
    <row r="32" spans="1:5" x14ac:dyDescent="0.25">
      <c r="A32" s="20"/>
      <c r="B32" s="31" t="s">
        <v>58</v>
      </c>
      <c r="C32" s="20"/>
      <c r="D32" s="20">
        <f>2*84.52</f>
        <v>169.04</v>
      </c>
      <c r="E32" s="20"/>
    </row>
    <row r="33" spans="1:5" x14ac:dyDescent="0.25">
      <c r="A33" s="20"/>
      <c r="B33" s="20" t="s">
        <v>36</v>
      </c>
      <c r="C33" s="20"/>
      <c r="D33" s="28">
        <v>7124.45</v>
      </c>
      <c r="E33" s="20"/>
    </row>
    <row r="34" spans="1:5" x14ac:dyDescent="0.25">
      <c r="A34" s="20"/>
      <c r="B34" s="27" t="s">
        <v>37</v>
      </c>
      <c r="C34" s="20"/>
      <c r="D34" s="20">
        <v>872.17</v>
      </c>
      <c r="E34" s="20"/>
    </row>
    <row r="35" spans="1:5" x14ac:dyDescent="0.25">
      <c r="A35" s="20"/>
      <c r="B35" s="27" t="s">
        <v>38</v>
      </c>
      <c r="C35" s="20"/>
      <c r="D35" s="20">
        <v>1195.3900000000001</v>
      </c>
      <c r="E35" s="20"/>
    </row>
    <row r="36" spans="1:5" x14ac:dyDescent="0.25">
      <c r="A36" s="20"/>
      <c r="B36" s="20" t="s">
        <v>41</v>
      </c>
      <c r="C36" s="20"/>
      <c r="D36" s="20">
        <v>2512.0500000000002</v>
      </c>
      <c r="E36" s="20"/>
    </row>
    <row r="37" spans="1:5" x14ac:dyDescent="0.25">
      <c r="A37" s="20">
        <v>4</v>
      </c>
      <c r="B37" s="22" t="s">
        <v>42</v>
      </c>
      <c r="C37" s="20"/>
      <c r="D37" s="26">
        <f>D38+D39</f>
        <v>21891.07</v>
      </c>
      <c r="E37" s="26">
        <f>E38</f>
        <v>4706.9426600000006</v>
      </c>
    </row>
    <row r="38" spans="1:5" x14ac:dyDescent="0.25">
      <c r="A38" s="31"/>
      <c r="B38" s="31" t="s">
        <v>43</v>
      </c>
      <c r="C38" s="31"/>
      <c r="D38" s="33">
        <v>17965.43</v>
      </c>
      <c r="E38" s="28">
        <f>D38*26.2%</f>
        <v>4706.9426600000006</v>
      </c>
    </row>
    <row r="39" spans="1:5" x14ac:dyDescent="0.25">
      <c r="A39" s="20"/>
      <c r="B39" s="27" t="s">
        <v>44</v>
      </c>
      <c r="C39" s="20"/>
      <c r="D39" s="33">
        <v>3925.64</v>
      </c>
      <c r="E39" s="20"/>
    </row>
    <row r="40" spans="1:5" x14ac:dyDescent="0.25">
      <c r="A40" s="20">
        <v>5</v>
      </c>
      <c r="B40" s="22" t="s">
        <v>45</v>
      </c>
      <c r="C40" s="20"/>
      <c r="D40" s="26">
        <f>D21+E21+D27+E27+D30+D37+E37</f>
        <v>181777.35902</v>
      </c>
      <c r="E40" s="20"/>
    </row>
    <row r="41" spans="1:5" x14ac:dyDescent="0.25">
      <c r="A41" s="20">
        <v>6</v>
      </c>
      <c r="B41" s="20" t="s">
        <v>46</v>
      </c>
      <c r="C41" s="20"/>
      <c r="D41" s="26">
        <f>D18*6%</f>
        <v>10904.0358</v>
      </c>
      <c r="E41" s="20"/>
    </row>
    <row r="42" spans="1:5" x14ac:dyDescent="0.25">
      <c r="A42" s="20">
        <v>7</v>
      </c>
      <c r="B42" s="22" t="s">
        <v>47</v>
      </c>
      <c r="C42" s="20"/>
      <c r="D42" s="26">
        <f>D40+D41</f>
        <v>192681.39482000002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59</v>
      </c>
      <c r="C44" s="20"/>
      <c r="D44" s="26">
        <f>D18-D42</f>
        <v>-10947.464820000023</v>
      </c>
      <c r="E44" s="20"/>
    </row>
    <row r="45" spans="1:5" x14ac:dyDescent="0.25">
      <c r="A45" s="20">
        <v>9</v>
      </c>
      <c r="B45" s="22" t="s">
        <v>49</v>
      </c>
      <c r="C45" s="20"/>
      <c r="D45" s="26">
        <f>D11+D44</f>
        <v>-137348.59482000003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50</v>
      </c>
      <c r="C48" s="37"/>
      <c r="D48" s="37" t="s">
        <v>51</v>
      </c>
      <c r="E48" s="37"/>
    </row>
    <row r="49" spans="1:5" x14ac:dyDescent="0.25">
      <c r="A49" s="37"/>
      <c r="B49" s="37" t="s">
        <v>52</v>
      </c>
      <c r="C49" s="37"/>
      <c r="D49" s="37" t="s">
        <v>53</v>
      </c>
      <c r="E49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J39" sqref="J39"/>
    </sheetView>
  </sheetViews>
  <sheetFormatPr defaultRowHeight="15" x14ac:dyDescent="0.25"/>
  <cols>
    <col min="1" max="1" width="7.7109375" customWidth="1"/>
    <col min="2" max="2" width="42" customWidth="1"/>
    <col min="4" max="4" width="10.7109375" customWidth="1"/>
    <col min="5" max="5" width="11.28515625" customWidth="1"/>
  </cols>
  <sheetData>
    <row r="1" spans="1:5" ht="15.75" x14ac:dyDescent="0.25">
      <c r="A1" s="325"/>
      <c r="B1" s="326" t="s">
        <v>0</v>
      </c>
      <c r="C1" s="325"/>
      <c r="D1" s="325"/>
      <c r="E1" s="325"/>
    </row>
    <row r="2" spans="1:5" x14ac:dyDescent="0.25">
      <c r="A2" s="325"/>
      <c r="B2" s="325"/>
      <c r="C2" s="325"/>
      <c r="D2" s="325"/>
      <c r="E2" s="325"/>
    </row>
    <row r="3" spans="1:5" x14ac:dyDescent="0.25">
      <c r="A3" s="325"/>
      <c r="B3" s="325" t="s">
        <v>1</v>
      </c>
      <c r="C3" s="325"/>
      <c r="D3" s="325"/>
      <c r="E3" s="325"/>
    </row>
    <row r="4" spans="1:5" x14ac:dyDescent="0.25">
      <c r="A4" s="325"/>
      <c r="B4" s="327" t="s">
        <v>115</v>
      </c>
      <c r="C4" s="325"/>
      <c r="D4" s="325"/>
      <c r="E4" s="325"/>
    </row>
    <row r="5" spans="1:5" x14ac:dyDescent="0.25">
      <c r="A5" s="325"/>
      <c r="B5" s="325" t="s">
        <v>55</v>
      </c>
      <c r="C5" s="325"/>
      <c r="D5" s="325"/>
      <c r="E5" s="325"/>
    </row>
    <row r="6" spans="1:5" x14ac:dyDescent="0.25">
      <c r="A6" s="328"/>
      <c r="B6" s="328"/>
      <c r="C6" s="328"/>
      <c r="D6" s="329"/>
      <c r="E6" s="330"/>
    </row>
    <row r="7" spans="1:5" ht="15.75" x14ac:dyDescent="0.25">
      <c r="A7" s="331"/>
      <c r="B7" s="332" t="s">
        <v>4</v>
      </c>
      <c r="C7" s="333" t="s">
        <v>5</v>
      </c>
      <c r="D7" s="545" t="s">
        <v>6</v>
      </c>
      <c r="E7" s="546"/>
    </row>
    <row r="8" spans="1:5" ht="15.75" x14ac:dyDescent="0.25">
      <c r="A8" s="334"/>
      <c r="B8" s="332" t="s">
        <v>7</v>
      </c>
      <c r="C8" s="333" t="s">
        <v>8</v>
      </c>
      <c r="D8" s="547" t="s">
        <v>92</v>
      </c>
      <c r="E8" s="548"/>
    </row>
    <row r="9" spans="1:5" x14ac:dyDescent="0.25">
      <c r="A9" s="335"/>
      <c r="B9" s="335"/>
      <c r="C9" s="335"/>
      <c r="D9" s="336"/>
      <c r="E9" s="337"/>
    </row>
    <row r="10" spans="1:5" x14ac:dyDescent="0.25">
      <c r="A10" s="335"/>
      <c r="B10" s="338" t="s">
        <v>10</v>
      </c>
      <c r="C10" s="335"/>
      <c r="D10" s="336">
        <v>-90699.27</v>
      </c>
      <c r="E10" s="337"/>
    </row>
    <row r="11" spans="1:5" x14ac:dyDescent="0.25">
      <c r="A11" s="339"/>
      <c r="B11" s="340" t="s">
        <v>11</v>
      </c>
      <c r="C11" s="339" t="s">
        <v>12</v>
      </c>
      <c r="D11" s="339">
        <v>6610.9</v>
      </c>
      <c r="E11" s="339"/>
    </row>
    <row r="12" spans="1:5" x14ac:dyDescent="0.25">
      <c r="A12" s="339"/>
      <c r="B12" s="340" t="s">
        <v>13</v>
      </c>
      <c r="C12" s="339" t="s">
        <v>12</v>
      </c>
      <c r="D12" s="339">
        <v>5369.9</v>
      </c>
      <c r="E12" s="339"/>
    </row>
    <row r="13" spans="1:5" x14ac:dyDescent="0.25">
      <c r="A13" s="339"/>
      <c r="B13" s="341" t="s">
        <v>14</v>
      </c>
      <c r="C13" s="339" t="s">
        <v>63</v>
      </c>
      <c r="D13" s="342">
        <f>102117.27*2</f>
        <v>204234.54</v>
      </c>
      <c r="E13" s="339"/>
    </row>
    <row r="14" spans="1:5" x14ac:dyDescent="0.25">
      <c r="A14" s="339"/>
      <c r="B14" s="339"/>
      <c r="C14" s="339"/>
      <c r="D14" s="339"/>
      <c r="E14" s="339"/>
    </row>
    <row r="15" spans="1:5" ht="15.75" x14ac:dyDescent="0.25">
      <c r="A15" s="339"/>
      <c r="B15" s="343" t="s">
        <v>16</v>
      </c>
      <c r="C15" s="339"/>
      <c r="D15" s="339"/>
      <c r="E15" s="339"/>
    </row>
    <row r="16" spans="1:5" x14ac:dyDescent="0.25">
      <c r="A16" s="339">
        <v>1</v>
      </c>
      <c r="B16" s="339" t="s">
        <v>17</v>
      </c>
      <c r="C16" s="339" t="s">
        <v>15</v>
      </c>
      <c r="D16" s="339">
        <v>195472.23</v>
      </c>
      <c r="E16" s="339"/>
    </row>
    <row r="17" spans="1:5" x14ac:dyDescent="0.25">
      <c r="A17" s="339"/>
      <c r="B17" s="339"/>
      <c r="C17" s="339"/>
      <c r="D17" s="339"/>
      <c r="E17" s="339"/>
    </row>
    <row r="18" spans="1:5" ht="15.75" x14ac:dyDescent="0.25">
      <c r="A18" s="339"/>
      <c r="B18" s="343" t="s">
        <v>19</v>
      </c>
      <c r="C18" s="339"/>
      <c r="D18" s="342">
        <f>D16</f>
        <v>195472.23</v>
      </c>
      <c r="E18" s="339"/>
    </row>
    <row r="19" spans="1:5" ht="15.75" x14ac:dyDescent="0.25">
      <c r="A19" s="339"/>
      <c r="B19" s="343"/>
      <c r="C19" s="339"/>
      <c r="D19" s="342"/>
      <c r="E19" s="339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28419.59</v>
      </c>
      <c r="E21" s="26">
        <f>E22</f>
        <v>6715.0731000000005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25630.05</v>
      </c>
      <c r="E22" s="33">
        <f>E23</f>
        <v>6715.0731000000005</v>
      </c>
    </row>
    <row r="23" spans="1:5" x14ac:dyDescent="0.25">
      <c r="A23" s="20"/>
      <c r="B23" s="20" t="s">
        <v>25</v>
      </c>
      <c r="C23" s="20"/>
      <c r="D23" s="20">
        <v>25630.05</v>
      </c>
      <c r="E23" s="28">
        <f>D23*26.2%</f>
        <v>6715.0731000000005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2789.54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48306.020000000004</v>
      </c>
      <c r="E27" s="26">
        <f>E28</f>
        <v>12481.459920000001</v>
      </c>
    </row>
    <row r="28" spans="1:5" x14ac:dyDescent="0.25">
      <c r="A28" s="20">
        <v>1</v>
      </c>
      <c r="B28" s="31" t="s">
        <v>31</v>
      </c>
      <c r="C28" s="20"/>
      <c r="D28" s="31">
        <v>47639.16</v>
      </c>
      <c r="E28" s="28">
        <f>D28*26.2%</f>
        <v>12481.459920000001</v>
      </c>
    </row>
    <row r="29" spans="1:5" x14ac:dyDescent="0.25">
      <c r="A29" s="20">
        <v>2</v>
      </c>
      <c r="B29" s="31" t="s">
        <v>28</v>
      </c>
      <c r="C29" s="20"/>
      <c r="D29" s="31">
        <v>666.86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D31+D32+D33+D34+D35+D36+D38+D37</f>
        <v>46490.671500000004</v>
      </c>
      <c r="E30" s="20"/>
    </row>
    <row r="31" spans="1:5" x14ac:dyDescent="0.25">
      <c r="A31" s="20"/>
      <c r="B31" s="20" t="s">
        <v>34</v>
      </c>
      <c r="C31" s="20"/>
      <c r="D31" s="28">
        <f>D18*5%</f>
        <v>9773.6115000000009</v>
      </c>
      <c r="E31" s="20"/>
    </row>
    <row r="32" spans="1:5" x14ac:dyDescent="0.25">
      <c r="A32" s="20"/>
      <c r="B32" s="20" t="s">
        <v>74</v>
      </c>
      <c r="C32" s="20"/>
      <c r="D32" s="20">
        <v>0</v>
      </c>
      <c r="E32" s="20"/>
    </row>
    <row r="33" spans="1:5" x14ac:dyDescent="0.25">
      <c r="A33" s="20"/>
      <c r="B33" s="20" t="s">
        <v>36</v>
      </c>
      <c r="C33" s="20"/>
      <c r="D33" s="28">
        <v>8712.1299999999992</v>
      </c>
      <c r="E33" s="20"/>
    </row>
    <row r="34" spans="1:5" x14ac:dyDescent="0.25">
      <c r="A34" s="20"/>
      <c r="B34" s="27" t="s">
        <v>37</v>
      </c>
      <c r="C34" s="20"/>
      <c r="D34" s="20">
        <v>1066.53</v>
      </c>
      <c r="E34" s="20"/>
    </row>
    <row r="35" spans="1:5" x14ac:dyDescent="0.25">
      <c r="A35" s="20"/>
      <c r="B35" s="27" t="s">
        <v>38</v>
      </c>
      <c r="C35" s="20"/>
      <c r="D35" s="20">
        <v>1461.78</v>
      </c>
      <c r="E35" s="20"/>
    </row>
    <row r="36" spans="1:5" x14ac:dyDescent="0.25">
      <c r="A36" s="20"/>
      <c r="B36" s="27" t="s">
        <v>84</v>
      </c>
      <c r="C36" s="20"/>
      <c r="D36" s="20">
        <v>22235.72</v>
      </c>
      <c r="E36" s="20"/>
    </row>
    <row r="37" spans="1:5" x14ac:dyDescent="0.25">
      <c r="A37" s="20"/>
      <c r="B37" s="27" t="s">
        <v>58</v>
      </c>
      <c r="C37" s="20"/>
      <c r="D37" s="20">
        <v>169.04</v>
      </c>
      <c r="E37" s="20"/>
    </row>
    <row r="38" spans="1:5" x14ac:dyDescent="0.25">
      <c r="A38" s="20"/>
      <c r="B38" s="20" t="s">
        <v>41</v>
      </c>
      <c r="C38" s="20"/>
      <c r="D38" s="20">
        <v>3071.86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26769.5</v>
      </c>
      <c r="E39" s="26">
        <f>E40</f>
        <v>5755.8832400000001</v>
      </c>
    </row>
    <row r="40" spans="1:5" x14ac:dyDescent="0.25">
      <c r="A40" s="20"/>
      <c r="B40" s="31" t="s">
        <v>43</v>
      </c>
      <c r="C40" s="31"/>
      <c r="D40" s="33">
        <v>21969.02</v>
      </c>
      <c r="E40" s="28">
        <f>D40*26.2%</f>
        <v>5755.8832400000001</v>
      </c>
    </row>
    <row r="41" spans="1:5" x14ac:dyDescent="0.25">
      <c r="A41" s="20"/>
      <c r="B41" s="27" t="s">
        <v>44</v>
      </c>
      <c r="C41" s="20"/>
      <c r="D41" s="33">
        <v>4800.4799999999996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D21+E21+D27+E27+D30+D39+E39</f>
        <v>174938.19775999998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D18*6%</f>
        <v>11728.3338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186666.53155999997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D18-D44</f>
        <v>8805.6984400000365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D10+D46</f>
        <v>-81893.571559999968</v>
      </c>
      <c r="E47" s="20"/>
    </row>
    <row r="48" spans="1:5" x14ac:dyDescent="0.25">
      <c r="A48" s="37"/>
      <c r="B48" s="37" t="s">
        <v>50</v>
      </c>
      <c r="C48" s="37"/>
      <c r="D48" s="37" t="s">
        <v>51</v>
      </c>
      <c r="E48" s="37"/>
    </row>
    <row r="49" spans="1:5" x14ac:dyDescent="0.25">
      <c r="A49" s="37"/>
      <c r="B49" s="37" t="s">
        <v>52</v>
      </c>
      <c r="C49" s="37"/>
      <c r="D49" s="37" t="s">
        <v>53</v>
      </c>
      <c r="E49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E11" sqref="E11"/>
    </sheetView>
  </sheetViews>
  <sheetFormatPr defaultRowHeight="15" x14ac:dyDescent="0.25"/>
  <cols>
    <col min="2" max="2" width="39.5703125" customWidth="1"/>
    <col min="4" max="4" width="10.85546875" customWidth="1"/>
    <col min="5" max="5" width="11.140625" customWidth="1"/>
  </cols>
  <sheetData>
    <row r="1" spans="1:5" ht="15.75" x14ac:dyDescent="0.25">
      <c r="A1" s="344"/>
      <c r="B1" s="345" t="s">
        <v>0</v>
      </c>
      <c r="C1" s="344"/>
      <c r="D1" s="344"/>
      <c r="E1" s="344"/>
    </row>
    <row r="2" spans="1:5" x14ac:dyDescent="0.25">
      <c r="A2" s="344"/>
      <c r="B2" s="344"/>
      <c r="C2" s="344"/>
      <c r="D2" s="344"/>
      <c r="E2" s="344"/>
    </row>
    <row r="3" spans="1:5" x14ac:dyDescent="0.25">
      <c r="A3" s="344"/>
      <c r="B3" s="344" t="s">
        <v>1</v>
      </c>
      <c r="C3" s="344"/>
      <c r="D3" s="344"/>
      <c r="E3" s="344"/>
    </row>
    <row r="4" spans="1:5" x14ac:dyDescent="0.25">
      <c r="A4" s="344"/>
      <c r="B4" s="346" t="s">
        <v>116</v>
      </c>
      <c r="C4" s="344"/>
      <c r="D4" s="344"/>
      <c r="E4" s="344"/>
    </row>
    <row r="5" spans="1:5" x14ac:dyDescent="0.25">
      <c r="A5" s="344"/>
      <c r="B5" s="344" t="s">
        <v>111</v>
      </c>
      <c r="C5" s="344"/>
      <c r="D5" s="344"/>
      <c r="E5" s="344"/>
    </row>
    <row r="6" spans="1:5" x14ac:dyDescent="0.25">
      <c r="A6" s="347"/>
      <c r="B6" s="347"/>
      <c r="C6" s="347"/>
      <c r="D6" s="348"/>
      <c r="E6" s="349"/>
    </row>
    <row r="7" spans="1:5" ht="15.75" x14ac:dyDescent="0.25">
      <c r="A7" s="350"/>
      <c r="B7" s="351" t="s">
        <v>4</v>
      </c>
      <c r="C7" s="352" t="s">
        <v>5</v>
      </c>
      <c r="D7" s="549" t="s">
        <v>6</v>
      </c>
      <c r="E7" s="550"/>
    </row>
    <row r="8" spans="1:5" ht="15.75" x14ac:dyDescent="0.25">
      <c r="A8" s="353"/>
      <c r="B8" s="351" t="s">
        <v>7</v>
      </c>
      <c r="C8" s="352" t="s">
        <v>8</v>
      </c>
      <c r="D8" s="551" t="s">
        <v>92</v>
      </c>
      <c r="E8" s="552"/>
    </row>
    <row r="9" spans="1:5" x14ac:dyDescent="0.25">
      <c r="A9" s="354"/>
      <c r="B9" s="354"/>
      <c r="C9" s="354"/>
      <c r="D9" s="355"/>
      <c r="E9" s="356"/>
    </row>
    <row r="10" spans="1:5" x14ac:dyDescent="0.25">
      <c r="A10" s="354"/>
      <c r="B10" s="357" t="s">
        <v>10</v>
      </c>
      <c r="C10" s="354"/>
      <c r="D10" s="355">
        <v>-114463.48</v>
      </c>
      <c r="E10" s="356"/>
    </row>
    <row r="11" spans="1:5" x14ac:dyDescent="0.25">
      <c r="A11" s="358"/>
      <c r="B11" s="359" t="s">
        <v>11</v>
      </c>
      <c r="C11" s="358" t="s">
        <v>12</v>
      </c>
      <c r="D11" s="358">
        <v>5109.3</v>
      </c>
      <c r="E11" s="358"/>
    </row>
    <row r="12" spans="1:5" x14ac:dyDescent="0.25">
      <c r="A12" s="358"/>
      <c r="B12" s="359" t="s">
        <v>13</v>
      </c>
      <c r="C12" s="358" t="s">
        <v>12</v>
      </c>
      <c r="D12" s="358">
        <v>3548.4</v>
      </c>
      <c r="E12" s="358"/>
    </row>
    <row r="13" spans="1:5" x14ac:dyDescent="0.25">
      <c r="A13" s="358"/>
      <c r="B13" s="360" t="s">
        <v>14</v>
      </c>
      <c r="C13" s="358" t="s">
        <v>63</v>
      </c>
      <c r="D13" s="361">
        <v>157732.1</v>
      </c>
      <c r="E13" s="358"/>
    </row>
    <row r="14" spans="1:5" x14ac:dyDescent="0.25">
      <c r="A14" s="358"/>
      <c r="B14" s="358"/>
      <c r="C14" s="358"/>
      <c r="D14" s="358"/>
      <c r="E14" s="358"/>
    </row>
    <row r="15" spans="1:5" ht="15.75" x14ac:dyDescent="0.25">
      <c r="A15" s="358"/>
      <c r="B15" s="362" t="s">
        <v>16</v>
      </c>
      <c r="C15" s="358"/>
      <c r="D15" s="358"/>
      <c r="E15" s="358"/>
    </row>
    <row r="16" spans="1:5" x14ac:dyDescent="0.25">
      <c r="A16" s="358">
        <v>1</v>
      </c>
      <c r="B16" s="358" t="s">
        <v>17</v>
      </c>
      <c r="C16" s="358" t="s">
        <v>15</v>
      </c>
      <c r="D16" s="358">
        <v>136476.09</v>
      </c>
      <c r="E16" s="358"/>
    </row>
    <row r="17" spans="1:5" x14ac:dyDescent="0.25">
      <c r="A17" s="358"/>
      <c r="B17" s="358"/>
      <c r="C17" s="358"/>
      <c r="D17" s="358"/>
      <c r="E17" s="358"/>
    </row>
    <row r="18" spans="1:5" ht="15.75" x14ac:dyDescent="0.25">
      <c r="A18" s="358"/>
      <c r="B18" s="362" t="s">
        <v>19</v>
      </c>
      <c r="C18" s="358"/>
      <c r="D18" s="361">
        <f>D16</f>
        <v>136476.09</v>
      </c>
      <c r="E18" s="358"/>
    </row>
    <row r="19" spans="1:5" ht="15.75" x14ac:dyDescent="0.25">
      <c r="A19" s="358"/>
      <c r="B19" s="362"/>
      <c r="C19" s="358"/>
      <c r="D19" s="361"/>
      <c r="E19" s="358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56428.52</v>
      </c>
      <c r="E21" s="26">
        <f>E22+E26</f>
        <v>14461.02188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55194.74</v>
      </c>
      <c r="E22" s="26">
        <f>E23+E24+E25</f>
        <v>14461.02188</v>
      </c>
    </row>
    <row r="23" spans="1:5" x14ac:dyDescent="0.25">
      <c r="A23" s="20"/>
      <c r="B23" s="20" t="s">
        <v>25</v>
      </c>
      <c r="C23" s="20"/>
      <c r="D23" s="20">
        <v>9038.09</v>
      </c>
      <c r="E23" s="28">
        <f>D23*26.2%</f>
        <v>2367.9795800000002</v>
      </c>
    </row>
    <row r="24" spans="1:5" x14ac:dyDescent="0.25">
      <c r="A24" s="20"/>
      <c r="B24" s="20" t="s">
        <v>26</v>
      </c>
      <c r="C24" s="20"/>
      <c r="D24" s="29">
        <v>29091.119999999999</v>
      </c>
      <c r="E24" s="28">
        <f>D24*26.2%</f>
        <v>7621.8734400000003</v>
      </c>
    </row>
    <row r="25" spans="1:5" x14ac:dyDescent="0.25">
      <c r="A25" s="20"/>
      <c r="B25" s="20" t="s">
        <v>27</v>
      </c>
      <c r="C25" s="20"/>
      <c r="D25" s="20">
        <v>17065.53</v>
      </c>
      <c r="E25" s="28">
        <f>D25*26.2%</f>
        <v>4471.1688599999998</v>
      </c>
    </row>
    <row r="26" spans="1:5" x14ac:dyDescent="0.25">
      <c r="A26" s="20">
        <v>2</v>
      </c>
      <c r="B26" s="27" t="s">
        <v>28</v>
      </c>
      <c r="C26" s="20"/>
      <c r="D26" s="20">
        <v>1233.78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32111.18</v>
      </c>
      <c r="E27" s="26">
        <f>E28</f>
        <v>8247.6787800000002</v>
      </c>
    </row>
    <row r="28" spans="1:5" x14ac:dyDescent="0.25">
      <c r="A28" s="20">
        <v>1</v>
      </c>
      <c r="B28" s="31" t="s">
        <v>31</v>
      </c>
      <c r="C28" s="20"/>
      <c r="D28" s="31">
        <v>31479.69</v>
      </c>
      <c r="E28" s="28">
        <f>D28*26.2%</f>
        <v>8247.6787800000002</v>
      </c>
    </row>
    <row r="29" spans="1:5" x14ac:dyDescent="0.25">
      <c r="A29" s="20">
        <v>2</v>
      </c>
      <c r="B29" s="31" t="s">
        <v>28</v>
      </c>
      <c r="C29" s="20"/>
      <c r="D29" s="31">
        <v>631.49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</f>
        <v>16619.3845</v>
      </c>
      <c r="E30" s="20"/>
    </row>
    <row r="31" spans="1:5" x14ac:dyDescent="0.25">
      <c r="A31" s="20"/>
      <c r="B31" s="20" t="s">
        <v>34</v>
      </c>
      <c r="C31" s="20"/>
      <c r="D31" s="28">
        <f>D18*5%</f>
        <v>6823.8045000000002</v>
      </c>
      <c r="E31" s="20"/>
    </row>
    <row r="32" spans="1:5" x14ac:dyDescent="0.25">
      <c r="A32" s="20"/>
      <c r="B32" s="27" t="s">
        <v>58</v>
      </c>
      <c r="C32" s="20"/>
      <c r="D32" s="20">
        <f>4*84.52</f>
        <v>338.08</v>
      </c>
      <c r="E32" s="20"/>
    </row>
    <row r="33" spans="1:5" x14ac:dyDescent="0.25">
      <c r="A33" s="20"/>
      <c r="B33" s="20" t="s">
        <v>36</v>
      </c>
      <c r="C33" s="20"/>
      <c r="D33" s="28">
        <v>5756.93</v>
      </c>
      <c r="E33" s="20"/>
    </row>
    <row r="34" spans="1:5" x14ac:dyDescent="0.25">
      <c r="A34" s="20"/>
      <c r="B34" s="31" t="s">
        <v>37</v>
      </c>
      <c r="C34" s="20"/>
      <c r="D34" s="20">
        <v>704.76</v>
      </c>
      <c r="E34" s="20"/>
    </row>
    <row r="35" spans="1:5" x14ac:dyDescent="0.25">
      <c r="A35" s="20"/>
      <c r="B35" s="27" t="s">
        <v>38</v>
      </c>
      <c r="C35" s="20"/>
      <c r="D35" s="20">
        <v>965.94</v>
      </c>
      <c r="E35" s="20"/>
    </row>
    <row r="36" spans="1:5" x14ac:dyDescent="0.25">
      <c r="A36" s="20"/>
      <c r="B36" s="20" t="s">
        <v>41</v>
      </c>
      <c r="C36" s="20"/>
      <c r="D36" s="20">
        <v>2029.87</v>
      </c>
      <c r="E36" s="20"/>
    </row>
    <row r="37" spans="1:5" x14ac:dyDescent="0.25">
      <c r="A37" s="20">
        <v>4</v>
      </c>
      <c r="B37" s="22" t="s">
        <v>42</v>
      </c>
      <c r="C37" s="20"/>
      <c r="D37" s="26">
        <f>D38+D39</f>
        <v>17689.13</v>
      </c>
      <c r="E37" s="26">
        <f>E38</f>
        <v>3803.4540000000002</v>
      </c>
    </row>
    <row r="38" spans="1:5" x14ac:dyDescent="0.25">
      <c r="A38" s="31"/>
      <c r="B38" s="31" t="s">
        <v>43</v>
      </c>
      <c r="C38" s="31"/>
      <c r="D38" s="33">
        <v>14517</v>
      </c>
      <c r="E38" s="28">
        <f>D38*26.2%</f>
        <v>3803.4540000000002</v>
      </c>
    </row>
    <row r="39" spans="1:5" x14ac:dyDescent="0.25">
      <c r="A39" s="20"/>
      <c r="B39" s="27" t="s">
        <v>44</v>
      </c>
      <c r="C39" s="20"/>
      <c r="D39" s="33">
        <v>3172.13</v>
      </c>
      <c r="E39" s="20"/>
    </row>
    <row r="40" spans="1:5" x14ac:dyDescent="0.25">
      <c r="A40" s="20">
        <v>5</v>
      </c>
      <c r="B40" s="22" t="s">
        <v>45</v>
      </c>
      <c r="C40" s="20"/>
      <c r="D40" s="26">
        <f>D21+E21+D27+E27+D30+D37+E37</f>
        <v>149360.36916</v>
      </c>
      <c r="E40" s="20"/>
    </row>
    <row r="41" spans="1:5" x14ac:dyDescent="0.25">
      <c r="A41" s="20">
        <v>6</v>
      </c>
      <c r="B41" s="20" t="s">
        <v>46</v>
      </c>
      <c r="C41" s="20"/>
      <c r="D41" s="26">
        <f>D18*6%</f>
        <v>8188.5653999999995</v>
      </c>
      <c r="E41" s="20"/>
    </row>
    <row r="42" spans="1:5" x14ac:dyDescent="0.25">
      <c r="A42" s="20">
        <v>7</v>
      </c>
      <c r="B42" s="22" t="s">
        <v>47</v>
      </c>
      <c r="C42" s="20"/>
      <c r="D42" s="26">
        <f>D40+D41</f>
        <v>157548.93455999999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59</v>
      </c>
      <c r="C44" s="20"/>
      <c r="D44" s="26">
        <f>D18-D42</f>
        <v>-21072.844559999998</v>
      </c>
      <c r="E44" s="20"/>
    </row>
    <row r="45" spans="1:5" x14ac:dyDescent="0.25">
      <c r="A45" s="20">
        <v>9</v>
      </c>
      <c r="B45" s="22" t="s">
        <v>49</v>
      </c>
      <c r="C45" s="20"/>
      <c r="D45" s="26">
        <f>D10+D44</f>
        <v>-135536.32455999998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50</v>
      </c>
      <c r="C48" s="37"/>
      <c r="D48" s="37" t="s">
        <v>51</v>
      </c>
      <c r="E48" s="37"/>
    </row>
    <row r="49" spans="1:5" x14ac:dyDescent="0.25">
      <c r="A49" s="37"/>
      <c r="B49" s="37" t="s">
        <v>52</v>
      </c>
      <c r="C49" s="37"/>
      <c r="D49" s="37" t="s">
        <v>53</v>
      </c>
      <c r="E49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J38" sqref="J38"/>
    </sheetView>
  </sheetViews>
  <sheetFormatPr defaultRowHeight="15" x14ac:dyDescent="0.25"/>
  <cols>
    <col min="1" max="1" width="5.85546875" customWidth="1"/>
    <col min="2" max="2" width="42.42578125" customWidth="1"/>
    <col min="4" max="4" width="10.7109375" customWidth="1"/>
    <col min="5" max="5" width="11.42578125" customWidth="1"/>
  </cols>
  <sheetData>
    <row r="1" spans="1:5" ht="15.75" x14ac:dyDescent="0.25">
      <c r="A1" s="363"/>
      <c r="B1" s="364" t="s">
        <v>0</v>
      </c>
      <c r="C1" s="363"/>
      <c r="D1" s="363"/>
      <c r="E1" s="363"/>
    </row>
    <row r="2" spans="1:5" x14ac:dyDescent="0.25">
      <c r="A2" s="363"/>
      <c r="B2" s="363" t="s">
        <v>1</v>
      </c>
      <c r="C2" s="363"/>
      <c r="D2" s="363"/>
      <c r="E2" s="363"/>
    </row>
    <row r="3" spans="1:5" x14ac:dyDescent="0.25">
      <c r="A3" s="363"/>
      <c r="B3" s="365" t="s">
        <v>117</v>
      </c>
      <c r="C3" s="363"/>
      <c r="D3" s="363"/>
      <c r="E3" s="363"/>
    </row>
    <row r="4" spans="1:5" x14ac:dyDescent="0.25">
      <c r="A4" s="363"/>
      <c r="B4" s="363" t="s">
        <v>55</v>
      </c>
      <c r="C4" s="363"/>
      <c r="D4" s="363"/>
      <c r="E4" s="363"/>
    </row>
    <row r="5" spans="1:5" x14ac:dyDescent="0.25">
      <c r="A5" s="366"/>
      <c r="B5" s="366"/>
      <c r="C5" s="366"/>
      <c r="D5" s="367"/>
      <c r="E5" s="368"/>
    </row>
    <row r="6" spans="1:5" ht="15.75" x14ac:dyDescent="0.25">
      <c r="A6" s="369"/>
      <c r="B6" s="370" t="s">
        <v>4</v>
      </c>
      <c r="C6" s="371" t="s">
        <v>5</v>
      </c>
      <c r="D6" s="553" t="s">
        <v>6</v>
      </c>
      <c r="E6" s="554"/>
    </row>
    <row r="7" spans="1:5" ht="15.75" x14ac:dyDescent="0.25">
      <c r="A7" s="372"/>
      <c r="B7" s="370" t="s">
        <v>7</v>
      </c>
      <c r="C7" s="371" t="s">
        <v>8</v>
      </c>
      <c r="D7" s="555" t="s">
        <v>92</v>
      </c>
      <c r="E7" s="556"/>
    </row>
    <row r="8" spans="1:5" x14ac:dyDescent="0.25">
      <c r="A8" s="373"/>
      <c r="B8" s="373"/>
      <c r="C8" s="373"/>
      <c r="D8" s="374"/>
      <c r="E8" s="375"/>
    </row>
    <row r="9" spans="1:5" x14ac:dyDescent="0.25">
      <c r="A9" s="373"/>
      <c r="B9" s="376" t="s">
        <v>10</v>
      </c>
      <c r="C9" s="373"/>
      <c r="D9" s="374">
        <v>-79080.03</v>
      </c>
      <c r="E9" s="375"/>
    </row>
    <row r="10" spans="1:5" x14ac:dyDescent="0.25">
      <c r="A10" s="377"/>
      <c r="B10" s="378" t="s">
        <v>11</v>
      </c>
      <c r="C10" s="377" t="s">
        <v>12</v>
      </c>
      <c r="D10" s="377">
        <v>5631.46</v>
      </c>
      <c r="E10" s="377"/>
    </row>
    <row r="11" spans="1:5" x14ac:dyDescent="0.25">
      <c r="A11" s="377"/>
      <c r="B11" s="378" t="s">
        <v>13</v>
      </c>
      <c r="C11" s="377" t="s">
        <v>12</v>
      </c>
      <c r="D11" s="377">
        <v>4522.7</v>
      </c>
      <c r="E11" s="377"/>
    </row>
    <row r="12" spans="1:5" x14ac:dyDescent="0.25">
      <c r="A12" s="377"/>
      <c r="B12" s="379" t="s">
        <v>14</v>
      </c>
      <c r="C12" s="377" t="s">
        <v>63</v>
      </c>
      <c r="D12" s="380">
        <f>86971.74*2</f>
        <v>173943.48</v>
      </c>
      <c r="E12" s="377"/>
    </row>
    <row r="13" spans="1:5" x14ac:dyDescent="0.25">
      <c r="A13" s="377"/>
      <c r="B13" s="377"/>
      <c r="C13" s="377"/>
      <c r="D13" s="377"/>
      <c r="E13" s="377"/>
    </row>
    <row r="14" spans="1:5" ht="15.75" x14ac:dyDescent="0.25">
      <c r="A14" s="377"/>
      <c r="B14" s="381" t="s">
        <v>16</v>
      </c>
      <c r="C14" s="377"/>
      <c r="D14" s="377"/>
      <c r="E14" s="377"/>
    </row>
    <row r="15" spans="1:5" x14ac:dyDescent="0.25">
      <c r="A15" s="377">
        <v>1</v>
      </c>
      <c r="B15" s="377" t="s">
        <v>17</v>
      </c>
      <c r="C15" s="377" t="s">
        <v>15</v>
      </c>
      <c r="D15" s="377">
        <v>155781.28</v>
      </c>
      <c r="E15" s="377"/>
    </row>
    <row r="16" spans="1:5" x14ac:dyDescent="0.25">
      <c r="A16" s="377"/>
      <c r="B16" s="377"/>
      <c r="C16" s="377"/>
      <c r="D16" s="377"/>
      <c r="E16" s="377"/>
    </row>
    <row r="17" spans="1:5" ht="15.75" x14ac:dyDescent="0.25">
      <c r="A17" s="377"/>
      <c r="B17" s="381" t="s">
        <v>19</v>
      </c>
      <c r="C17" s="377"/>
      <c r="D17" s="380">
        <f>D15</f>
        <v>155781.28</v>
      </c>
      <c r="E17" s="377"/>
    </row>
    <row r="18" spans="1:5" ht="15.75" x14ac:dyDescent="0.25">
      <c r="A18" s="377"/>
      <c r="B18" s="381"/>
      <c r="C18" s="377"/>
      <c r="D18" s="380"/>
      <c r="E18" s="377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D21+D26+D25</f>
        <v>28555.73</v>
      </c>
      <c r="E20" s="26">
        <f>E21</f>
        <v>6038.4266600000001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23047.43</v>
      </c>
      <c r="E21" s="26">
        <f>E22</f>
        <v>6038.4266600000001</v>
      </c>
    </row>
    <row r="22" spans="1:5" x14ac:dyDescent="0.25">
      <c r="A22" s="20"/>
      <c r="B22" s="20" t="s">
        <v>25</v>
      </c>
      <c r="C22" s="20"/>
      <c r="D22" s="20">
        <v>23047.43</v>
      </c>
      <c r="E22" s="28">
        <f>D22*26.2%</f>
        <v>6038.4266600000001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/>
      <c r="B25" s="20" t="s">
        <v>118</v>
      </c>
      <c r="C25" s="20"/>
      <c r="D25" s="20">
        <f>4425.61-800</f>
        <v>3625.6099999999997</v>
      </c>
      <c r="E25" s="28"/>
    </row>
    <row r="26" spans="1:5" x14ac:dyDescent="0.25">
      <c r="A26" s="20">
        <v>2</v>
      </c>
      <c r="B26" s="27" t="s">
        <v>28</v>
      </c>
      <c r="C26" s="20"/>
      <c r="D26" s="20">
        <v>1882.69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44337.229999999996</v>
      </c>
      <c r="E27" s="26">
        <f>E28</f>
        <v>10512.28102</v>
      </c>
    </row>
    <row r="28" spans="1:5" x14ac:dyDescent="0.25">
      <c r="A28" s="20">
        <v>1</v>
      </c>
      <c r="B28" s="31" t="s">
        <v>31</v>
      </c>
      <c r="C28" s="20"/>
      <c r="D28" s="31">
        <v>40123.21</v>
      </c>
      <c r="E28" s="28">
        <f>D28*26.2%</f>
        <v>10512.28102</v>
      </c>
    </row>
    <row r="29" spans="1:5" x14ac:dyDescent="0.25">
      <c r="A29" s="20">
        <v>2</v>
      </c>
      <c r="B29" s="31" t="s">
        <v>28</v>
      </c>
      <c r="C29" s="20"/>
      <c r="D29" s="31">
        <v>4214.0200000000004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D31+D32+D33+D34+D35+D36+D38+D37</f>
        <v>41335.523999999998</v>
      </c>
      <c r="E30" s="20"/>
    </row>
    <row r="31" spans="1:5" x14ac:dyDescent="0.25">
      <c r="A31" s="20"/>
      <c r="B31" s="20" t="s">
        <v>34</v>
      </c>
      <c r="C31" s="20"/>
      <c r="D31" s="28">
        <f>D17*5%</f>
        <v>7789.0640000000003</v>
      </c>
      <c r="E31" s="20"/>
    </row>
    <row r="32" spans="1:5" x14ac:dyDescent="0.25">
      <c r="A32" s="20"/>
      <c r="B32" s="20" t="s">
        <v>74</v>
      </c>
      <c r="C32" s="20"/>
      <c r="D32" s="20">
        <v>0</v>
      </c>
      <c r="E32" s="20"/>
    </row>
    <row r="33" spans="1:5" x14ac:dyDescent="0.25">
      <c r="A33" s="20"/>
      <c r="B33" s="20" t="s">
        <v>36</v>
      </c>
      <c r="C33" s="20"/>
      <c r="D33" s="28">
        <v>8140.86</v>
      </c>
      <c r="E33" s="20"/>
    </row>
    <row r="34" spans="1:5" x14ac:dyDescent="0.25">
      <c r="A34" s="20"/>
      <c r="B34" s="31" t="s">
        <v>37</v>
      </c>
      <c r="C34" s="20"/>
      <c r="D34" s="20">
        <v>898.27</v>
      </c>
      <c r="E34" s="20"/>
    </row>
    <row r="35" spans="1:5" x14ac:dyDescent="0.25">
      <c r="A35" s="20"/>
      <c r="B35" s="27" t="s">
        <v>38</v>
      </c>
      <c r="C35" s="20"/>
      <c r="D35" s="20">
        <v>1231.1600000000001</v>
      </c>
      <c r="E35" s="20"/>
    </row>
    <row r="36" spans="1:5" x14ac:dyDescent="0.25">
      <c r="A36" s="20"/>
      <c r="B36" s="27" t="s">
        <v>84</v>
      </c>
      <c r="C36" s="20"/>
      <c r="D36" s="20">
        <v>20519.91</v>
      </c>
      <c r="E36" s="20"/>
    </row>
    <row r="37" spans="1:5" x14ac:dyDescent="0.25">
      <c r="A37" s="20"/>
      <c r="B37" s="31" t="s">
        <v>58</v>
      </c>
      <c r="C37" s="20"/>
      <c r="D37" s="20">
        <f>2*84.52</f>
        <v>169.04</v>
      </c>
      <c r="E37" s="20"/>
    </row>
    <row r="38" spans="1:5" x14ac:dyDescent="0.25">
      <c r="A38" s="20"/>
      <c r="B38" s="20" t="s">
        <v>41</v>
      </c>
      <c r="C38" s="20"/>
      <c r="D38" s="20">
        <v>2587.2199999999998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22546.11</v>
      </c>
      <c r="E39" s="26">
        <f>E40</f>
        <v>4847.7860000000001</v>
      </c>
    </row>
    <row r="40" spans="1:5" x14ac:dyDescent="0.25">
      <c r="A40" s="31"/>
      <c r="B40" s="31" t="s">
        <v>43</v>
      </c>
      <c r="C40" s="31"/>
      <c r="D40" s="33">
        <v>18503</v>
      </c>
      <c r="E40" s="28">
        <f>D40*26.2%</f>
        <v>4847.7860000000001</v>
      </c>
    </row>
    <row r="41" spans="1:5" x14ac:dyDescent="0.25">
      <c r="A41" s="20"/>
      <c r="B41" s="27" t="s">
        <v>44</v>
      </c>
      <c r="C41" s="20"/>
      <c r="D41" s="33">
        <v>4043.11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D20+E20+D27+E27+D30+D39+E39</f>
        <v>158173.08767999997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9346.8768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167519.96447999997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D17-D44</f>
        <v>-11738.684479999967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-90818.714479999966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4" workbookViewId="0">
      <selection activeCell="G21" sqref="G21"/>
    </sheetView>
  </sheetViews>
  <sheetFormatPr defaultRowHeight="15" x14ac:dyDescent="0.25"/>
  <cols>
    <col min="1" max="1" width="7.28515625" customWidth="1"/>
    <col min="2" max="2" width="40" customWidth="1"/>
    <col min="4" max="4" width="11.5703125" customWidth="1"/>
    <col min="5" max="5" width="11.7109375" customWidth="1"/>
  </cols>
  <sheetData>
    <row r="1" spans="1:5" ht="15.75" x14ac:dyDescent="0.25">
      <c r="A1" s="37"/>
      <c r="B1" s="64" t="s">
        <v>0</v>
      </c>
      <c r="C1" s="37"/>
      <c r="D1" s="37"/>
      <c r="E1" s="37"/>
    </row>
    <row r="2" spans="1:5" x14ac:dyDescent="0.25">
      <c r="A2" s="37"/>
      <c r="B2" s="37"/>
      <c r="C2" s="37"/>
      <c r="D2" s="37"/>
      <c r="E2" s="37"/>
    </row>
    <row r="3" spans="1:5" x14ac:dyDescent="0.25">
      <c r="A3" s="37"/>
      <c r="B3" s="37" t="s">
        <v>1</v>
      </c>
      <c r="C3" s="37"/>
      <c r="D3" s="37"/>
      <c r="E3" s="37"/>
    </row>
    <row r="4" spans="1:5" x14ac:dyDescent="0.25">
      <c r="A4" s="37"/>
      <c r="B4" s="65" t="s">
        <v>75</v>
      </c>
      <c r="C4" s="37"/>
      <c r="D4" s="37"/>
      <c r="E4" s="37"/>
    </row>
    <row r="5" spans="1:5" x14ac:dyDescent="0.25">
      <c r="A5" s="479"/>
      <c r="B5" s="479"/>
      <c r="C5" s="479"/>
      <c r="D5" s="66"/>
      <c r="E5" s="67"/>
    </row>
    <row r="6" spans="1:5" x14ac:dyDescent="0.25">
      <c r="A6" s="68"/>
      <c r="B6" s="68"/>
      <c r="C6" s="68"/>
      <c r="D6" s="34"/>
      <c r="E6" s="69"/>
    </row>
    <row r="7" spans="1:5" ht="15.75" x14ac:dyDescent="0.25">
      <c r="A7" s="70"/>
      <c r="B7" s="71" t="s">
        <v>4</v>
      </c>
      <c r="C7" s="72" t="s">
        <v>5</v>
      </c>
      <c r="D7" s="480" t="s">
        <v>6</v>
      </c>
      <c r="E7" s="481"/>
    </row>
    <row r="8" spans="1:5" ht="15.75" x14ac:dyDescent="0.25">
      <c r="A8" s="73"/>
      <c r="B8" s="71" t="s">
        <v>7</v>
      </c>
      <c r="C8" s="72" t="s">
        <v>8</v>
      </c>
      <c r="D8" s="482" t="s">
        <v>72</v>
      </c>
      <c r="E8" s="483"/>
    </row>
    <row r="9" spans="1:5" x14ac:dyDescent="0.25">
      <c r="A9" s="74"/>
      <c r="B9" s="74"/>
      <c r="C9" s="74"/>
      <c r="D9" s="75"/>
      <c r="E9" s="76"/>
    </row>
    <row r="10" spans="1:5" x14ac:dyDescent="0.25">
      <c r="A10" s="74"/>
      <c r="B10" s="77" t="s">
        <v>73</v>
      </c>
      <c r="C10" s="74"/>
      <c r="D10" s="20">
        <v>-60044.12</v>
      </c>
      <c r="E10" s="76"/>
    </row>
    <row r="11" spans="1:5" x14ac:dyDescent="0.25">
      <c r="A11" s="20"/>
      <c r="B11" s="78" t="s">
        <v>11</v>
      </c>
      <c r="C11" s="20" t="s">
        <v>12</v>
      </c>
      <c r="D11" s="20">
        <v>8417.7000000000007</v>
      </c>
      <c r="E11" s="20"/>
    </row>
    <row r="12" spans="1:5" x14ac:dyDescent="0.25">
      <c r="A12" s="20"/>
      <c r="B12" s="78" t="s">
        <v>13</v>
      </c>
      <c r="C12" s="20" t="s">
        <v>12</v>
      </c>
      <c r="D12" s="20">
        <v>5933.4</v>
      </c>
      <c r="E12" s="20"/>
    </row>
    <row r="13" spans="1:5" x14ac:dyDescent="0.25">
      <c r="A13" s="20"/>
      <c r="B13" s="25" t="s">
        <v>14</v>
      </c>
      <c r="C13" s="20" t="s">
        <v>15</v>
      </c>
      <c r="D13" s="22">
        <v>222101.74</v>
      </c>
      <c r="E13" s="20"/>
    </row>
    <row r="14" spans="1:5" x14ac:dyDescent="0.25">
      <c r="A14" s="20"/>
      <c r="B14" s="20"/>
      <c r="C14" s="20"/>
      <c r="D14" s="20"/>
      <c r="E14" s="20"/>
    </row>
    <row r="15" spans="1:5" ht="15.75" x14ac:dyDescent="0.25">
      <c r="A15" s="20"/>
      <c r="B15" s="21" t="s">
        <v>16</v>
      </c>
      <c r="C15" s="20"/>
      <c r="D15" s="20"/>
      <c r="E15" s="20"/>
    </row>
    <row r="16" spans="1:5" x14ac:dyDescent="0.25">
      <c r="A16" s="20">
        <v>1</v>
      </c>
      <c r="B16" s="20" t="s">
        <v>17</v>
      </c>
      <c r="C16" s="20" t="s">
        <v>15</v>
      </c>
      <c r="D16" s="22">
        <v>214319.22</v>
      </c>
      <c r="E16" s="20"/>
    </row>
    <row r="17" spans="1:5" ht="15.75" x14ac:dyDescent="0.25">
      <c r="A17" s="20"/>
      <c r="B17" s="21" t="s">
        <v>19</v>
      </c>
      <c r="C17" s="20"/>
      <c r="D17" s="26">
        <f>D16</f>
        <v>214319.22</v>
      </c>
      <c r="E17" s="20"/>
    </row>
    <row r="18" spans="1:5" ht="15.75" x14ac:dyDescent="0.25">
      <c r="A18" s="20"/>
      <c r="B18" s="21"/>
      <c r="C18" s="20"/>
      <c r="D18" s="26"/>
      <c r="E18" s="20"/>
    </row>
    <row r="19" spans="1:5" ht="15.75" x14ac:dyDescent="0.25">
      <c r="A19" s="20"/>
      <c r="B19" s="21" t="s">
        <v>20</v>
      </c>
      <c r="C19" s="20"/>
      <c r="D19" s="22"/>
      <c r="E19" s="31" t="s">
        <v>76</v>
      </c>
    </row>
    <row r="20" spans="1:5" x14ac:dyDescent="0.25">
      <c r="A20" s="24" t="s">
        <v>22</v>
      </c>
      <c r="B20" s="25" t="s">
        <v>23</v>
      </c>
      <c r="C20" s="20"/>
      <c r="D20" s="26">
        <f>D21+D25</f>
        <v>22854.690000000002</v>
      </c>
      <c r="E20" s="26">
        <f>E21</f>
        <v>5167.9054600000009</v>
      </c>
    </row>
    <row r="21" spans="1:5" x14ac:dyDescent="0.25">
      <c r="A21" s="20">
        <v>1</v>
      </c>
      <c r="B21" s="22" t="s">
        <v>24</v>
      </c>
      <c r="C21" s="27" t="s">
        <v>15</v>
      </c>
      <c r="D21" s="26">
        <f>D22</f>
        <v>19724.830000000002</v>
      </c>
      <c r="E21" s="26">
        <f>E22+E23+E24</f>
        <v>5167.9054600000009</v>
      </c>
    </row>
    <row r="22" spans="1:5" x14ac:dyDescent="0.25">
      <c r="A22" s="20"/>
      <c r="B22" s="20" t="s">
        <v>25</v>
      </c>
      <c r="C22" s="20"/>
      <c r="D22" s="20">
        <v>19724.830000000002</v>
      </c>
      <c r="E22" s="28">
        <f>D22*26.2%</f>
        <v>5167.9054600000009</v>
      </c>
    </row>
    <row r="23" spans="1:5" x14ac:dyDescent="0.25">
      <c r="A23" s="20"/>
      <c r="B23" s="20" t="s">
        <v>26</v>
      </c>
      <c r="C23" s="20"/>
      <c r="D23" s="29">
        <v>0</v>
      </c>
      <c r="E23" s="28"/>
    </row>
    <row r="24" spans="1:5" x14ac:dyDescent="0.25">
      <c r="A24" s="20"/>
      <c r="B24" s="20" t="s">
        <v>27</v>
      </c>
      <c r="C24" s="20"/>
      <c r="D24" s="20">
        <v>0</v>
      </c>
      <c r="E24" s="28"/>
    </row>
    <row r="25" spans="1:5" x14ac:dyDescent="0.25">
      <c r="A25" s="20">
        <v>2</v>
      </c>
      <c r="B25" s="27" t="s">
        <v>28</v>
      </c>
      <c r="C25" s="20"/>
      <c r="D25" s="20">
        <v>3129.86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</f>
        <v>62408.21</v>
      </c>
      <c r="E26" s="26">
        <f>E27</f>
        <v>14429.25438</v>
      </c>
    </row>
    <row r="27" spans="1:5" x14ac:dyDescent="0.25">
      <c r="A27" s="20">
        <v>1</v>
      </c>
      <c r="B27" s="31" t="s">
        <v>31</v>
      </c>
      <c r="C27" s="20"/>
      <c r="D27" s="31">
        <v>55073.49</v>
      </c>
      <c r="E27" s="33">
        <f>D27*26.2%</f>
        <v>14429.25438</v>
      </c>
    </row>
    <row r="28" spans="1:5" x14ac:dyDescent="0.25">
      <c r="A28" s="20">
        <v>2</v>
      </c>
      <c r="B28" s="31" t="s">
        <v>28</v>
      </c>
      <c r="C28" s="20"/>
      <c r="D28" s="31">
        <v>7334.72</v>
      </c>
      <c r="E28" s="20"/>
    </row>
    <row r="29" spans="1:5" x14ac:dyDescent="0.25">
      <c r="A29" s="24" t="s">
        <v>32</v>
      </c>
      <c r="B29" s="22" t="s">
        <v>33</v>
      </c>
      <c r="C29" s="20"/>
      <c r="D29" s="26">
        <f>D30+D32+D33+D34+D35+D36+D31</f>
        <v>38689.291000000005</v>
      </c>
      <c r="E29" s="20"/>
    </row>
    <row r="30" spans="1:5" x14ac:dyDescent="0.25">
      <c r="A30" s="20"/>
      <c r="B30" s="20" t="s">
        <v>34</v>
      </c>
      <c r="C30" s="20"/>
      <c r="D30" s="28">
        <f>D17*5%</f>
        <v>10715.961000000001</v>
      </c>
      <c r="E30" s="20"/>
    </row>
    <row r="31" spans="1:5" x14ac:dyDescent="0.25">
      <c r="A31" s="20"/>
      <c r="B31" s="31" t="s">
        <v>58</v>
      </c>
      <c r="C31" s="20"/>
      <c r="D31" s="28"/>
      <c r="E31" s="20"/>
    </row>
    <row r="32" spans="1:5" x14ac:dyDescent="0.25">
      <c r="A32" s="20"/>
      <c r="B32" s="20" t="s">
        <v>36</v>
      </c>
      <c r="C32" s="20"/>
      <c r="D32" s="28">
        <v>11174.22</v>
      </c>
      <c r="E32" s="20"/>
    </row>
    <row r="33" spans="1:5" x14ac:dyDescent="0.25">
      <c r="A33" s="20"/>
      <c r="B33" s="27" t="s">
        <v>37</v>
      </c>
      <c r="C33" s="20"/>
      <c r="D33" s="20">
        <v>1232.97</v>
      </c>
      <c r="E33" s="20"/>
    </row>
    <row r="34" spans="1:5" x14ac:dyDescent="0.25">
      <c r="A34" s="20"/>
      <c r="B34" s="27" t="s">
        <v>38</v>
      </c>
      <c r="C34" s="20"/>
      <c r="D34" s="20">
        <v>1689.9</v>
      </c>
      <c r="E34" s="20"/>
    </row>
    <row r="35" spans="1:5" x14ac:dyDescent="0.25">
      <c r="A35" s="20"/>
      <c r="B35" s="27" t="s">
        <v>77</v>
      </c>
      <c r="C35" s="20"/>
      <c r="D35" s="20">
        <v>10325</v>
      </c>
      <c r="E35" s="20"/>
    </row>
    <row r="36" spans="1:5" x14ac:dyDescent="0.25">
      <c r="A36" s="20"/>
      <c r="B36" s="20" t="s">
        <v>41</v>
      </c>
      <c r="C36" s="20"/>
      <c r="D36" s="20">
        <v>3551.24</v>
      </c>
      <c r="E36" s="20"/>
    </row>
    <row r="37" spans="1:5" x14ac:dyDescent="0.25">
      <c r="A37" s="20">
        <v>4</v>
      </c>
      <c r="B37" s="22" t="s">
        <v>42</v>
      </c>
      <c r="C37" s="20"/>
      <c r="D37" s="26">
        <f>D38+D39</f>
        <v>30947.02</v>
      </c>
      <c r="E37" s="26">
        <f>E38</f>
        <v>6654.11618</v>
      </c>
    </row>
    <row r="38" spans="1:5" x14ac:dyDescent="0.25">
      <c r="A38" s="20"/>
      <c r="B38" s="31" t="s">
        <v>78</v>
      </c>
      <c r="C38" s="31"/>
      <c r="D38" s="33">
        <v>25397.39</v>
      </c>
      <c r="E38" s="33">
        <f>D38*26.2%</f>
        <v>6654.11618</v>
      </c>
    </row>
    <row r="39" spans="1:5" x14ac:dyDescent="0.25">
      <c r="A39" s="20"/>
      <c r="B39" s="31" t="s">
        <v>44</v>
      </c>
      <c r="C39" s="20"/>
      <c r="D39" s="33">
        <v>5549.63</v>
      </c>
      <c r="E39" s="20"/>
    </row>
    <row r="40" spans="1:5" x14ac:dyDescent="0.25">
      <c r="A40" s="20">
        <v>5</v>
      </c>
      <c r="B40" s="22" t="s">
        <v>45</v>
      </c>
      <c r="C40" s="20"/>
      <c r="D40" s="26">
        <f>D20+E20+D26+E26+D29+D37+E37</f>
        <v>181150.48702</v>
      </c>
      <c r="E40" s="20"/>
    </row>
    <row r="41" spans="1:5" x14ac:dyDescent="0.25">
      <c r="A41" s="20">
        <v>6</v>
      </c>
      <c r="B41" s="20" t="s">
        <v>46</v>
      </c>
      <c r="C41" s="20"/>
      <c r="D41" s="26">
        <f>D17*6%</f>
        <v>12859.153199999999</v>
      </c>
      <c r="E41" s="20"/>
    </row>
    <row r="42" spans="1:5" x14ac:dyDescent="0.25">
      <c r="A42" s="20">
        <v>7</v>
      </c>
      <c r="B42" s="22" t="s">
        <v>47</v>
      </c>
      <c r="C42" s="20"/>
      <c r="D42" s="26">
        <f>D40+D41</f>
        <v>194009.64022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59</v>
      </c>
      <c r="C44" s="20"/>
      <c r="D44" s="26">
        <f>D17-D42</f>
        <v>20309.57978</v>
      </c>
      <c r="E44" s="20"/>
    </row>
    <row r="45" spans="1:5" x14ac:dyDescent="0.25">
      <c r="A45" s="20">
        <v>9</v>
      </c>
      <c r="B45" s="22" t="s">
        <v>49</v>
      </c>
      <c r="C45" s="20"/>
      <c r="D45" s="26">
        <f>D10+D44</f>
        <v>-39734.540220000003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7"/>
      <c r="B47" s="37" t="s">
        <v>50</v>
      </c>
      <c r="C47" s="37"/>
      <c r="D47" s="37" t="s">
        <v>51</v>
      </c>
      <c r="E47" s="37"/>
    </row>
    <row r="48" spans="1:5" x14ac:dyDescent="0.25">
      <c r="A48" s="37"/>
      <c r="B48" s="37" t="s">
        <v>52</v>
      </c>
      <c r="C48" s="37"/>
      <c r="D48" s="37" t="s">
        <v>53</v>
      </c>
      <c r="E48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I34" sqref="I34"/>
    </sheetView>
  </sheetViews>
  <sheetFormatPr defaultRowHeight="15" x14ac:dyDescent="0.25"/>
  <cols>
    <col min="1" max="1" width="6.42578125" customWidth="1"/>
    <col min="2" max="2" width="44.7109375" customWidth="1"/>
    <col min="4" max="4" width="11.140625" customWidth="1"/>
    <col min="5" max="5" width="11.28515625" customWidth="1"/>
  </cols>
  <sheetData>
    <row r="1" spans="1:5" ht="15.75" x14ac:dyDescent="0.25">
      <c r="A1" s="382"/>
      <c r="B1" s="383" t="s">
        <v>0</v>
      </c>
      <c r="C1" s="382"/>
      <c r="D1" s="382"/>
      <c r="E1" s="382"/>
    </row>
    <row r="2" spans="1:5" x14ac:dyDescent="0.25">
      <c r="A2" s="382"/>
      <c r="B2" s="382"/>
      <c r="C2" s="382"/>
      <c r="D2" s="382"/>
      <c r="E2" s="382"/>
    </row>
    <row r="3" spans="1:5" x14ac:dyDescent="0.25">
      <c r="A3" s="382"/>
      <c r="B3" s="382" t="s">
        <v>1</v>
      </c>
      <c r="C3" s="382"/>
      <c r="D3" s="382"/>
      <c r="E3" s="382"/>
    </row>
    <row r="4" spans="1:5" x14ac:dyDescent="0.25">
      <c r="A4" s="382"/>
      <c r="B4" s="384" t="s">
        <v>119</v>
      </c>
      <c r="C4" s="382"/>
      <c r="D4" s="382"/>
      <c r="E4" s="382"/>
    </row>
    <row r="5" spans="1:5" x14ac:dyDescent="0.25">
      <c r="A5" s="382"/>
      <c r="B5" s="382" t="s">
        <v>55</v>
      </c>
      <c r="C5" s="382"/>
      <c r="D5" s="382"/>
      <c r="E5" s="382"/>
    </row>
    <row r="6" spans="1:5" x14ac:dyDescent="0.25">
      <c r="A6" s="385"/>
      <c r="B6" s="385"/>
      <c r="C6" s="385"/>
      <c r="D6" s="386"/>
      <c r="E6" s="387"/>
    </row>
    <row r="7" spans="1:5" ht="15.75" x14ac:dyDescent="0.25">
      <c r="A7" s="388"/>
      <c r="B7" s="389" t="s">
        <v>4</v>
      </c>
      <c r="C7" s="390" t="s">
        <v>5</v>
      </c>
      <c r="D7" s="557" t="s">
        <v>6</v>
      </c>
      <c r="E7" s="558"/>
    </row>
    <row r="8" spans="1:5" ht="15.75" x14ac:dyDescent="0.25">
      <c r="A8" s="391"/>
      <c r="B8" s="389" t="s">
        <v>7</v>
      </c>
      <c r="C8" s="390" t="s">
        <v>8</v>
      </c>
      <c r="D8" s="559" t="s">
        <v>92</v>
      </c>
      <c r="E8" s="560"/>
    </row>
    <row r="9" spans="1:5" x14ac:dyDescent="0.25">
      <c r="A9" s="392"/>
      <c r="B9" s="392"/>
      <c r="C9" s="392"/>
      <c r="D9" s="393"/>
      <c r="E9" s="394"/>
    </row>
    <row r="10" spans="1:5" x14ac:dyDescent="0.25">
      <c r="A10" s="392"/>
      <c r="B10" s="395" t="s">
        <v>10</v>
      </c>
      <c r="C10" s="392"/>
      <c r="D10" s="393">
        <v>-96104.76</v>
      </c>
      <c r="E10" s="394"/>
    </row>
    <row r="11" spans="1:5" x14ac:dyDescent="0.25">
      <c r="A11" s="396"/>
      <c r="B11" s="397" t="s">
        <v>11</v>
      </c>
      <c r="C11" s="396" t="s">
        <v>12</v>
      </c>
      <c r="D11" s="396">
        <v>3614.7</v>
      </c>
      <c r="E11" s="396"/>
    </row>
    <row r="12" spans="1:5" x14ac:dyDescent="0.25">
      <c r="A12" s="396"/>
      <c r="B12" s="397" t="s">
        <v>13</v>
      </c>
      <c r="C12" s="396" t="s">
        <v>12</v>
      </c>
      <c r="D12" s="396">
        <v>2649.9</v>
      </c>
      <c r="E12" s="396"/>
    </row>
    <row r="13" spans="1:5" x14ac:dyDescent="0.25">
      <c r="A13" s="396"/>
      <c r="B13" s="398" t="s">
        <v>14</v>
      </c>
      <c r="C13" s="396" t="s">
        <v>63</v>
      </c>
      <c r="D13" s="399">
        <f>55480.8*2</f>
        <v>110961.60000000001</v>
      </c>
      <c r="E13" s="396"/>
    </row>
    <row r="14" spans="1:5" x14ac:dyDescent="0.25">
      <c r="A14" s="396"/>
      <c r="B14" s="396"/>
      <c r="C14" s="396"/>
      <c r="D14" s="396"/>
      <c r="E14" s="396"/>
    </row>
    <row r="15" spans="1:5" ht="15.75" x14ac:dyDescent="0.25">
      <c r="A15" s="396"/>
      <c r="B15" s="400" t="s">
        <v>16</v>
      </c>
      <c r="C15" s="396"/>
      <c r="D15" s="396"/>
      <c r="E15" s="396"/>
    </row>
    <row r="16" spans="1:5" x14ac:dyDescent="0.25">
      <c r="A16" s="396">
        <v>1</v>
      </c>
      <c r="B16" s="396" t="s">
        <v>17</v>
      </c>
      <c r="C16" s="396" t="s">
        <v>15</v>
      </c>
      <c r="D16" s="396">
        <v>118450.51</v>
      </c>
      <c r="E16" s="396"/>
    </row>
    <row r="17" spans="1:5" x14ac:dyDescent="0.25">
      <c r="A17" s="396"/>
      <c r="B17" s="396"/>
      <c r="C17" s="396"/>
      <c r="D17" s="396"/>
      <c r="E17" s="396"/>
    </row>
    <row r="18" spans="1:5" ht="15.75" x14ac:dyDescent="0.25">
      <c r="A18" s="396"/>
      <c r="B18" s="400" t="s">
        <v>19</v>
      </c>
      <c r="C18" s="396"/>
      <c r="D18" s="399">
        <f>D16</f>
        <v>118450.51</v>
      </c>
      <c r="E18" s="396"/>
    </row>
    <row r="19" spans="1:5" ht="15.75" x14ac:dyDescent="0.25">
      <c r="A19" s="396"/>
      <c r="B19" s="400"/>
      <c r="C19" s="396"/>
      <c r="D19" s="399"/>
      <c r="E19" s="396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D22+D27+D26</f>
        <v>48291.93</v>
      </c>
      <c r="E21" s="26">
        <f>E22</f>
        <v>12043.16012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45966.26</v>
      </c>
      <c r="E22" s="26">
        <f>E23+E24+E25</f>
        <v>12043.16012</v>
      </c>
    </row>
    <row r="23" spans="1:5" x14ac:dyDescent="0.25">
      <c r="A23" s="20"/>
      <c r="B23" s="20" t="s">
        <v>25</v>
      </c>
      <c r="C23" s="20"/>
      <c r="D23" s="20">
        <v>13289.45</v>
      </c>
      <c r="E23" s="28">
        <f>D23*26.2%</f>
        <v>3481.8359000000005</v>
      </c>
    </row>
    <row r="24" spans="1:5" x14ac:dyDescent="0.25">
      <c r="A24" s="20"/>
      <c r="B24" s="20" t="s">
        <v>26</v>
      </c>
      <c r="C24" s="20"/>
      <c r="D24" s="29">
        <v>10357.52</v>
      </c>
      <c r="E24" s="28">
        <f>D24*26.2%</f>
        <v>2713.6702400000004</v>
      </c>
    </row>
    <row r="25" spans="1:5" x14ac:dyDescent="0.25">
      <c r="A25" s="20"/>
      <c r="B25" s="20" t="s">
        <v>27</v>
      </c>
      <c r="C25" s="20"/>
      <c r="D25" s="20">
        <v>22319.29</v>
      </c>
      <c r="E25" s="28">
        <f>D25*26.2%</f>
        <v>5847.65398</v>
      </c>
    </row>
    <row r="26" spans="1:5" x14ac:dyDescent="0.25">
      <c r="A26" s="20"/>
      <c r="B26" s="20" t="s">
        <v>118</v>
      </c>
      <c r="C26" s="20"/>
      <c r="D26" s="20">
        <v>953.25</v>
      </c>
      <c r="E26" s="28"/>
    </row>
    <row r="27" spans="1:5" x14ac:dyDescent="0.25">
      <c r="A27" s="20">
        <v>2</v>
      </c>
      <c r="B27" s="27" t="s">
        <v>28</v>
      </c>
      <c r="C27" s="20"/>
      <c r="D27" s="20">
        <v>1372.42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28309.260000000002</v>
      </c>
      <c r="E28" s="26">
        <f>E29</f>
        <v>6159.2610600000007</v>
      </c>
    </row>
    <row r="29" spans="1:5" x14ac:dyDescent="0.25">
      <c r="A29" s="20">
        <v>1</v>
      </c>
      <c r="B29" s="31" t="s">
        <v>31</v>
      </c>
      <c r="C29" s="20"/>
      <c r="D29" s="31">
        <v>23508.63</v>
      </c>
      <c r="E29" s="28">
        <f>D29*26.2%</f>
        <v>6159.2610600000007</v>
      </c>
    </row>
    <row r="30" spans="1:5" x14ac:dyDescent="0.25">
      <c r="A30" s="20">
        <v>2</v>
      </c>
      <c r="B30" s="31" t="s">
        <v>28</v>
      </c>
      <c r="C30" s="20"/>
      <c r="D30" s="31">
        <v>4800.63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D32+D33+D34+D35+D36+D38+D37</f>
        <v>13154.305500000002</v>
      </c>
      <c r="E31" s="20"/>
    </row>
    <row r="32" spans="1:5" x14ac:dyDescent="0.25">
      <c r="A32" s="20"/>
      <c r="B32" s="20" t="s">
        <v>34</v>
      </c>
      <c r="C32" s="20"/>
      <c r="D32" s="28">
        <f>D18*5%</f>
        <v>5922.5254999999997</v>
      </c>
      <c r="E32" s="20"/>
    </row>
    <row r="33" spans="1:5" x14ac:dyDescent="0.25">
      <c r="A33" s="20"/>
      <c r="B33" s="20" t="s">
        <v>74</v>
      </c>
      <c r="C33" s="20"/>
      <c r="D33" s="20">
        <v>0</v>
      </c>
      <c r="E33" s="20"/>
    </row>
    <row r="34" spans="1:5" x14ac:dyDescent="0.25">
      <c r="A34" s="20"/>
      <c r="B34" s="20" t="s">
        <v>36</v>
      </c>
      <c r="C34" s="20"/>
      <c r="D34" s="28">
        <v>4299.2</v>
      </c>
      <c r="E34" s="20"/>
    </row>
    <row r="35" spans="1:5" x14ac:dyDescent="0.25">
      <c r="A35" s="20"/>
      <c r="B35" s="27" t="s">
        <v>37</v>
      </c>
      <c r="C35" s="20"/>
      <c r="D35" s="20">
        <v>526.30999999999995</v>
      </c>
      <c r="E35" s="20"/>
    </row>
    <row r="36" spans="1:5" x14ac:dyDescent="0.25">
      <c r="A36" s="20"/>
      <c r="B36" s="27" t="s">
        <v>38</v>
      </c>
      <c r="C36" s="20"/>
      <c r="D36" s="20">
        <v>721.35</v>
      </c>
      <c r="E36" s="20"/>
    </row>
    <row r="37" spans="1:5" x14ac:dyDescent="0.25">
      <c r="A37" s="20"/>
      <c r="B37" s="27" t="s">
        <v>58</v>
      </c>
      <c r="C37" s="20"/>
      <c r="D37" s="20">
        <f>2*84.52</f>
        <v>169.04</v>
      </c>
      <c r="E37" s="20"/>
    </row>
    <row r="38" spans="1:5" x14ac:dyDescent="0.25">
      <c r="A38" s="20"/>
      <c r="B38" s="20" t="s">
        <v>41</v>
      </c>
      <c r="C38" s="20"/>
      <c r="D38" s="20">
        <v>1515.88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13210.02</v>
      </c>
      <c r="E39" s="26">
        <f>E40</f>
        <v>2840.3708200000001</v>
      </c>
    </row>
    <row r="40" spans="1:5" x14ac:dyDescent="0.25">
      <c r="A40" s="20"/>
      <c r="B40" s="31" t="s">
        <v>43</v>
      </c>
      <c r="C40" s="31"/>
      <c r="D40" s="33">
        <v>10841.11</v>
      </c>
      <c r="E40" s="28">
        <f>D40*26.2%</f>
        <v>2840.3708200000001</v>
      </c>
    </row>
    <row r="41" spans="1:5" x14ac:dyDescent="0.25">
      <c r="A41" s="20"/>
      <c r="B41" s="27" t="s">
        <v>44</v>
      </c>
      <c r="C41" s="20"/>
      <c r="D41" s="33">
        <v>2368.91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D21+E21+D28+E28+D31+D39+E39</f>
        <v>124008.30750000001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D18*6%</f>
        <v>7107.0305999999991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131115.33810000002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D18-D44</f>
        <v>-12664.828100000028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D10+D46</f>
        <v>-108769.58810000002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27" workbookViewId="0">
      <selection activeCell="H34" sqref="H34"/>
    </sheetView>
  </sheetViews>
  <sheetFormatPr defaultRowHeight="15" x14ac:dyDescent="0.25"/>
  <cols>
    <col min="1" max="1" width="7.85546875" customWidth="1"/>
    <col min="2" max="2" width="40.42578125" customWidth="1"/>
    <col min="4" max="4" width="11.140625" customWidth="1"/>
    <col min="5" max="5" width="10.5703125" customWidth="1"/>
  </cols>
  <sheetData>
    <row r="1" spans="1:5" ht="15.75" x14ac:dyDescent="0.25">
      <c r="A1" s="401"/>
      <c r="B1" s="402" t="s">
        <v>0</v>
      </c>
      <c r="C1" s="401"/>
      <c r="D1" s="401"/>
      <c r="E1" s="401"/>
    </row>
    <row r="2" spans="1:5" x14ac:dyDescent="0.25">
      <c r="A2" s="401"/>
      <c r="B2" s="401"/>
      <c r="C2" s="401"/>
      <c r="D2" s="401"/>
      <c r="E2" s="401"/>
    </row>
    <row r="3" spans="1:5" x14ac:dyDescent="0.25">
      <c r="A3" s="401"/>
      <c r="B3" s="401" t="s">
        <v>1</v>
      </c>
      <c r="C3" s="401"/>
      <c r="D3" s="401"/>
      <c r="E3" s="401"/>
    </row>
    <row r="4" spans="1:5" x14ac:dyDescent="0.25">
      <c r="A4" s="401"/>
      <c r="B4" s="403" t="s">
        <v>120</v>
      </c>
      <c r="C4" s="401"/>
      <c r="D4" s="401"/>
      <c r="E4" s="401"/>
    </row>
    <row r="5" spans="1:5" x14ac:dyDescent="0.25">
      <c r="A5" s="401"/>
      <c r="B5" s="401" t="s">
        <v>121</v>
      </c>
      <c r="C5" s="401"/>
      <c r="D5" s="401"/>
      <c r="E5" s="401"/>
    </row>
    <row r="6" spans="1:5" x14ac:dyDescent="0.25">
      <c r="A6" s="561"/>
      <c r="B6" s="561"/>
      <c r="C6" s="561"/>
      <c r="D6" s="404"/>
      <c r="E6" s="405"/>
    </row>
    <row r="7" spans="1:5" x14ac:dyDescent="0.25">
      <c r="A7" s="406"/>
      <c r="B7" s="406"/>
      <c r="C7" s="406"/>
      <c r="D7" s="407"/>
      <c r="E7" s="408"/>
    </row>
    <row r="8" spans="1:5" ht="15.75" x14ac:dyDescent="0.25">
      <c r="A8" s="406"/>
      <c r="B8" s="409" t="s">
        <v>4</v>
      </c>
      <c r="C8" s="410" t="s">
        <v>5</v>
      </c>
      <c r="D8" s="562" t="s">
        <v>6</v>
      </c>
      <c r="E8" s="563"/>
    </row>
    <row r="9" spans="1:5" ht="15.75" x14ac:dyDescent="0.25">
      <c r="A9" s="411"/>
      <c r="B9" s="409" t="s">
        <v>7</v>
      </c>
      <c r="C9" s="410" t="s">
        <v>8</v>
      </c>
      <c r="D9" s="564" t="s">
        <v>92</v>
      </c>
      <c r="E9" s="565"/>
    </row>
    <row r="10" spans="1:5" x14ac:dyDescent="0.25">
      <c r="A10" s="412"/>
      <c r="B10" s="412"/>
      <c r="C10" s="412"/>
      <c r="D10" s="413"/>
      <c r="E10" s="414"/>
    </row>
    <row r="11" spans="1:5" x14ac:dyDescent="0.25">
      <c r="A11" s="412"/>
      <c r="B11" s="415" t="s">
        <v>10</v>
      </c>
      <c r="C11" s="412"/>
      <c r="D11" s="413">
        <v>-127397.49</v>
      </c>
      <c r="E11" s="414"/>
    </row>
    <row r="12" spans="1:5" x14ac:dyDescent="0.25">
      <c r="A12" s="416"/>
      <c r="B12" s="417" t="s">
        <v>11</v>
      </c>
      <c r="C12" s="416" t="s">
        <v>12</v>
      </c>
      <c r="D12" s="416">
        <v>5453.7</v>
      </c>
      <c r="E12" s="416"/>
    </row>
    <row r="13" spans="1:5" x14ac:dyDescent="0.25">
      <c r="A13" s="416"/>
      <c r="B13" s="417" t="s">
        <v>13</v>
      </c>
      <c r="C13" s="416" t="s">
        <v>12</v>
      </c>
      <c r="D13" s="416">
        <v>4435.2</v>
      </c>
      <c r="E13" s="416"/>
    </row>
    <row r="14" spans="1:5" x14ac:dyDescent="0.25">
      <c r="A14" s="416"/>
      <c r="B14" s="418" t="s">
        <v>14</v>
      </c>
      <c r="C14" s="416" t="s">
        <v>63</v>
      </c>
      <c r="D14" s="419">
        <f>91845.06*2</f>
        <v>183690.12</v>
      </c>
      <c r="E14" s="416"/>
    </row>
    <row r="15" spans="1:5" x14ac:dyDescent="0.25">
      <c r="A15" s="416"/>
      <c r="B15" s="416"/>
      <c r="C15" s="416"/>
      <c r="D15" s="416"/>
      <c r="E15" s="416"/>
    </row>
    <row r="16" spans="1:5" ht="15.75" x14ac:dyDescent="0.25">
      <c r="A16" s="416"/>
      <c r="B16" s="420" t="s">
        <v>16</v>
      </c>
      <c r="C16" s="416"/>
      <c r="D16" s="416"/>
      <c r="E16" s="416"/>
    </row>
    <row r="17" spans="1:5" x14ac:dyDescent="0.25">
      <c r="A17" s="416">
        <v>1</v>
      </c>
      <c r="B17" s="416" t="s">
        <v>17</v>
      </c>
      <c r="C17" s="416" t="s">
        <v>15</v>
      </c>
      <c r="D17" s="416">
        <v>181633.87</v>
      </c>
      <c r="E17" s="416"/>
    </row>
    <row r="18" spans="1:5" x14ac:dyDescent="0.25">
      <c r="A18" s="416"/>
      <c r="B18" s="416"/>
      <c r="C18" s="416"/>
      <c r="D18" s="416"/>
      <c r="E18" s="416"/>
    </row>
    <row r="19" spans="1:5" ht="15.75" x14ac:dyDescent="0.25">
      <c r="A19" s="416"/>
      <c r="B19" s="420" t="s">
        <v>19</v>
      </c>
      <c r="C19" s="416"/>
      <c r="D19" s="419">
        <f>D17</f>
        <v>181633.87</v>
      </c>
      <c r="E19" s="416"/>
    </row>
    <row r="20" spans="1:5" ht="15.75" x14ac:dyDescent="0.25">
      <c r="A20" s="416"/>
      <c r="B20" s="420"/>
      <c r="C20" s="416"/>
      <c r="D20" s="419"/>
      <c r="E20" s="416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6">
        <f>D23+D28+D27</f>
        <v>77627.08</v>
      </c>
      <c r="E22" s="26">
        <f>E23</f>
        <v>19201.091820000001</v>
      </c>
    </row>
    <row r="23" spans="1:5" x14ac:dyDescent="0.25">
      <c r="A23" s="20">
        <v>1</v>
      </c>
      <c r="B23" s="22" t="s">
        <v>24</v>
      </c>
      <c r="C23" s="27" t="s">
        <v>15</v>
      </c>
      <c r="D23" s="26">
        <f>D24+D25+D26</f>
        <v>73286.61</v>
      </c>
      <c r="E23" s="26">
        <f>E24+E25+E26</f>
        <v>19201.091820000001</v>
      </c>
    </row>
    <row r="24" spans="1:5" x14ac:dyDescent="0.25">
      <c r="A24" s="20"/>
      <c r="B24" s="20" t="s">
        <v>25</v>
      </c>
      <c r="C24" s="20"/>
      <c r="D24" s="20">
        <v>16253.76</v>
      </c>
      <c r="E24" s="28">
        <f>D24*26.2%</f>
        <v>4258.4851200000003</v>
      </c>
    </row>
    <row r="25" spans="1:5" x14ac:dyDescent="0.25">
      <c r="A25" s="20"/>
      <c r="B25" s="20" t="s">
        <v>26</v>
      </c>
      <c r="C25" s="20"/>
      <c r="D25" s="29">
        <v>20693.830000000002</v>
      </c>
      <c r="E25" s="28">
        <f>D25*26.2%</f>
        <v>5421.7834600000006</v>
      </c>
    </row>
    <row r="26" spans="1:5" x14ac:dyDescent="0.25">
      <c r="A26" s="20"/>
      <c r="B26" s="20" t="s">
        <v>27</v>
      </c>
      <c r="C26" s="20"/>
      <c r="D26" s="20">
        <v>36339.019999999997</v>
      </c>
      <c r="E26" s="28">
        <f>D26*26.2%</f>
        <v>9520.8232399999997</v>
      </c>
    </row>
    <row r="27" spans="1:5" x14ac:dyDescent="0.25">
      <c r="A27" s="20"/>
      <c r="B27" s="20" t="s">
        <v>118</v>
      </c>
      <c r="C27" s="20"/>
      <c r="D27" s="20">
        <v>2938.08</v>
      </c>
      <c r="E27" s="28"/>
    </row>
    <row r="28" spans="1:5" x14ac:dyDescent="0.25">
      <c r="A28" s="20">
        <v>2</v>
      </c>
      <c r="B28" s="27" t="s">
        <v>28</v>
      </c>
      <c r="C28" s="20"/>
      <c r="D28" s="20">
        <v>1402.39</v>
      </c>
      <c r="E28" s="28"/>
    </row>
    <row r="29" spans="1:5" x14ac:dyDescent="0.25">
      <c r="A29" s="24" t="s">
        <v>29</v>
      </c>
      <c r="B29" s="30" t="s">
        <v>30</v>
      </c>
      <c r="C29" s="20"/>
      <c r="D29" s="22">
        <f>D30+D31</f>
        <v>40072.879999999997</v>
      </c>
      <c r="E29" s="26">
        <f>E30</f>
        <v>10308.900900000001</v>
      </c>
    </row>
    <row r="30" spans="1:5" x14ac:dyDescent="0.25">
      <c r="A30" s="20">
        <v>1</v>
      </c>
      <c r="B30" s="31" t="s">
        <v>31</v>
      </c>
      <c r="C30" s="20"/>
      <c r="D30" s="31">
        <v>39346.949999999997</v>
      </c>
      <c r="E30" s="28">
        <f>D30*26.2%</f>
        <v>10308.900900000001</v>
      </c>
    </row>
    <row r="31" spans="1:5" x14ac:dyDescent="0.25">
      <c r="A31" s="20">
        <v>2</v>
      </c>
      <c r="B31" s="31" t="s">
        <v>28</v>
      </c>
      <c r="C31" s="20"/>
      <c r="D31" s="31">
        <v>725.93</v>
      </c>
      <c r="E31" s="20"/>
    </row>
    <row r="32" spans="1:5" x14ac:dyDescent="0.25">
      <c r="A32" s="24" t="s">
        <v>32</v>
      </c>
      <c r="B32" s="22" t="s">
        <v>33</v>
      </c>
      <c r="C32" s="20"/>
      <c r="D32" s="26">
        <f>D33+D34+D35+D36+D37+D38</f>
        <v>21071.803500000002</v>
      </c>
      <c r="E32" s="20"/>
    </row>
    <row r="33" spans="1:5" x14ac:dyDescent="0.25">
      <c r="A33" s="20"/>
      <c r="B33" s="20" t="s">
        <v>34</v>
      </c>
      <c r="C33" s="20"/>
      <c r="D33" s="28">
        <f>D19*5%</f>
        <v>9081.6934999999994</v>
      </c>
      <c r="E33" s="20"/>
    </row>
    <row r="34" spans="1:5" x14ac:dyDescent="0.25">
      <c r="A34" s="20"/>
      <c r="B34" s="31" t="s">
        <v>58</v>
      </c>
      <c r="C34" s="20"/>
      <c r="D34" s="20">
        <f>2*84.52</f>
        <v>169.04</v>
      </c>
      <c r="E34" s="20"/>
    </row>
    <row r="35" spans="1:5" x14ac:dyDescent="0.25">
      <c r="A35" s="20"/>
      <c r="B35" s="20" t="s">
        <v>36</v>
      </c>
      <c r="C35" s="20"/>
      <c r="D35" s="28">
        <v>7195.67</v>
      </c>
      <c r="E35" s="20"/>
    </row>
    <row r="36" spans="1:5" x14ac:dyDescent="0.25">
      <c r="A36" s="20"/>
      <c r="B36" s="31" t="s">
        <v>37</v>
      </c>
      <c r="C36" s="20"/>
      <c r="D36" s="20">
        <v>880.89</v>
      </c>
      <c r="E36" s="20"/>
    </row>
    <row r="37" spans="1:5" x14ac:dyDescent="0.25">
      <c r="A37" s="20"/>
      <c r="B37" s="27" t="s">
        <v>38</v>
      </c>
      <c r="C37" s="20"/>
      <c r="D37" s="20">
        <v>1207.3399999999999</v>
      </c>
      <c r="E37" s="20"/>
    </row>
    <row r="38" spans="1:5" x14ac:dyDescent="0.25">
      <c r="A38" s="20"/>
      <c r="B38" s="31" t="s">
        <v>41</v>
      </c>
      <c r="C38" s="20"/>
      <c r="D38" s="20">
        <v>2537.17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23281.739999999998</v>
      </c>
      <c r="E39" s="26">
        <f>E40</f>
        <v>4753.9978599999995</v>
      </c>
    </row>
    <row r="40" spans="1:5" x14ac:dyDescent="0.25">
      <c r="A40" s="20"/>
      <c r="B40" s="31" t="s">
        <v>43</v>
      </c>
      <c r="C40" s="31"/>
      <c r="D40" s="33">
        <v>18145.03</v>
      </c>
      <c r="E40" s="28">
        <f>D40*26.2%</f>
        <v>4753.9978599999995</v>
      </c>
    </row>
    <row r="41" spans="1:5" x14ac:dyDescent="0.25">
      <c r="A41" s="20"/>
      <c r="B41" s="27" t="s">
        <v>44</v>
      </c>
      <c r="C41" s="20"/>
      <c r="D41" s="33">
        <v>5136.71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D22+E22+D29+E29+D32+D39+E39</f>
        <v>196317.49408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D19*6%</f>
        <v>10898.0322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207215.52627999999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D19-D44</f>
        <v>-25581.656279999996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D11+D46</f>
        <v>-152979.14627999999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J38" sqref="J38"/>
    </sheetView>
  </sheetViews>
  <sheetFormatPr defaultRowHeight="15" x14ac:dyDescent="0.25"/>
  <cols>
    <col min="1" max="1" width="7.140625" customWidth="1"/>
    <col min="2" max="2" width="41.5703125" customWidth="1"/>
    <col min="4" max="4" width="11.140625" customWidth="1"/>
    <col min="5" max="5" width="11" customWidth="1"/>
  </cols>
  <sheetData>
    <row r="1" spans="1:5" ht="15.75" x14ac:dyDescent="0.25">
      <c r="A1" s="421"/>
      <c r="B1" s="422" t="s">
        <v>0</v>
      </c>
      <c r="C1" s="421"/>
      <c r="D1" s="421"/>
      <c r="E1" s="421"/>
    </row>
    <row r="2" spans="1:5" x14ac:dyDescent="0.25">
      <c r="A2" s="421"/>
      <c r="B2" s="421"/>
      <c r="C2" s="421"/>
      <c r="D2" s="421"/>
      <c r="E2" s="421"/>
    </row>
    <row r="3" spans="1:5" x14ac:dyDescent="0.25">
      <c r="A3" s="421"/>
      <c r="B3" s="421" t="s">
        <v>1</v>
      </c>
      <c r="C3" s="421"/>
      <c r="D3" s="421"/>
      <c r="E3" s="421"/>
    </row>
    <row r="4" spans="1:5" x14ac:dyDescent="0.25">
      <c r="A4" s="421"/>
      <c r="B4" s="423" t="s">
        <v>122</v>
      </c>
      <c r="C4" s="421"/>
      <c r="D4" s="421"/>
      <c r="E4" s="421"/>
    </row>
    <row r="5" spans="1:5" x14ac:dyDescent="0.25">
      <c r="A5" s="421"/>
      <c r="B5" s="421" t="s">
        <v>55</v>
      </c>
      <c r="C5" s="421"/>
      <c r="D5" s="421"/>
      <c r="E5" s="421"/>
    </row>
    <row r="6" spans="1:5" x14ac:dyDescent="0.25">
      <c r="A6" s="566"/>
      <c r="B6" s="566"/>
      <c r="C6" s="566"/>
      <c r="D6" s="424"/>
      <c r="E6" s="425"/>
    </row>
    <row r="7" spans="1:5" x14ac:dyDescent="0.25">
      <c r="A7" s="426"/>
      <c r="B7" s="426"/>
      <c r="C7" s="426"/>
      <c r="D7" s="427"/>
      <c r="E7" s="428"/>
    </row>
    <row r="8" spans="1:5" ht="15.75" x14ac:dyDescent="0.25">
      <c r="A8" s="426"/>
      <c r="B8" s="429" t="s">
        <v>4</v>
      </c>
      <c r="C8" s="430" t="s">
        <v>5</v>
      </c>
      <c r="D8" s="567" t="s">
        <v>6</v>
      </c>
      <c r="E8" s="568"/>
    </row>
    <row r="9" spans="1:5" ht="15.75" x14ac:dyDescent="0.25">
      <c r="A9" s="431"/>
      <c r="B9" s="429" t="s">
        <v>7</v>
      </c>
      <c r="C9" s="430" t="s">
        <v>8</v>
      </c>
      <c r="D9" s="569" t="s">
        <v>92</v>
      </c>
      <c r="E9" s="570"/>
    </row>
    <row r="10" spans="1:5" x14ac:dyDescent="0.25">
      <c r="A10" s="432"/>
      <c r="B10" s="432"/>
      <c r="C10" s="432"/>
      <c r="D10" s="433"/>
      <c r="E10" s="434"/>
    </row>
    <row r="11" spans="1:5" x14ac:dyDescent="0.25">
      <c r="A11" s="432"/>
      <c r="B11" s="435" t="s">
        <v>10</v>
      </c>
      <c r="C11" s="432"/>
      <c r="D11" s="433">
        <v>-41511.71</v>
      </c>
      <c r="E11" s="434"/>
    </row>
    <row r="12" spans="1:5" x14ac:dyDescent="0.25">
      <c r="A12" s="436"/>
      <c r="B12" s="437" t="s">
        <v>11</v>
      </c>
      <c r="C12" s="436" t="s">
        <v>12</v>
      </c>
      <c r="D12" s="436">
        <v>7865.6</v>
      </c>
      <c r="E12" s="436"/>
    </row>
    <row r="13" spans="1:5" x14ac:dyDescent="0.25">
      <c r="A13" s="436"/>
      <c r="B13" s="437" t="s">
        <v>13</v>
      </c>
      <c r="C13" s="436" t="s">
        <v>12</v>
      </c>
      <c r="D13" s="436">
        <v>3607.56</v>
      </c>
      <c r="E13" s="436"/>
    </row>
    <row r="14" spans="1:5" x14ac:dyDescent="0.25">
      <c r="A14" s="436"/>
      <c r="B14" s="438" t="s">
        <v>14</v>
      </c>
      <c r="C14" s="436" t="s">
        <v>63</v>
      </c>
      <c r="D14" s="439">
        <f>53954.01*2</f>
        <v>107908.02</v>
      </c>
      <c r="E14" s="436"/>
    </row>
    <row r="15" spans="1:5" x14ac:dyDescent="0.25">
      <c r="A15" s="436"/>
      <c r="B15" s="436"/>
      <c r="C15" s="436"/>
      <c r="D15" s="436"/>
      <c r="E15" s="436"/>
    </row>
    <row r="16" spans="1:5" ht="15.75" x14ac:dyDescent="0.25">
      <c r="A16" s="436"/>
      <c r="B16" s="440" t="s">
        <v>16</v>
      </c>
      <c r="C16" s="436"/>
      <c r="D16" s="436"/>
      <c r="E16" s="436"/>
    </row>
    <row r="17" spans="1:5" x14ac:dyDescent="0.25">
      <c r="A17" s="436">
        <v>1</v>
      </c>
      <c r="B17" s="436" t="s">
        <v>17</v>
      </c>
      <c r="C17" s="436" t="s">
        <v>15</v>
      </c>
      <c r="D17" s="436">
        <v>114344.6</v>
      </c>
      <c r="E17" s="436"/>
    </row>
    <row r="18" spans="1:5" x14ac:dyDescent="0.25">
      <c r="A18" s="436">
        <v>2</v>
      </c>
      <c r="B18" s="436" t="s">
        <v>18</v>
      </c>
      <c r="C18" s="436"/>
      <c r="D18" s="436">
        <v>28996.959999999999</v>
      </c>
      <c r="E18" s="436"/>
    </row>
    <row r="19" spans="1:5" ht="15.75" x14ac:dyDescent="0.25">
      <c r="A19" s="436"/>
      <c r="B19" s="440" t="s">
        <v>19</v>
      </c>
      <c r="C19" s="436"/>
      <c r="D19" s="439">
        <f>D17+D18</f>
        <v>143341.56</v>
      </c>
      <c r="E19" s="436"/>
    </row>
    <row r="20" spans="1:5" ht="15.75" x14ac:dyDescent="0.25">
      <c r="A20" s="436"/>
      <c r="B20" s="440"/>
      <c r="C20" s="436"/>
      <c r="D20" s="439"/>
      <c r="E20" s="436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6">
        <f>D23+D28+D27</f>
        <v>41319.1</v>
      </c>
      <c r="E22" s="26">
        <f>E23</f>
        <v>10285.698179999999</v>
      </c>
    </row>
    <row r="23" spans="1:5" x14ac:dyDescent="0.25">
      <c r="A23" s="20">
        <v>1</v>
      </c>
      <c r="B23" s="22" t="s">
        <v>24</v>
      </c>
      <c r="C23" s="27" t="s">
        <v>15</v>
      </c>
      <c r="D23" s="26">
        <f>D24+D25+D26</f>
        <v>39258.39</v>
      </c>
      <c r="E23" s="26">
        <f>E24+E25+E26</f>
        <v>10285.698179999999</v>
      </c>
    </row>
    <row r="24" spans="1:5" x14ac:dyDescent="0.25">
      <c r="A24" s="20"/>
      <c r="B24" s="20" t="s">
        <v>25</v>
      </c>
      <c r="C24" s="20"/>
      <c r="D24" s="20">
        <v>5852.21</v>
      </c>
      <c r="E24" s="28">
        <f>D24*26.2%</f>
        <v>1533.2790200000002</v>
      </c>
    </row>
    <row r="25" spans="1:5" x14ac:dyDescent="0.25">
      <c r="A25" s="20"/>
      <c r="B25" s="20" t="s">
        <v>26</v>
      </c>
      <c r="C25" s="20"/>
      <c r="D25" s="29">
        <v>11686.65</v>
      </c>
      <c r="E25" s="28">
        <f>D25*26.2%</f>
        <v>3061.9023000000002</v>
      </c>
    </row>
    <row r="26" spans="1:5" x14ac:dyDescent="0.25">
      <c r="A26" s="20"/>
      <c r="B26" s="20" t="s">
        <v>27</v>
      </c>
      <c r="C26" s="20"/>
      <c r="D26" s="20">
        <v>21719.53</v>
      </c>
      <c r="E26" s="28">
        <f>D26*26.2%</f>
        <v>5690.5168599999997</v>
      </c>
    </row>
    <row r="27" spans="1:5" x14ac:dyDescent="0.25">
      <c r="A27" s="20"/>
      <c r="B27" s="20" t="s">
        <v>118</v>
      </c>
      <c r="C27" s="20"/>
      <c r="D27" s="20">
        <v>655.74</v>
      </c>
      <c r="E27" s="28"/>
    </row>
    <row r="28" spans="1:5" x14ac:dyDescent="0.25">
      <c r="A28" s="20">
        <v>2</v>
      </c>
      <c r="B28" s="27" t="s">
        <v>28</v>
      </c>
      <c r="C28" s="20"/>
      <c r="D28" s="20">
        <v>1404.97</v>
      </c>
      <c r="E28" s="28"/>
    </row>
    <row r="29" spans="1:5" x14ac:dyDescent="0.25">
      <c r="A29" s="24" t="s">
        <v>29</v>
      </c>
      <c r="B29" s="30" t="s">
        <v>30</v>
      </c>
      <c r="C29" s="20"/>
      <c r="D29" s="22">
        <f>D30+D31</f>
        <v>23374.02</v>
      </c>
      <c r="E29" s="26">
        <f>E30</f>
        <v>5980.2888599999997</v>
      </c>
    </row>
    <row r="30" spans="1:5" x14ac:dyDescent="0.25">
      <c r="A30" s="20">
        <v>1</v>
      </c>
      <c r="B30" s="31" t="s">
        <v>31</v>
      </c>
      <c r="C30" s="20"/>
      <c r="D30" s="31">
        <v>22825.53</v>
      </c>
      <c r="E30" s="28">
        <f>D30*26.2%</f>
        <v>5980.2888599999997</v>
      </c>
    </row>
    <row r="31" spans="1:5" x14ac:dyDescent="0.25">
      <c r="A31" s="20">
        <v>2</v>
      </c>
      <c r="B31" s="31" t="s">
        <v>28</v>
      </c>
      <c r="C31" s="20"/>
      <c r="D31" s="31">
        <v>548.49</v>
      </c>
      <c r="E31" s="20"/>
    </row>
    <row r="32" spans="1:5" x14ac:dyDescent="0.25">
      <c r="A32" s="24" t="s">
        <v>32</v>
      </c>
      <c r="B32" s="22" t="s">
        <v>33</v>
      </c>
      <c r="C32" s="20"/>
      <c r="D32" s="26">
        <f>D33+D34+D35+D36+D37+D38</f>
        <v>14650.567999999999</v>
      </c>
      <c r="E32" s="20"/>
    </row>
    <row r="33" spans="1:5" x14ac:dyDescent="0.25">
      <c r="A33" s="20"/>
      <c r="B33" s="20" t="s">
        <v>34</v>
      </c>
      <c r="C33" s="20"/>
      <c r="D33" s="28">
        <f>D19*5%</f>
        <v>7167.0780000000004</v>
      </c>
      <c r="E33" s="20"/>
    </row>
    <row r="34" spans="1:5" x14ac:dyDescent="0.25">
      <c r="A34" s="20"/>
      <c r="B34" s="31" t="s">
        <v>58</v>
      </c>
      <c r="C34" s="20"/>
      <c r="D34" s="20">
        <f>2*84.52</f>
        <v>169.04</v>
      </c>
      <c r="E34" s="20"/>
    </row>
    <row r="35" spans="1:5" x14ac:dyDescent="0.25">
      <c r="A35" s="20"/>
      <c r="B35" s="20" t="s">
        <v>36</v>
      </c>
      <c r="C35" s="20"/>
      <c r="D35" s="28">
        <v>4631.22</v>
      </c>
      <c r="E35" s="20"/>
    </row>
    <row r="36" spans="1:5" x14ac:dyDescent="0.25">
      <c r="A36" s="20"/>
      <c r="B36" s="31" t="s">
        <v>38</v>
      </c>
      <c r="C36" s="20"/>
      <c r="D36" s="20">
        <v>700.39</v>
      </c>
      <c r="E36" s="20"/>
    </row>
    <row r="37" spans="1:5" x14ac:dyDescent="0.25">
      <c r="A37" s="20"/>
      <c r="B37" s="31" t="s">
        <v>37</v>
      </c>
      <c r="C37" s="20"/>
      <c r="D37" s="20">
        <v>511.01</v>
      </c>
      <c r="E37" s="20"/>
    </row>
    <row r="38" spans="1:5" x14ac:dyDescent="0.25">
      <c r="A38" s="20"/>
      <c r="B38" s="20" t="s">
        <v>41</v>
      </c>
      <c r="C38" s="20"/>
      <c r="D38" s="20">
        <v>1471.83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12826.17</v>
      </c>
      <c r="E39" s="26">
        <f>E40</f>
        <v>2757.8382000000001</v>
      </c>
    </row>
    <row r="40" spans="1:5" x14ac:dyDescent="0.25">
      <c r="A40" s="20"/>
      <c r="B40" s="31" t="s">
        <v>43</v>
      </c>
      <c r="C40" s="31"/>
      <c r="D40" s="33">
        <v>10526.1</v>
      </c>
      <c r="E40" s="28">
        <f>D40*26.2%</f>
        <v>2757.8382000000001</v>
      </c>
    </row>
    <row r="41" spans="1:5" x14ac:dyDescent="0.25">
      <c r="A41" s="20"/>
      <c r="B41" s="27" t="s">
        <v>44</v>
      </c>
      <c r="C41" s="20"/>
      <c r="D41" s="33">
        <v>2300.0700000000002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D22+E22+D29+E29+D32+D39+E39</f>
        <v>111193.68324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D19*6%</f>
        <v>8600.4935999999998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119794.17684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D17-D44</f>
        <v>-5449.5768399999943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D11+D46</f>
        <v>-46961.286839999993</v>
      </c>
      <c r="E47" s="20"/>
    </row>
    <row r="48" spans="1:5" x14ac:dyDescent="0.25">
      <c r="A48" s="34"/>
      <c r="B48" s="35" t="s">
        <v>18</v>
      </c>
      <c r="C48" s="34"/>
      <c r="D48" s="36">
        <v>28996.959999999999</v>
      </c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A4" sqref="A4:E4"/>
    </sheetView>
  </sheetViews>
  <sheetFormatPr defaultRowHeight="15" x14ac:dyDescent="0.25"/>
  <cols>
    <col min="1" max="1" width="8.140625" customWidth="1"/>
    <col min="2" max="2" width="41.7109375" customWidth="1"/>
    <col min="4" max="5" width="10.85546875" customWidth="1"/>
  </cols>
  <sheetData>
    <row r="1" spans="1:5" ht="15.75" x14ac:dyDescent="0.25">
      <c r="A1" s="441"/>
      <c r="B1" s="442" t="s">
        <v>0</v>
      </c>
      <c r="C1" s="441"/>
      <c r="D1" s="441"/>
      <c r="E1" s="441"/>
    </row>
    <row r="2" spans="1:5" x14ac:dyDescent="0.25">
      <c r="A2" s="441"/>
      <c r="B2" s="441" t="s">
        <v>1</v>
      </c>
      <c r="C2" s="441"/>
      <c r="D2" s="441"/>
      <c r="E2" s="441"/>
    </row>
    <row r="3" spans="1:5" x14ac:dyDescent="0.25">
      <c r="A3" s="441"/>
      <c r="B3" s="443" t="s">
        <v>123</v>
      </c>
      <c r="C3" s="441"/>
      <c r="D3" s="441"/>
      <c r="E3" s="441"/>
    </row>
    <row r="4" spans="1:5" x14ac:dyDescent="0.25">
      <c r="A4" s="571"/>
      <c r="B4" s="571"/>
      <c r="C4" s="571"/>
      <c r="D4" s="444"/>
      <c r="E4" s="445"/>
    </row>
    <row r="5" spans="1:5" x14ac:dyDescent="0.25">
      <c r="A5" s="446"/>
      <c r="B5" s="446"/>
      <c r="C5" s="446"/>
      <c r="D5" s="447"/>
      <c r="E5" s="448"/>
    </row>
    <row r="6" spans="1:5" ht="15.75" x14ac:dyDescent="0.25">
      <c r="A6" s="446"/>
      <c r="B6" s="449" t="s">
        <v>4</v>
      </c>
      <c r="C6" s="450" t="s">
        <v>5</v>
      </c>
      <c r="D6" s="572" t="s">
        <v>6</v>
      </c>
      <c r="E6" s="573"/>
    </row>
    <row r="7" spans="1:5" ht="15.75" x14ac:dyDescent="0.25">
      <c r="A7" s="451"/>
      <c r="B7" s="449" t="s">
        <v>7</v>
      </c>
      <c r="C7" s="450" t="s">
        <v>8</v>
      </c>
      <c r="D7" s="574" t="s">
        <v>92</v>
      </c>
      <c r="E7" s="575"/>
    </row>
    <row r="8" spans="1:5" x14ac:dyDescent="0.25">
      <c r="A8" s="452"/>
      <c r="B8" s="452"/>
      <c r="C8" s="452"/>
      <c r="D8" s="453"/>
      <c r="E8" s="454"/>
    </row>
    <row r="9" spans="1:5" x14ac:dyDescent="0.25">
      <c r="A9" s="452"/>
      <c r="B9" s="455" t="s">
        <v>10</v>
      </c>
      <c r="C9" s="452"/>
      <c r="D9" s="453">
        <v>-69775.149999999994</v>
      </c>
      <c r="E9" s="454"/>
    </row>
    <row r="10" spans="1:5" x14ac:dyDescent="0.25">
      <c r="A10" s="456"/>
      <c r="B10" s="457" t="s">
        <v>11</v>
      </c>
      <c r="C10" s="456" t="s">
        <v>12</v>
      </c>
      <c r="D10" s="456">
        <v>3706.66</v>
      </c>
      <c r="E10" s="456"/>
    </row>
    <row r="11" spans="1:5" x14ac:dyDescent="0.25">
      <c r="A11" s="456"/>
      <c r="B11" s="457" t="s">
        <v>13</v>
      </c>
      <c r="C11" s="456" t="s">
        <v>12</v>
      </c>
      <c r="D11" s="456">
        <v>2662.9</v>
      </c>
      <c r="E11" s="456"/>
    </row>
    <row r="12" spans="1:5" x14ac:dyDescent="0.25">
      <c r="A12" s="456"/>
      <c r="B12" s="458" t="s">
        <v>14</v>
      </c>
      <c r="C12" s="456" t="s">
        <v>63</v>
      </c>
      <c r="D12" s="459">
        <f>54205.5*2</f>
        <v>108411</v>
      </c>
      <c r="E12" s="456"/>
    </row>
    <row r="13" spans="1:5" x14ac:dyDescent="0.25">
      <c r="A13" s="456"/>
      <c r="B13" s="456"/>
      <c r="C13" s="456"/>
      <c r="D13" s="456"/>
      <c r="E13" s="456"/>
    </row>
    <row r="14" spans="1:5" ht="15.75" x14ac:dyDescent="0.25">
      <c r="A14" s="456"/>
      <c r="B14" s="460" t="s">
        <v>16</v>
      </c>
      <c r="C14" s="456"/>
      <c r="D14" s="456"/>
      <c r="E14" s="456"/>
    </row>
    <row r="15" spans="1:5" x14ac:dyDescent="0.25">
      <c r="A15" s="456">
        <v>1</v>
      </c>
      <c r="B15" s="456" t="s">
        <v>17</v>
      </c>
      <c r="C15" s="456" t="s">
        <v>15</v>
      </c>
      <c r="D15" s="456">
        <v>100751.25</v>
      </c>
      <c r="E15" s="456"/>
    </row>
    <row r="16" spans="1:5" x14ac:dyDescent="0.25">
      <c r="A16" s="456">
        <v>2</v>
      </c>
      <c r="B16" s="456" t="s">
        <v>18</v>
      </c>
      <c r="C16" s="456"/>
      <c r="D16" s="456">
        <v>38188.06</v>
      </c>
      <c r="E16" s="456"/>
    </row>
    <row r="17" spans="1:5" ht="15.75" x14ac:dyDescent="0.25">
      <c r="A17" s="456"/>
      <c r="B17" s="460" t="s">
        <v>19</v>
      </c>
      <c r="C17" s="456"/>
      <c r="D17" s="459">
        <f>D15+D16</f>
        <v>138939.31</v>
      </c>
      <c r="E17" s="456"/>
    </row>
    <row r="18" spans="1:5" ht="15.75" x14ac:dyDescent="0.25">
      <c r="A18" s="456"/>
      <c r="B18" s="460"/>
      <c r="C18" s="456"/>
      <c r="D18" s="459"/>
      <c r="E18" s="456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6">
        <f>D21+D26+D25</f>
        <v>49111.54</v>
      </c>
      <c r="E20" s="26">
        <f>E21</f>
        <v>12016.197700000001</v>
      </c>
    </row>
    <row r="21" spans="1:5" x14ac:dyDescent="0.25">
      <c r="A21" s="20">
        <v>1</v>
      </c>
      <c r="B21" s="22" t="s">
        <v>24</v>
      </c>
      <c r="C21" s="27" t="s">
        <v>15</v>
      </c>
      <c r="D21" s="26">
        <f>D22+D23+D24</f>
        <v>45863.35</v>
      </c>
      <c r="E21" s="26">
        <f>E22+E23+E24</f>
        <v>12016.197700000001</v>
      </c>
    </row>
    <row r="22" spans="1:5" x14ac:dyDescent="0.25">
      <c r="A22" s="20"/>
      <c r="B22" s="20" t="s">
        <v>25</v>
      </c>
      <c r="C22" s="20"/>
      <c r="D22" s="20">
        <v>13936.15</v>
      </c>
      <c r="E22" s="28">
        <f>D22*26.2%</f>
        <v>3651.2712999999999</v>
      </c>
    </row>
    <row r="23" spans="1:5" x14ac:dyDescent="0.25">
      <c r="A23" s="20"/>
      <c r="B23" s="20" t="s">
        <v>26</v>
      </c>
      <c r="C23" s="20"/>
      <c r="D23" s="29">
        <v>12008.34</v>
      </c>
      <c r="E23" s="28">
        <f>D23*26.2%</f>
        <v>3146.1850800000002</v>
      </c>
    </row>
    <row r="24" spans="1:5" x14ac:dyDescent="0.25">
      <c r="A24" s="20"/>
      <c r="B24" s="20" t="s">
        <v>27</v>
      </c>
      <c r="C24" s="20"/>
      <c r="D24" s="20">
        <v>19918.86</v>
      </c>
      <c r="E24" s="28">
        <f>D24*26.2%</f>
        <v>5218.7413200000001</v>
      </c>
    </row>
    <row r="25" spans="1:5" x14ac:dyDescent="0.25">
      <c r="A25" s="20"/>
      <c r="B25" s="20" t="s">
        <v>118</v>
      </c>
      <c r="C25" s="20"/>
      <c r="D25" s="20">
        <f>656.62+800</f>
        <v>1456.62</v>
      </c>
      <c r="E25" s="28"/>
    </row>
    <row r="26" spans="1:5" x14ac:dyDescent="0.25">
      <c r="A26" s="20">
        <v>2</v>
      </c>
      <c r="B26" s="27" t="s">
        <v>28</v>
      </c>
      <c r="C26" s="20"/>
      <c r="D26" s="20">
        <v>1791.57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24816.82</v>
      </c>
      <c r="E27" s="26">
        <f>E28</f>
        <v>6189.4775200000004</v>
      </c>
    </row>
    <row r="28" spans="1:5" x14ac:dyDescent="0.25">
      <c r="A28" s="20">
        <v>1</v>
      </c>
      <c r="B28" s="31" t="s">
        <v>31</v>
      </c>
      <c r="C28" s="20"/>
      <c r="D28" s="31">
        <v>23623.96</v>
      </c>
      <c r="E28" s="28">
        <f>D28*26.2%</f>
        <v>6189.4775200000004</v>
      </c>
    </row>
    <row r="29" spans="1:5" x14ac:dyDescent="0.25">
      <c r="A29" s="20">
        <v>2</v>
      </c>
      <c r="B29" s="31" t="s">
        <v>28</v>
      </c>
      <c r="C29" s="20"/>
      <c r="D29" s="31">
        <v>1192.8599999999999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</f>
        <v>14686.325499999999</v>
      </c>
      <c r="E30" s="20"/>
    </row>
    <row r="31" spans="1:5" x14ac:dyDescent="0.25">
      <c r="A31" s="20"/>
      <c r="B31" s="20" t="s">
        <v>34</v>
      </c>
      <c r="C31" s="20"/>
      <c r="D31" s="28">
        <f>D17*5%</f>
        <v>6946.9655000000002</v>
      </c>
      <c r="E31" s="20"/>
    </row>
    <row r="32" spans="1:5" x14ac:dyDescent="0.25">
      <c r="A32" s="20"/>
      <c r="B32" s="31" t="s">
        <v>58</v>
      </c>
      <c r="C32" s="20"/>
      <c r="D32" s="20">
        <f>2*84.52</f>
        <v>169.04</v>
      </c>
      <c r="E32" s="20"/>
    </row>
    <row r="33" spans="1:5" x14ac:dyDescent="0.25">
      <c r="A33" s="20"/>
      <c r="B33" s="20" t="s">
        <v>36</v>
      </c>
      <c r="C33" s="20"/>
      <c r="D33" s="28">
        <v>4793.22</v>
      </c>
      <c r="E33" s="20"/>
    </row>
    <row r="34" spans="1:5" x14ac:dyDescent="0.25">
      <c r="A34" s="20"/>
      <c r="B34" s="31" t="s">
        <v>38</v>
      </c>
      <c r="C34" s="20"/>
      <c r="D34" s="20">
        <v>724.89</v>
      </c>
      <c r="E34" s="20"/>
    </row>
    <row r="35" spans="1:5" x14ac:dyDescent="0.25">
      <c r="A35" s="20"/>
      <c r="B35" s="27" t="s">
        <v>84</v>
      </c>
      <c r="C35" s="20"/>
      <c r="D35" s="20">
        <v>0</v>
      </c>
      <c r="E35" s="20"/>
    </row>
    <row r="36" spans="1:5" x14ac:dyDescent="0.25">
      <c r="A36" s="20"/>
      <c r="B36" s="27" t="s">
        <v>37</v>
      </c>
      <c r="C36" s="20"/>
      <c r="D36" s="20">
        <v>528.89</v>
      </c>
      <c r="E36" s="20"/>
    </row>
    <row r="37" spans="1:5" x14ac:dyDescent="0.25">
      <c r="A37" s="20"/>
      <c r="B37" s="20" t="s">
        <v>41</v>
      </c>
      <c r="C37" s="20"/>
      <c r="D37" s="20">
        <v>1523.32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13274.83</v>
      </c>
      <c r="E38" s="26">
        <f>E39</f>
        <v>2854.3065999999999</v>
      </c>
    </row>
    <row r="39" spans="1:5" x14ac:dyDescent="0.25">
      <c r="A39" s="20"/>
      <c r="B39" s="31" t="s">
        <v>43</v>
      </c>
      <c r="C39" s="31"/>
      <c r="D39" s="33">
        <v>10894.3</v>
      </c>
      <c r="E39" s="28">
        <f>D39*26.2%</f>
        <v>2854.3065999999999</v>
      </c>
    </row>
    <row r="40" spans="1:5" x14ac:dyDescent="0.25">
      <c r="A40" s="20"/>
      <c r="B40" s="27" t="s">
        <v>44</v>
      </c>
      <c r="C40" s="20"/>
      <c r="D40" s="33">
        <v>2380.5300000000002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D20+E20+D27+E27+D30+D38+E38</f>
        <v>122949.49731999999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D17*6%</f>
        <v>8336.3585999999996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131285.85592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D15-D43</f>
        <v>-30534.605920000002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D9+D45</f>
        <v>-100309.75592</v>
      </c>
      <c r="E46" s="20"/>
    </row>
    <row r="47" spans="1:5" x14ac:dyDescent="0.25">
      <c r="A47" s="34"/>
      <c r="B47" s="35" t="s">
        <v>18</v>
      </c>
      <c r="C47" s="34"/>
      <c r="D47" s="36">
        <f>D16+12889.58</f>
        <v>51077.64</v>
      </c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opLeftCell="A26" workbookViewId="0">
      <selection activeCell="G21" sqref="G21"/>
    </sheetView>
  </sheetViews>
  <sheetFormatPr defaultRowHeight="15" x14ac:dyDescent="0.25"/>
  <cols>
    <col min="1" max="1" width="5.42578125" customWidth="1"/>
    <col min="3" max="3" width="35.5703125" customWidth="1"/>
    <col min="5" max="5" width="13.5703125" customWidth="1"/>
    <col min="6" max="6" width="11" customWidth="1"/>
  </cols>
  <sheetData>
    <row r="1" spans="2:6" ht="15.75" x14ac:dyDescent="0.25">
      <c r="C1" s="1" t="s">
        <v>0</v>
      </c>
    </row>
    <row r="3" spans="2:6" x14ac:dyDescent="0.25">
      <c r="C3" t="s">
        <v>68</v>
      </c>
    </row>
    <row r="4" spans="2:6" x14ac:dyDescent="0.25">
      <c r="C4" t="s">
        <v>69</v>
      </c>
    </row>
    <row r="5" spans="2:6" x14ac:dyDescent="0.25">
      <c r="B5" s="58"/>
      <c r="C5" s="58"/>
      <c r="D5" s="58"/>
      <c r="E5" s="58"/>
    </row>
    <row r="6" spans="2:6" x14ac:dyDescent="0.25">
      <c r="B6" s="576"/>
      <c r="C6" s="576"/>
      <c r="D6" s="576"/>
      <c r="E6" s="577"/>
      <c r="F6" s="59"/>
    </row>
    <row r="7" spans="2:6" x14ac:dyDescent="0.25">
      <c r="B7" s="2"/>
      <c r="C7" s="2"/>
      <c r="D7" s="2"/>
      <c r="E7" s="3"/>
      <c r="F7" s="60"/>
    </row>
    <row r="8" spans="2:6" ht="15.75" x14ac:dyDescent="0.25">
      <c r="B8" s="5"/>
      <c r="C8" s="6" t="s">
        <v>4</v>
      </c>
      <c r="D8" s="7" t="s">
        <v>5</v>
      </c>
      <c r="E8" s="578" t="s">
        <v>6</v>
      </c>
      <c r="F8" s="579"/>
    </row>
    <row r="9" spans="2:6" ht="15.75" x14ac:dyDescent="0.25">
      <c r="B9" s="8"/>
      <c r="C9" s="6" t="s">
        <v>7</v>
      </c>
      <c r="D9" s="7" t="s">
        <v>60</v>
      </c>
      <c r="E9" s="580" t="s">
        <v>61</v>
      </c>
      <c r="F9" s="581"/>
    </row>
    <row r="10" spans="2:6" x14ac:dyDescent="0.25">
      <c r="B10" s="9"/>
      <c r="C10" s="9"/>
      <c r="D10" s="9"/>
      <c r="E10" s="10"/>
      <c r="F10" s="11"/>
    </row>
    <row r="11" spans="2:6" x14ac:dyDescent="0.25">
      <c r="B11" s="9"/>
      <c r="C11" s="12" t="s">
        <v>10</v>
      </c>
      <c r="D11" s="9"/>
      <c r="E11" s="10">
        <v>106316.96</v>
      </c>
      <c r="F11" s="11"/>
    </row>
    <row r="12" spans="2:6" x14ac:dyDescent="0.25">
      <c r="B12" s="13"/>
      <c r="C12" s="14" t="s">
        <v>11</v>
      </c>
      <c r="D12" s="12" t="s">
        <v>62</v>
      </c>
      <c r="E12" s="13">
        <v>6474.6</v>
      </c>
      <c r="F12" s="13"/>
    </row>
    <row r="13" spans="2:6" x14ac:dyDescent="0.25">
      <c r="B13" s="13"/>
      <c r="C13" s="14" t="s">
        <v>13</v>
      </c>
      <c r="D13" s="12" t="s">
        <v>62</v>
      </c>
      <c r="E13" s="13">
        <v>4182.8999999999996</v>
      </c>
      <c r="F13" s="13"/>
    </row>
    <row r="14" spans="2:6" x14ac:dyDescent="0.25">
      <c r="B14" s="13"/>
      <c r="C14" s="15" t="s">
        <v>14</v>
      </c>
      <c r="D14" s="12" t="s">
        <v>63</v>
      </c>
      <c r="E14" s="19">
        <f>80437.38*2</f>
        <v>160874.76</v>
      </c>
      <c r="F14" s="13"/>
    </row>
    <row r="15" spans="2:6" ht="15.75" x14ac:dyDescent="0.25">
      <c r="B15" s="13"/>
      <c r="C15" s="16" t="s">
        <v>16</v>
      </c>
      <c r="D15" s="9"/>
      <c r="E15" s="13"/>
      <c r="F15" s="13"/>
    </row>
    <row r="16" spans="2:6" x14ac:dyDescent="0.25">
      <c r="B16" s="13">
        <v>1</v>
      </c>
      <c r="C16" s="13" t="s">
        <v>17</v>
      </c>
      <c r="D16" s="12" t="s">
        <v>15</v>
      </c>
      <c r="E16" s="13">
        <v>143510.59</v>
      </c>
      <c r="F16" s="13"/>
    </row>
    <row r="17" spans="2:6" x14ac:dyDescent="0.25">
      <c r="B17" s="13">
        <v>2</v>
      </c>
      <c r="C17" s="13" t="s">
        <v>64</v>
      </c>
      <c r="D17" s="9"/>
      <c r="E17" s="13">
        <f>11107.24+2776.81+6363.78</f>
        <v>20247.829999999998</v>
      </c>
      <c r="F17" s="13"/>
    </row>
    <row r="18" spans="2:6" ht="15.75" x14ac:dyDescent="0.25">
      <c r="B18" s="13"/>
      <c r="C18" s="16" t="s">
        <v>19</v>
      </c>
      <c r="D18" s="9"/>
      <c r="E18" s="19">
        <f>E16+E17</f>
        <v>163758.41999999998</v>
      </c>
      <c r="F18" s="13"/>
    </row>
    <row r="19" spans="2:6" ht="15.75" x14ac:dyDescent="0.25">
      <c r="B19" s="13"/>
      <c r="C19" s="16"/>
      <c r="D19" s="9"/>
      <c r="E19" s="19"/>
      <c r="F19" s="13"/>
    </row>
    <row r="20" spans="2:6" ht="15.75" x14ac:dyDescent="0.25">
      <c r="B20" s="20"/>
      <c r="C20" s="21" t="s">
        <v>20</v>
      </c>
      <c r="D20" s="20"/>
      <c r="E20" s="22"/>
      <c r="F20" s="23" t="s">
        <v>21</v>
      </c>
    </row>
    <row r="21" spans="2:6" x14ac:dyDescent="0.25">
      <c r="B21" s="24" t="s">
        <v>22</v>
      </c>
      <c r="C21" s="25" t="s">
        <v>23</v>
      </c>
      <c r="D21" s="20"/>
      <c r="E21" s="22">
        <f>E22+E26</f>
        <v>27287.439999999999</v>
      </c>
      <c r="F21" s="26">
        <f>F22</f>
        <v>6646.72516</v>
      </c>
    </row>
    <row r="22" spans="2:6" x14ac:dyDescent="0.25">
      <c r="B22" s="20">
        <v>1</v>
      </c>
      <c r="C22" s="22" t="s">
        <v>24</v>
      </c>
      <c r="D22" s="27" t="s">
        <v>15</v>
      </c>
      <c r="E22" s="22">
        <f>E23</f>
        <v>25369.18</v>
      </c>
      <c r="F22" s="26">
        <f>F23</f>
        <v>6646.72516</v>
      </c>
    </row>
    <row r="23" spans="2:6" x14ac:dyDescent="0.25">
      <c r="B23" s="20"/>
      <c r="C23" s="20" t="s">
        <v>25</v>
      </c>
      <c r="D23" s="20"/>
      <c r="E23" s="20">
        <v>25369.18</v>
      </c>
      <c r="F23" s="28">
        <f>E23*26.2%</f>
        <v>6646.72516</v>
      </c>
    </row>
    <row r="24" spans="2:6" x14ac:dyDescent="0.25">
      <c r="B24" s="20"/>
      <c r="C24" s="20" t="s">
        <v>26</v>
      </c>
      <c r="D24" s="20"/>
      <c r="E24" s="29"/>
      <c r="F24" s="28"/>
    </row>
    <row r="25" spans="2:6" x14ac:dyDescent="0.25">
      <c r="B25" s="20"/>
      <c r="C25" s="20" t="s">
        <v>27</v>
      </c>
      <c r="D25" s="20"/>
      <c r="E25" s="20"/>
      <c r="F25" s="28"/>
    </row>
    <row r="26" spans="2:6" x14ac:dyDescent="0.25">
      <c r="B26" s="20">
        <v>2</v>
      </c>
      <c r="C26" s="27" t="s">
        <v>28</v>
      </c>
      <c r="D26" s="20"/>
      <c r="E26" s="20">
        <v>1918.26</v>
      </c>
      <c r="F26" s="28"/>
    </row>
    <row r="27" spans="2:6" x14ac:dyDescent="0.25">
      <c r="B27" s="24" t="s">
        <v>29</v>
      </c>
      <c r="C27" s="30" t="s">
        <v>30</v>
      </c>
      <c r="D27" s="20"/>
      <c r="E27" s="22">
        <f>E28+E30+E29</f>
        <v>43622.12</v>
      </c>
      <c r="F27" s="26">
        <f>F28</f>
        <v>9722.0078000000012</v>
      </c>
    </row>
    <row r="28" spans="2:6" x14ac:dyDescent="0.25">
      <c r="B28" s="20">
        <v>1</v>
      </c>
      <c r="C28" s="31" t="s">
        <v>31</v>
      </c>
      <c r="D28" s="20"/>
      <c r="E28" s="31">
        <v>37106.9</v>
      </c>
      <c r="F28" s="28">
        <f>E28*26.2%</f>
        <v>9722.0078000000012</v>
      </c>
    </row>
    <row r="29" spans="2:6" x14ac:dyDescent="0.25">
      <c r="B29" s="20"/>
      <c r="C29" s="31" t="s">
        <v>65</v>
      </c>
      <c r="D29" s="20"/>
      <c r="E29" s="31">
        <v>2500</v>
      </c>
      <c r="F29" s="28"/>
    </row>
    <row r="30" spans="2:6" x14ac:dyDescent="0.25">
      <c r="B30" s="20">
        <v>2</v>
      </c>
      <c r="C30" s="31" t="s">
        <v>28</v>
      </c>
      <c r="D30" s="20"/>
      <c r="E30" s="31">
        <v>4015.22</v>
      </c>
      <c r="F30" s="20"/>
    </row>
    <row r="31" spans="2:6" x14ac:dyDescent="0.25">
      <c r="B31" s="24" t="s">
        <v>32</v>
      </c>
      <c r="C31" s="22" t="s">
        <v>33</v>
      </c>
      <c r="D31" s="20"/>
      <c r="E31" s="26">
        <f>E32+E33+E34+E35+E36+E37+E38</f>
        <v>45258.461000000003</v>
      </c>
      <c r="F31" s="20"/>
    </row>
    <row r="32" spans="2:6" x14ac:dyDescent="0.25">
      <c r="B32" s="20"/>
      <c r="C32" s="20" t="s">
        <v>34</v>
      </c>
      <c r="D32" s="20"/>
      <c r="E32" s="28">
        <f>E18*5%</f>
        <v>8187.9209999999994</v>
      </c>
      <c r="F32" s="20"/>
    </row>
    <row r="33" spans="2:6" x14ac:dyDescent="0.25">
      <c r="B33" s="20"/>
      <c r="C33" s="31" t="s">
        <v>58</v>
      </c>
      <c r="D33" s="20"/>
      <c r="E33" s="20">
        <f>84.52*2</f>
        <v>169.04</v>
      </c>
      <c r="F33" s="20"/>
    </row>
    <row r="34" spans="2:6" x14ac:dyDescent="0.25">
      <c r="B34" s="20"/>
      <c r="C34" s="20" t="s">
        <v>36</v>
      </c>
      <c r="D34" s="20"/>
      <c r="E34" s="28">
        <v>7528.86</v>
      </c>
      <c r="F34" s="20"/>
    </row>
    <row r="35" spans="2:6" x14ac:dyDescent="0.25">
      <c r="B35" s="20"/>
      <c r="C35" s="31" t="s">
        <v>66</v>
      </c>
      <c r="D35" s="20"/>
      <c r="E35" s="20">
        <v>25010.57</v>
      </c>
      <c r="F35" s="20"/>
    </row>
    <row r="36" spans="2:6" x14ac:dyDescent="0.25">
      <c r="B36" s="20"/>
      <c r="C36" s="27" t="s">
        <v>38</v>
      </c>
      <c r="D36" s="20"/>
      <c r="E36" s="20">
        <v>1138.6099999999999</v>
      </c>
      <c r="F36" s="20"/>
    </row>
    <row r="37" spans="2:6" x14ac:dyDescent="0.25">
      <c r="B37" s="20"/>
      <c r="C37" s="31" t="s">
        <v>37</v>
      </c>
      <c r="D37" s="20"/>
      <c r="E37" s="20">
        <v>830.74</v>
      </c>
      <c r="F37" s="20"/>
    </row>
    <row r="38" spans="2:6" x14ac:dyDescent="0.25">
      <c r="B38" s="20"/>
      <c r="C38" s="20" t="s">
        <v>41</v>
      </c>
      <c r="D38" s="20"/>
      <c r="E38" s="20">
        <v>2392.7199999999998</v>
      </c>
      <c r="F38" s="20"/>
    </row>
    <row r="39" spans="2:6" x14ac:dyDescent="0.25">
      <c r="B39" s="20">
        <v>4</v>
      </c>
      <c r="C39" s="22" t="s">
        <v>42</v>
      </c>
      <c r="D39" s="20"/>
      <c r="E39" s="26">
        <f>E40+E41</f>
        <v>20851.18</v>
      </c>
      <c r="F39" s="26">
        <f>F40</f>
        <v>4483.3492400000005</v>
      </c>
    </row>
    <row r="40" spans="2:6" x14ac:dyDescent="0.25">
      <c r="B40" s="20"/>
      <c r="C40" s="31" t="s">
        <v>67</v>
      </c>
      <c r="D40" s="31"/>
      <c r="E40" s="33">
        <v>17112.02</v>
      </c>
      <c r="F40" s="28">
        <f>E40*26.2%</f>
        <v>4483.3492400000005</v>
      </c>
    </row>
    <row r="41" spans="2:6" x14ac:dyDescent="0.25">
      <c r="B41" s="20"/>
      <c r="C41" s="27" t="s">
        <v>44</v>
      </c>
      <c r="D41" s="20"/>
      <c r="E41" s="33">
        <v>3739.16</v>
      </c>
      <c r="F41" s="20"/>
    </row>
    <row r="42" spans="2:6" x14ac:dyDescent="0.25">
      <c r="B42" s="20">
        <v>5</v>
      </c>
      <c r="C42" s="22" t="s">
        <v>45</v>
      </c>
      <c r="D42" s="20"/>
      <c r="E42" s="26">
        <f>E21+F21+E27+F27+E31+E39+F39</f>
        <v>157871.28320000001</v>
      </c>
      <c r="F42" s="20"/>
    </row>
    <row r="43" spans="2:6" x14ac:dyDescent="0.25">
      <c r="B43" s="20">
        <v>6</v>
      </c>
      <c r="C43" s="20" t="s">
        <v>46</v>
      </c>
      <c r="D43" s="20"/>
      <c r="E43" s="26">
        <f>E18*6%</f>
        <v>9825.5051999999978</v>
      </c>
      <c r="F43" s="20"/>
    </row>
    <row r="44" spans="2:6" x14ac:dyDescent="0.25">
      <c r="B44" s="20">
        <v>7</v>
      </c>
      <c r="C44" s="22" t="s">
        <v>47</v>
      </c>
      <c r="D44" s="20"/>
      <c r="E44" s="26">
        <f>E42+E43</f>
        <v>167696.78839999999</v>
      </c>
      <c r="F44" s="20"/>
    </row>
    <row r="45" spans="2:6" x14ac:dyDescent="0.25">
      <c r="B45" s="20"/>
      <c r="C45" s="20"/>
      <c r="D45" s="20"/>
      <c r="E45" s="20"/>
      <c r="F45" s="20"/>
    </row>
    <row r="46" spans="2:6" x14ac:dyDescent="0.25">
      <c r="B46" s="20">
        <v>8</v>
      </c>
      <c r="C46" s="22" t="s">
        <v>59</v>
      </c>
      <c r="D46" s="20"/>
      <c r="E46" s="26">
        <f>E18-E44</f>
        <v>-3938.3684000000067</v>
      </c>
      <c r="F46" s="20"/>
    </row>
    <row r="47" spans="2:6" x14ac:dyDescent="0.25">
      <c r="B47" s="20">
        <v>9</v>
      </c>
      <c r="C47" s="22" t="s">
        <v>49</v>
      </c>
      <c r="D47" s="20"/>
      <c r="E47" s="26">
        <f>E11+E46</f>
        <v>102378.5916</v>
      </c>
      <c r="F47" s="20"/>
    </row>
    <row r="48" spans="2:6" x14ac:dyDescent="0.25">
      <c r="B48" s="34"/>
      <c r="C48" s="35"/>
      <c r="D48" s="34"/>
      <c r="E48" s="36"/>
      <c r="F48" s="34"/>
    </row>
    <row r="49" spans="2:6" x14ac:dyDescent="0.25">
      <c r="B49" s="37"/>
      <c r="C49" s="37" t="s">
        <v>50</v>
      </c>
      <c r="D49" s="37"/>
      <c r="E49" s="37" t="s">
        <v>51</v>
      </c>
      <c r="F49" s="37"/>
    </row>
    <row r="50" spans="2:6" x14ac:dyDescent="0.25">
      <c r="B50" s="37"/>
      <c r="C50" s="37" t="s">
        <v>52</v>
      </c>
      <c r="D50" s="37"/>
      <c r="E50" s="37" t="s">
        <v>53</v>
      </c>
      <c r="F50" s="37"/>
    </row>
  </sheetData>
  <mergeCells count="4">
    <mergeCell ref="B6:C6"/>
    <mergeCell ref="D6:E6"/>
    <mergeCell ref="E8:F8"/>
    <mergeCell ref="E9:F9"/>
  </mergeCells>
  <pageMargins left="0.7" right="0.7" top="0.75" bottom="0.75" header="0.3" footer="0.3"/>
  <pageSetup paperSize="9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A5" sqref="A5:E6"/>
    </sheetView>
  </sheetViews>
  <sheetFormatPr defaultRowHeight="15" x14ac:dyDescent="0.25"/>
  <cols>
    <col min="1" max="1" width="7.7109375" customWidth="1"/>
    <col min="2" max="2" width="41.85546875" customWidth="1"/>
    <col min="4" max="4" width="10.85546875" customWidth="1"/>
    <col min="5" max="5" width="12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124</v>
      </c>
    </row>
    <row r="5" spans="1:5" x14ac:dyDescent="0.25">
      <c r="A5" s="576"/>
      <c r="B5" s="576"/>
      <c r="C5" s="576"/>
      <c r="D5" s="577"/>
      <c r="E5" s="59"/>
    </row>
    <row r="6" spans="1:5" x14ac:dyDescent="0.25">
      <c r="A6" s="2"/>
      <c r="B6" s="2"/>
      <c r="C6" s="2"/>
      <c r="D6" s="3"/>
      <c r="E6" s="60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60</v>
      </c>
      <c r="D8" s="580" t="s">
        <v>125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-263003.46000000002</v>
      </c>
      <c r="E10" s="11"/>
    </row>
    <row r="11" spans="1:5" x14ac:dyDescent="0.25">
      <c r="A11" s="13"/>
      <c r="B11" s="14" t="s">
        <v>11</v>
      </c>
      <c r="C11" s="12" t="s">
        <v>62</v>
      </c>
      <c r="D11" s="13">
        <v>6474.6</v>
      </c>
      <c r="E11" s="13"/>
    </row>
    <row r="12" spans="1:5" x14ac:dyDescent="0.25">
      <c r="A12" s="13"/>
      <c r="B12" s="14" t="s">
        <v>13</v>
      </c>
      <c r="C12" s="12" t="s">
        <v>62</v>
      </c>
      <c r="D12" s="13">
        <v>3358.2</v>
      </c>
      <c r="E12" s="13"/>
    </row>
    <row r="13" spans="1:5" x14ac:dyDescent="0.25">
      <c r="A13" s="13"/>
      <c r="B13" s="15" t="s">
        <v>14</v>
      </c>
      <c r="C13" s="12" t="s">
        <v>15</v>
      </c>
      <c r="D13" s="19">
        <f>70219.77*2</f>
        <v>140439.54</v>
      </c>
      <c r="E13" s="13"/>
    </row>
    <row r="14" spans="1:5" ht="15.75" x14ac:dyDescent="0.25">
      <c r="A14" s="13"/>
      <c r="B14" s="16" t="s">
        <v>16</v>
      </c>
      <c r="C14" s="9"/>
      <c r="D14" s="13"/>
      <c r="E14" s="13"/>
    </row>
    <row r="15" spans="1:5" x14ac:dyDescent="0.25">
      <c r="A15" s="13">
        <v>1</v>
      </c>
      <c r="B15" s="13" t="s">
        <v>17</v>
      </c>
      <c r="C15" s="12" t="s">
        <v>15</v>
      </c>
      <c r="D15" s="13">
        <v>139651.16</v>
      </c>
      <c r="E15" s="13"/>
    </row>
    <row r="16" spans="1:5" x14ac:dyDescent="0.25">
      <c r="A16" s="13"/>
      <c r="B16" s="13"/>
      <c r="C16" s="9"/>
      <c r="D16" s="13"/>
      <c r="E16" s="13"/>
    </row>
    <row r="17" spans="1:5" ht="15.75" x14ac:dyDescent="0.25">
      <c r="A17" s="13"/>
      <c r="B17" s="16" t="s">
        <v>19</v>
      </c>
      <c r="C17" s="9"/>
      <c r="D17" s="19">
        <f>D15</f>
        <v>139651.16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6">
        <f>D21+D25</f>
        <v>77213.59</v>
      </c>
      <c r="E20" s="26">
        <f>E21</f>
        <v>19845.897400000002</v>
      </c>
    </row>
    <row r="21" spans="1:5" x14ac:dyDescent="0.25">
      <c r="A21" s="20">
        <v>1</v>
      </c>
      <c r="B21" s="22" t="s">
        <v>24</v>
      </c>
      <c r="C21" s="27" t="s">
        <v>15</v>
      </c>
      <c r="D21" s="26">
        <f>D22+D23+D24</f>
        <v>75747.7</v>
      </c>
      <c r="E21" s="26">
        <f>E22+E23+E24</f>
        <v>19845.897400000002</v>
      </c>
    </row>
    <row r="22" spans="1:5" x14ac:dyDescent="0.25">
      <c r="A22" s="20"/>
      <c r="B22" s="20" t="s">
        <v>25</v>
      </c>
      <c r="C22" s="20"/>
      <c r="D22" s="20">
        <v>17784.63</v>
      </c>
      <c r="E22" s="28">
        <f>D22*26.2%</f>
        <v>4659.5730600000006</v>
      </c>
    </row>
    <row r="23" spans="1:5" x14ac:dyDescent="0.25">
      <c r="A23" s="20"/>
      <c r="B23" s="20" t="s">
        <v>26</v>
      </c>
      <c r="C23" s="20"/>
      <c r="D23" s="29">
        <v>32380.48</v>
      </c>
      <c r="E23" s="28">
        <f>D23*26.2%</f>
        <v>8483.6857600000003</v>
      </c>
    </row>
    <row r="24" spans="1:5" x14ac:dyDescent="0.25">
      <c r="A24" s="20"/>
      <c r="B24" s="20" t="s">
        <v>27</v>
      </c>
      <c r="C24" s="20"/>
      <c r="D24" s="20">
        <v>25582.59</v>
      </c>
      <c r="E24" s="28">
        <f>D24*26.2%</f>
        <v>6702.6385800000007</v>
      </c>
    </row>
    <row r="25" spans="1:5" x14ac:dyDescent="0.25">
      <c r="A25" s="20">
        <v>2</v>
      </c>
      <c r="B25" s="27" t="s">
        <v>28</v>
      </c>
      <c r="C25" s="20"/>
      <c r="D25" s="20">
        <v>1465.89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</f>
        <v>41385.01</v>
      </c>
      <c r="E26" s="26">
        <f>E27</f>
        <v>7805.5904600000003</v>
      </c>
    </row>
    <row r="27" spans="1:5" x14ac:dyDescent="0.25">
      <c r="A27" s="20">
        <v>1</v>
      </c>
      <c r="B27" s="31" t="s">
        <v>31</v>
      </c>
      <c r="C27" s="20"/>
      <c r="D27" s="31">
        <v>29792.33</v>
      </c>
      <c r="E27" s="28">
        <f>D27*26.2%</f>
        <v>7805.5904600000003</v>
      </c>
    </row>
    <row r="28" spans="1:5" x14ac:dyDescent="0.25">
      <c r="A28" s="20">
        <v>2</v>
      </c>
      <c r="B28" s="31" t="s">
        <v>28</v>
      </c>
      <c r="C28" s="20"/>
      <c r="D28" s="31">
        <v>11592.68</v>
      </c>
      <c r="E28" s="20"/>
    </row>
    <row r="29" spans="1:5" x14ac:dyDescent="0.25">
      <c r="A29" s="24" t="s">
        <v>32</v>
      </c>
      <c r="B29" s="22" t="s">
        <v>33</v>
      </c>
      <c r="C29" s="20"/>
      <c r="D29" s="26">
        <f>D30+D31+D32+D33+D34+D35+D36+D37</f>
        <v>33107.648000000001</v>
      </c>
      <c r="E29" s="20"/>
    </row>
    <row r="30" spans="1:5" x14ac:dyDescent="0.25">
      <c r="A30" s="20"/>
      <c r="B30" s="20" t="s">
        <v>34</v>
      </c>
      <c r="C30" s="20"/>
      <c r="D30" s="28">
        <f>D17*5%</f>
        <v>6982.5580000000009</v>
      </c>
      <c r="E30" s="20"/>
    </row>
    <row r="31" spans="1:5" x14ac:dyDescent="0.25">
      <c r="A31" s="20"/>
      <c r="B31" s="31" t="s">
        <v>58</v>
      </c>
      <c r="C31" s="20"/>
      <c r="D31" s="20">
        <f>84.52*4</f>
        <v>338.08</v>
      </c>
      <c r="E31" s="20"/>
    </row>
    <row r="32" spans="1:5" x14ac:dyDescent="0.25">
      <c r="A32" s="20"/>
      <c r="B32" s="20" t="s">
        <v>36</v>
      </c>
      <c r="C32" s="20"/>
      <c r="D32" s="28">
        <v>6044.76</v>
      </c>
      <c r="E32" s="20"/>
    </row>
    <row r="33" spans="1:5" x14ac:dyDescent="0.25">
      <c r="A33" s="20"/>
      <c r="B33" s="31" t="s">
        <v>35</v>
      </c>
      <c r="C33" s="20"/>
      <c r="D33" s="20">
        <v>0</v>
      </c>
      <c r="E33" s="20"/>
    </row>
    <row r="34" spans="1:5" x14ac:dyDescent="0.25">
      <c r="A34" s="20"/>
      <c r="B34" s="27" t="s">
        <v>38</v>
      </c>
      <c r="C34" s="20"/>
      <c r="D34" s="20">
        <v>914.16</v>
      </c>
      <c r="E34" s="20"/>
    </row>
    <row r="35" spans="1:5" x14ac:dyDescent="0.25">
      <c r="A35" s="20"/>
      <c r="B35" s="27" t="s">
        <v>126</v>
      </c>
      <c r="C35" s="20"/>
      <c r="D35" s="20">
        <v>16240.04</v>
      </c>
      <c r="E35" s="20"/>
    </row>
    <row r="36" spans="1:5" x14ac:dyDescent="0.25">
      <c r="A36" s="20"/>
      <c r="B36" s="27" t="s">
        <v>37</v>
      </c>
      <c r="C36" s="20"/>
      <c r="D36" s="20">
        <v>666.98</v>
      </c>
      <c r="E36" s="20"/>
    </row>
    <row r="37" spans="1:5" x14ac:dyDescent="0.25">
      <c r="A37" s="20"/>
      <c r="B37" s="20" t="s">
        <v>41</v>
      </c>
      <c r="C37" s="20"/>
      <c r="D37" s="20">
        <v>1921.07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16740.96</v>
      </c>
      <c r="E38" s="26">
        <f>E39</f>
        <v>3599.5839400000004</v>
      </c>
    </row>
    <row r="39" spans="1:5" x14ac:dyDescent="0.25">
      <c r="A39" s="20"/>
      <c r="B39" s="31" t="s">
        <v>43</v>
      </c>
      <c r="C39" s="31"/>
      <c r="D39" s="33">
        <v>13738.87</v>
      </c>
      <c r="E39" s="28">
        <f>D39*26.2%</f>
        <v>3599.5839400000004</v>
      </c>
    </row>
    <row r="40" spans="1:5" x14ac:dyDescent="0.25">
      <c r="A40" s="20"/>
      <c r="B40" s="27" t="s">
        <v>44</v>
      </c>
      <c r="C40" s="20"/>
      <c r="D40" s="33">
        <v>3002.09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D20+E20+D26+E26+D29+D38+E38</f>
        <v>199698.27980000002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D17*6%</f>
        <v>8379.0696000000007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208077.34940000001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D17-D43</f>
        <v>-68426.189400000003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-331429.64939999999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4">
    <mergeCell ref="A5:B5"/>
    <mergeCell ref="C5:D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B8" sqref="B8"/>
    </sheetView>
  </sheetViews>
  <sheetFormatPr defaultRowHeight="15" x14ac:dyDescent="0.25"/>
  <cols>
    <col min="2" max="2" width="39.28515625" customWidth="1"/>
    <col min="4" max="4" width="10.42578125" customWidth="1"/>
    <col min="5" max="5" width="12.28515625" customWidth="1"/>
  </cols>
  <sheetData>
    <row r="1" spans="1:5" ht="15.75" x14ac:dyDescent="0.25">
      <c r="B1" s="1" t="s">
        <v>0</v>
      </c>
    </row>
    <row r="3" spans="1:5" x14ac:dyDescent="0.25">
      <c r="B3" t="s">
        <v>90</v>
      </c>
    </row>
    <row r="4" spans="1:5" x14ac:dyDescent="0.25">
      <c r="B4" t="s">
        <v>127</v>
      </c>
    </row>
    <row r="5" spans="1:5" x14ac:dyDescent="0.25">
      <c r="A5" s="58"/>
      <c r="B5" s="58"/>
      <c r="C5" s="58"/>
      <c r="D5" s="58"/>
    </row>
    <row r="6" spans="1:5" x14ac:dyDescent="0.25">
      <c r="A6" s="576"/>
      <c r="B6" s="576"/>
      <c r="C6" s="576"/>
      <c r="D6" s="577"/>
      <c r="E6" s="59"/>
    </row>
    <row r="7" spans="1:5" x14ac:dyDescent="0.25">
      <c r="A7" s="2"/>
      <c r="B7" s="2"/>
      <c r="C7" s="2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60</v>
      </c>
      <c r="D9" s="580" t="s">
        <v>61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-170701.3</v>
      </c>
      <c r="E11" s="11"/>
    </row>
    <row r="12" spans="1:5" x14ac:dyDescent="0.25">
      <c r="A12" s="13"/>
      <c r="B12" s="14" t="s">
        <v>11</v>
      </c>
      <c r="C12" s="12" t="s">
        <v>62</v>
      </c>
      <c r="D12" s="13">
        <v>6784.41</v>
      </c>
      <c r="E12" s="13"/>
    </row>
    <row r="13" spans="1:5" x14ac:dyDescent="0.25">
      <c r="A13" s="13"/>
      <c r="B13" s="14" t="s">
        <v>13</v>
      </c>
      <c r="C13" s="12" t="s">
        <v>62</v>
      </c>
      <c r="D13" s="13">
        <v>5045.5200000000004</v>
      </c>
      <c r="E13" s="13"/>
    </row>
    <row r="14" spans="1:5" x14ac:dyDescent="0.25">
      <c r="A14" s="13"/>
      <c r="B14" s="15" t="s">
        <v>14</v>
      </c>
      <c r="C14" s="12" t="s">
        <v>15</v>
      </c>
      <c r="D14" s="19">
        <f>105530.13*2</f>
        <v>211060.26</v>
      </c>
      <c r="E14" s="13"/>
    </row>
    <row r="15" spans="1:5" ht="15.75" x14ac:dyDescent="0.25">
      <c r="A15" s="13"/>
      <c r="B15" s="16" t="s">
        <v>16</v>
      </c>
      <c r="C15" s="9"/>
      <c r="D15" s="13"/>
      <c r="E15" s="13"/>
    </row>
    <row r="16" spans="1:5" x14ac:dyDescent="0.25">
      <c r="A16" s="13">
        <v>1</v>
      </c>
      <c r="B16" s="13" t="s">
        <v>17</v>
      </c>
      <c r="C16" s="12" t="s">
        <v>15</v>
      </c>
      <c r="D16" s="13">
        <v>213072.99</v>
      </c>
      <c r="E16" s="13"/>
    </row>
    <row r="17" spans="1:5" x14ac:dyDescent="0.25">
      <c r="A17" s="13"/>
      <c r="B17" s="13"/>
      <c r="C17" s="9"/>
      <c r="D17" s="13"/>
      <c r="E17" s="13"/>
    </row>
    <row r="18" spans="1:5" ht="15.75" x14ac:dyDescent="0.25">
      <c r="A18" s="13"/>
      <c r="B18" s="16" t="s">
        <v>19</v>
      </c>
      <c r="C18" s="9"/>
      <c r="D18" s="19">
        <f>D16</f>
        <v>213072.99</v>
      </c>
      <c r="E18" s="13"/>
    </row>
    <row r="19" spans="1:5" ht="15.75" x14ac:dyDescent="0.25">
      <c r="A19" s="13"/>
      <c r="B19" s="16"/>
      <c r="C19" s="9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94313.72</v>
      </c>
      <c r="E21" s="26">
        <f>E22</f>
        <v>24166.185700000002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92237.35</v>
      </c>
      <c r="E22" s="26">
        <f>E23+E24+E25</f>
        <v>24166.185700000002</v>
      </c>
    </row>
    <row r="23" spans="1:5" x14ac:dyDescent="0.25">
      <c r="A23" s="20"/>
      <c r="B23" s="20" t="s">
        <v>25</v>
      </c>
      <c r="C23" s="20"/>
      <c r="D23" s="20">
        <v>17079.59</v>
      </c>
      <c r="E23" s="28">
        <f>D23*26.2%</f>
        <v>4474.8525800000007</v>
      </c>
    </row>
    <row r="24" spans="1:5" x14ac:dyDescent="0.25">
      <c r="A24" s="20"/>
      <c r="B24" s="20" t="s">
        <v>26</v>
      </c>
      <c r="C24" s="20"/>
      <c r="D24" s="29">
        <v>38839.15</v>
      </c>
      <c r="E24" s="28">
        <f>D24*26.2%</f>
        <v>10175.857300000001</v>
      </c>
    </row>
    <row r="25" spans="1:5" x14ac:dyDescent="0.25">
      <c r="A25" s="20"/>
      <c r="B25" s="20" t="s">
        <v>27</v>
      </c>
      <c r="C25" s="20"/>
      <c r="D25" s="20">
        <v>36318.61</v>
      </c>
      <c r="E25" s="28">
        <f>D25*26.2%</f>
        <v>9515.4758199999997</v>
      </c>
    </row>
    <row r="26" spans="1:5" x14ac:dyDescent="0.25">
      <c r="A26" s="20">
        <v>2</v>
      </c>
      <c r="B26" s="27" t="s">
        <v>28</v>
      </c>
      <c r="C26" s="20"/>
      <c r="D26" s="20">
        <v>2076.37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50617.79</v>
      </c>
      <c r="E27" s="26">
        <f>E28</f>
        <v>11727.492039999999</v>
      </c>
    </row>
    <row r="28" spans="1:5" x14ac:dyDescent="0.25">
      <c r="A28" s="20">
        <v>1</v>
      </c>
      <c r="B28" s="31" t="s">
        <v>31</v>
      </c>
      <c r="C28" s="20"/>
      <c r="D28" s="31">
        <v>44761.42</v>
      </c>
      <c r="E28" s="28">
        <f>D28*26.2%</f>
        <v>11727.492039999999</v>
      </c>
    </row>
    <row r="29" spans="1:5" x14ac:dyDescent="0.25">
      <c r="A29" s="20">
        <v>2</v>
      </c>
      <c r="B29" s="31" t="s">
        <v>28</v>
      </c>
      <c r="C29" s="20"/>
      <c r="D29" s="31">
        <v>5856.37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D31+D32+D33+D34+D35+D36+D37+D38</f>
        <v>30359.2395</v>
      </c>
      <c r="E30" s="20"/>
    </row>
    <row r="31" spans="1:5" x14ac:dyDescent="0.25">
      <c r="A31" s="20"/>
      <c r="B31" s="20" t="s">
        <v>34</v>
      </c>
      <c r="C31" s="20"/>
      <c r="D31" s="28">
        <f>D18*5%</f>
        <v>10653.6495</v>
      </c>
      <c r="E31" s="20"/>
    </row>
    <row r="32" spans="1:5" x14ac:dyDescent="0.25">
      <c r="A32" s="20"/>
      <c r="B32" s="20" t="s">
        <v>35</v>
      </c>
      <c r="C32" s="20"/>
      <c r="D32" s="20">
        <v>1854</v>
      </c>
      <c r="E32" s="20"/>
    </row>
    <row r="33" spans="1:5" x14ac:dyDescent="0.25">
      <c r="A33" s="20"/>
      <c r="B33" s="20" t="s">
        <v>36</v>
      </c>
      <c r="C33" s="20"/>
      <c r="D33" s="28">
        <v>9081.94</v>
      </c>
      <c r="E33" s="20"/>
    </row>
    <row r="34" spans="1:5" x14ac:dyDescent="0.25">
      <c r="A34" s="20"/>
      <c r="B34" s="31" t="s">
        <v>58</v>
      </c>
      <c r="C34" s="20"/>
      <c r="D34" s="20">
        <f>6*84.52</f>
        <v>507.12</v>
      </c>
      <c r="E34" s="20"/>
    </row>
    <row r="35" spans="1:5" x14ac:dyDescent="0.25">
      <c r="A35" s="20"/>
      <c r="B35" s="27" t="s">
        <v>38</v>
      </c>
      <c r="C35" s="20"/>
      <c r="D35" s="20">
        <v>1373.48</v>
      </c>
      <c r="E35" s="20"/>
    </row>
    <row r="36" spans="1:5" x14ac:dyDescent="0.25">
      <c r="A36" s="20"/>
      <c r="B36" s="27" t="s">
        <v>126</v>
      </c>
      <c r="C36" s="20"/>
      <c r="D36" s="20">
        <v>3000.64</v>
      </c>
      <c r="E36" s="20"/>
    </row>
    <row r="37" spans="1:5" x14ac:dyDescent="0.25">
      <c r="A37" s="20"/>
      <c r="B37" s="27" t="s">
        <v>37</v>
      </c>
      <c r="C37" s="20"/>
      <c r="D37" s="20">
        <v>1002.11</v>
      </c>
      <c r="E37" s="20"/>
    </row>
    <row r="38" spans="1:5" x14ac:dyDescent="0.25">
      <c r="A38" s="20"/>
      <c r="B38" s="20" t="s">
        <v>41</v>
      </c>
      <c r="C38" s="20"/>
      <c r="D38" s="20">
        <v>2886.3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25152.43</v>
      </c>
      <c r="E39" s="26">
        <f>E40</f>
        <v>5408.1856600000001</v>
      </c>
    </row>
    <row r="40" spans="1:5" x14ac:dyDescent="0.25">
      <c r="A40" s="20"/>
      <c r="B40" s="31" t="s">
        <v>43</v>
      </c>
      <c r="C40" s="31"/>
      <c r="D40" s="33">
        <v>20641.93</v>
      </c>
      <c r="E40" s="28">
        <f>D40*26.2%</f>
        <v>5408.1856600000001</v>
      </c>
    </row>
    <row r="41" spans="1:5" x14ac:dyDescent="0.25">
      <c r="A41" s="20"/>
      <c r="B41" s="27" t="s">
        <v>44</v>
      </c>
      <c r="C41" s="20"/>
      <c r="D41" s="33">
        <v>4510.5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D21+E21+D27+E27+D30+D39+E39</f>
        <v>241745.0429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D18*6%</f>
        <v>12784.3794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254529.42230000001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D18-D44</f>
        <v>-41456.432300000015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D11+D46</f>
        <v>-212157.7323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4">
    <mergeCell ref="A6:B6"/>
    <mergeCell ref="C6:D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I42" sqref="I42"/>
    </sheetView>
  </sheetViews>
  <sheetFormatPr defaultRowHeight="15" x14ac:dyDescent="0.25"/>
  <cols>
    <col min="1" max="1" width="7.7109375" customWidth="1"/>
    <col min="2" max="2" width="41" customWidth="1"/>
    <col min="4" max="4" width="10.85546875" customWidth="1"/>
    <col min="5" max="5" width="10.71093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128</v>
      </c>
      <c r="D4" s="13"/>
    </row>
    <row r="5" spans="1:5" x14ac:dyDescent="0.25">
      <c r="A5" s="58"/>
      <c r="B5" s="58"/>
      <c r="C5" s="58"/>
      <c r="D5" s="58"/>
    </row>
    <row r="6" spans="1:5" x14ac:dyDescent="0.25">
      <c r="A6" s="576"/>
      <c r="B6" s="576"/>
      <c r="C6" s="576"/>
      <c r="D6" s="577"/>
      <c r="E6" s="59"/>
    </row>
    <row r="7" spans="1:5" x14ac:dyDescent="0.25">
      <c r="A7" s="2"/>
      <c r="B7" s="2"/>
      <c r="C7" s="2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60</v>
      </c>
      <c r="D9" s="580" t="s">
        <v>61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-191830.66</v>
      </c>
      <c r="E11" s="11"/>
    </row>
    <row r="12" spans="1:5" x14ac:dyDescent="0.25">
      <c r="A12" s="13"/>
      <c r="B12" s="14" t="s">
        <v>11</v>
      </c>
      <c r="C12" s="12" t="s">
        <v>62</v>
      </c>
      <c r="D12" s="13">
        <v>7643.96</v>
      </c>
      <c r="E12" s="13"/>
    </row>
    <row r="13" spans="1:5" x14ac:dyDescent="0.25">
      <c r="A13" s="13"/>
      <c r="B13" s="14" t="s">
        <v>13</v>
      </c>
      <c r="C13" s="12" t="s">
        <v>62</v>
      </c>
      <c r="D13" s="13">
        <v>5799.3</v>
      </c>
      <c r="E13" s="13"/>
    </row>
    <row r="14" spans="1:5" x14ac:dyDescent="0.25">
      <c r="A14" s="13"/>
      <c r="B14" s="15" t="s">
        <v>14</v>
      </c>
      <c r="C14" s="12" t="s">
        <v>15</v>
      </c>
      <c r="D14" s="13">
        <f>120064.98*2</f>
        <v>240129.96</v>
      </c>
      <c r="E14" s="13"/>
    </row>
    <row r="15" spans="1:5" ht="15.75" x14ac:dyDescent="0.25">
      <c r="A15" s="13"/>
      <c r="B15" s="16" t="s">
        <v>16</v>
      </c>
      <c r="C15" s="9"/>
      <c r="D15" s="13"/>
      <c r="E15" s="13"/>
    </row>
    <row r="16" spans="1:5" x14ac:dyDescent="0.25">
      <c r="A16" s="13">
        <v>1</v>
      </c>
      <c r="B16" s="13" t="s">
        <v>17</v>
      </c>
      <c r="C16" s="12" t="s">
        <v>15</v>
      </c>
      <c r="D16" s="13">
        <v>221705.67</v>
      </c>
      <c r="E16" s="13"/>
    </row>
    <row r="17" spans="1:5" x14ac:dyDescent="0.25">
      <c r="A17" s="13"/>
      <c r="B17" s="13"/>
      <c r="C17" s="9"/>
      <c r="D17" s="13"/>
      <c r="E17" s="13"/>
    </row>
    <row r="18" spans="1:5" ht="15.75" x14ac:dyDescent="0.25">
      <c r="A18" s="13"/>
      <c r="B18" s="16" t="s">
        <v>19</v>
      </c>
      <c r="C18" s="9"/>
      <c r="D18" s="19">
        <f>D16</f>
        <v>221705.67</v>
      </c>
      <c r="E18" s="13"/>
    </row>
    <row r="19" spans="1:5" ht="15.75" x14ac:dyDescent="0.25">
      <c r="A19" s="13"/>
      <c r="B19" s="16"/>
      <c r="C19" s="9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104337.38</v>
      </c>
      <c r="E21" s="26">
        <f>E22</f>
        <v>26588.375700000004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101482.35</v>
      </c>
      <c r="E22" s="26">
        <f>E23+E24+E25</f>
        <v>26588.375700000004</v>
      </c>
    </row>
    <row r="23" spans="1:5" x14ac:dyDescent="0.25">
      <c r="A23" s="20"/>
      <c r="B23" s="20" t="s">
        <v>25</v>
      </c>
      <c r="C23" s="20"/>
      <c r="D23" s="20">
        <v>14492.74</v>
      </c>
      <c r="E23" s="28">
        <f>D23*26.2%</f>
        <v>3797.0978800000003</v>
      </c>
    </row>
    <row r="24" spans="1:5" x14ac:dyDescent="0.25">
      <c r="A24" s="20"/>
      <c r="B24" s="20" t="s">
        <v>26</v>
      </c>
      <c r="C24" s="20"/>
      <c r="D24" s="29">
        <v>49161.1</v>
      </c>
      <c r="E24" s="28">
        <f>D24*26.2%</f>
        <v>12880.208200000001</v>
      </c>
    </row>
    <row r="25" spans="1:5" x14ac:dyDescent="0.25">
      <c r="A25" s="20"/>
      <c r="B25" s="20" t="s">
        <v>27</v>
      </c>
      <c r="C25" s="20"/>
      <c r="D25" s="20">
        <v>37828.51</v>
      </c>
      <c r="E25" s="28">
        <f>D25*26.2%</f>
        <v>9911.0696200000002</v>
      </c>
    </row>
    <row r="26" spans="1:5" x14ac:dyDescent="0.25">
      <c r="A26" s="20">
        <v>2</v>
      </c>
      <c r="B26" s="27" t="s">
        <v>28</v>
      </c>
      <c r="C26" s="20"/>
      <c r="D26" s="20">
        <v>2855.03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59128.42</v>
      </c>
      <c r="E27" s="26">
        <f>E28</f>
        <v>13468.72308</v>
      </c>
    </row>
    <row r="28" spans="1:5" x14ac:dyDescent="0.25">
      <c r="A28" s="20">
        <v>1</v>
      </c>
      <c r="B28" s="31" t="s">
        <v>31</v>
      </c>
      <c r="C28" s="20"/>
      <c r="D28" s="31">
        <v>51407.34</v>
      </c>
      <c r="E28" s="28">
        <f>D28*26.2%</f>
        <v>13468.72308</v>
      </c>
    </row>
    <row r="29" spans="1:5" x14ac:dyDescent="0.25">
      <c r="A29" s="20">
        <v>2</v>
      </c>
      <c r="B29" s="31" t="s">
        <v>28</v>
      </c>
      <c r="C29" s="20"/>
      <c r="D29" s="31">
        <v>7721.08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D31+D32+D33+D34+D35+D36+D37+D38</f>
        <v>38818.133499999996</v>
      </c>
      <c r="E30" s="20"/>
    </row>
    <row r="31" spans="1:5" x14ac:dyDescent="0.25">
      <c r="A31" s="20"/>
      <c r="B31" s="20" t="s">
        <v>34</v>
      </c>
      <c r="C31" s="20"/>
      <c r="D31" s="28">
        <f>D18*5%</f>
        <v>11085.283500000001</v>
      </c>
      <c r="E31" s="20"/>
    </row>
    <row r="32" spans="1:5" x14ac:dyDescent="0.25">
      <c r="A32" s="20"/>
      <c r="B32" s="31" t="s">
        <v>58</v>
      </c>
      <c r="C32" s="20"/>
      <c r="D32" s="20">
        <f>6*84.52</f>
        <v>507.12</v>
      </c>
      <c r="E32" s="20"/>
    </row>
    <row r="33" spans="1:5" x14ac:dyDescent="0.25">
      <c r="A33" s="20"/>
      <c r="B33" s="20" t="s">
        <v>36</v>
      </c>
      <c r="C33" s="20"/>
      <c r="D33" s="28">
        <v>9401.25</v>
      </c>
      <c r="E33" s="20"/>
    </row>
    <row r="34" spans="1:5" x14ac:dyDescent="0.25">
      <c r="A34" s="20"/>
      <c r="B34" s="27" t="s">
        <v>35</v>
      </c>
      <c r="C34" s="20"/>
      <c r="D34" s="20">
        <v>1854</v>
      </c>
      <c r="E34" s="20"/>
    </row>
    <row r="35" spans="1:5" x14ac:dyDescent="0.25">
      <c r="A35" s="20"/>
      <c r="B35" s="27" t="s">
        <v>38</v>
      </c>
      <c r="C35" s="20"/>
      <c r="D35" s="20">
        <v>1577.41</v>
      </c>
      <c r="E35" s="20"/>
    </row>
    <row r="36" spans="1:5" x14ac:dyDescent="0.25">
      <c r="A36" s="20"/>
      <c r="B36" s="27" t="s">
        <v>126</v>
      </c>
      <c r="C36" s="20"/>
      <c r="D36" s="20">
        <v>9927.34</v>
      </c>
      <c r="E36" s="20"/>
    </row>
    <row r="37" spans="1:5" x14ac:dyDescent="0.25">
      <c r="A37" s="20"/>
      <c r="B37" s="27" t="s">
        <v>37</v>
      </c>
      <c r="C37" s="20"/>
      <c r="D37" s="20">
        <v>1150.8900000000001</v>
      </c>
      <c r="E37" s="20"/>
    </row>
    <row r="38" spans="1:5" x14ac:dyDescent="0.25">
      <c r="A38" s="20"/>
      <c r="B38" s="20" t="s">
        <v>41</v>
      </c>
      <c r="C38" s="20"/>
      <c r="D38" s="20">
        <v>3314.84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28886.91</v>
      </c>
      <c r="E39" s="26">
        <f>E40</f>
        <v>6211.1632600000003</v>
      </c>
    </row>
    <row r="40" spans="1:5" x14ac:dyDescent="0.25">
      <c r="A40" s="20"/>
      <c r="B40" s="31" t="s">
        <v>43</v>
      </c>
      <c r="C40" s="31"/>
      <c r="D40" s="33">
        <v>23706.73</v>
      </c>
      <c r="E40" s="28">
        <f>D40*26.2%</f>
        <v>6211.1632600000003</v>
      </c>
    </row>
    <row r="41" spans="1:5" x14ac:dyDescent="0.25">
      <c r="A41" s="20"/>
      <c r="B41" s="27" t="s">
        <v>44</v>
      </c>
      <c r="C41" s="20"/>
      <c r="D41" s="33">
        <v>5180.18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D21+E21+D27+E27+D30+D39+E39</f>
        <v>277439.10554000002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D18*6%</f>
        <v>13302.340200000001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290741.44574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D18-D44</f>
        <v>-69035.775739999983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D11+D46</f>
        <v>-260866.43573999999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4">
    <mergeCell ref="A6:B6"/>
    <mergeCell ref="C6:D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7" workbookViewId="0">
      <selection activeCell="B51" sqref="B51:B52"/>
    </sheetView>
  </sheetViews>
  <sheetFormatPr defaultRowHeight="15" x14ac:dyDescent="0.25"/>
  <cols>
    <col min="1" max="1" width="7.5703125" customWidth="1"/>
    <col min="2" max="2" width="45.140625" customWidth="1"/>
    <col min="4" max="4" width="12.42578125" customWidth="1"/>
    <col min="5" max="5" width="11.140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129</v>
      </c>
    </row>
    <row r="4" spans="1:5" x14ac:dyDescent="0.25">
      <c r="A4" s="577"/>
      <c r="B4" s="577"/>
      <c r="C4" s="577"/>
      <c r="D4" s="577"/>
      <c r="E4" s="59"/>
    </row>
    <row r="5" spans="1:5" x14ac:dyDescent="0.25">
      <c r="A5" s="5"/>
      <c r="B5" s="5"/>
      <c r="C5" s="2"/>
      <c r="D5" s="3"/>
      <c r="E5" s="60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60</v>
      </c>
      <c r="D7" s="580" t="s">
        <v>130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-219028.25</v>
      </c>
      <c r="E9" s="11"/>
    </row>
    <row r="10" spans="1:5" x14ac:dyDescent="0.25">
      <c r="A10" s="13"/>
      <c r="B10" s="14" t="s">
        <v>11</v>
      </c>
      <c r="C10" s="12" t="s">
        <v>62</v>
      </c>
      <c r="D10" s="13">
        <v>8218.36</v>
      </c>
      <c r="E10" s="13"/>
    </row>
    <row r="11" spans="1:5" x14ac:dyDescent="0.25">
      <c r="A11" s="13"/>
      <c r="B11" s="14" t="s">
        <v>13</v>
      </c>
      <c r="C11" s="12" t="s">
        <v>62</v>
      </c>
      <c r="D11" s="17">
        <v>5705.6</v>
      </c>
      <c r="E11" s="13"/>
    </row>
    <row r="12" spans="1:5" x14ac:dyDescent="0.25">
      <c r="A12" s="13"/>
      <c r="B12" s="15" t="s">
        <v>14</v>
      </c>
      <c r="C12" s="12" t="s">
        <v>15</v>
      </c>
      <c r="D12" s="13">
        <f>127177.75*2</f>
        <v>254355.5</v>
      </c>
      <c r="E12" s="13"/>
    </row>
    <row r="13" spans="1:5" ht="15.75" x14ac:dyDescent="0.25">
      <c r="A13" s="13"/>
      <c r="B13" s="16" t="s">
        <v>16</v>
      </c>
      <c r="C13" s="9"/>
      <c r="D13" s="13"/>
      <c r="E13" s="13"/>
    </row>
    <row r="14" spans="1:5" x14ac:dyDescent="0.25">
      <c r="A14" s="13">
        <v>1</v>
      </c>
      <c r="B14" s="13" t="s">
        <v>17</v>
      </c>
      <c r="C14" s="12" t="s">
        <v>15</v>
      </c>
      <c r="D14" s="17">
        <f>1932.04+287611.02</f>
        <v>289543.06</v>
      </c>
      <c r="E14" s="13"/>
    </row>
    <row r="15" spans="1:5" x14ac:dyDescent="0.25">
      <c r="A15" s="13">
        <v>2</v>
      </c>
      <c r="B15" s="13" t="s">
        <v>18</v>
      </c>
      <c r="C15" s="9"/>
      <c r="D15" s="13">
        <v>77993.179999999993</v>
      </c>
      <c r="E15" s="13"/>
    </row>
    <row r="16" spans="1:5" ht="15.75" x14ac:dyDescent="0.25">
      <c r="A16" s="13"/>
      <c r="B16" s="16" t="s">
        <v>19</v>
      </c>
      <c r="C16" s="9"/>
      <c r="D16" s="18">
        <f>D14</f>
        <v>289543.06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20</v>
      </c>
      <c r="C18" s="20"/>
      <c r="D18" s="22"/>
      <c r="E18" s="23" t="s">
        <v>21</v>
      </c>
    </row>
    <row r="19" spans="1:5" x14ac:dyDescent="0.25">
      <c r="A19" s="24" t="s">
        <v>22</v>
      </c>
      <c r="B19" s="25" t="s">
        <v>23</v>
      </c>
      <c r="C19" s="20"/>
      <c r="D19" s="26">
        <f>D20+D26+D24+D25</f>
        <v>175100.22000000003</v>
      </c>
      <c r="E19" s="26">
        <f>E20+E26</f>
        <v>41722.936700000006</v>
      </c>
    </row>
    <row r="20" spans="1:5" x14ac:dyDescent="0.25">
      <c r="A20" s="20">
        <v>1</v>
      </c>
      <c r="B20" s="22" t="s">
        <v>24</v>
      </c>
      <c r="C20" s="27" t="s">
        <v>15</v>
      </c>
      <c r="D20" s="26">
        <f>D21+D22+D23</f>
        <v>159247.85</v>
      </c>
      <c r="E20" s="26">
        <f>E21+E22+E23</f>
        <v>41722.936700000006</v>
      </c>
    </row>
    <row r="21" spans="1:5" x14ac:dyDescent="0.25">
      <c r="A21" s="20"/>
      <c r="B21" s="20" t="s">
        <v>25</v>
      </c>
      <c r="C21" s="20"/>
      <c r="D21" s="20">
        <v>38057.279999999999</v>
      </c>
      <c r="E21" s="28">
        <f>D21*26.2%</f>
        <v>9971.0073599999996</v>
      </c>
    </row>
    <row r="22" spans="1:5" x14ac:dyDescent="0.25">
      <c r="A22" s="20"/>
      <c r="B22" s="20" t="s">
        <v>26</v>
      </c>
      <c r="C22" s="20"/>
      <c r="D22" s="29">
        <v>73896.490000000005</v>
      </c>
      <c r="E22" s="28">
        <f>D22*26.2%</f>
        <v>19360.880380000002</v>
      </c>
    </row>
    <row r="23" spans="1:5" x14ac:dyDescent="0.25">
      <c r="A23" s="20"/>
      <c r="B23" s="20" t="s">
        <v>27</v>
      </c>
      <c r="C23" s="20"/>
      <c r="D23" s="20">
        <v>47294.080000000002</v>
      </c>
      <c r="E23" s="28">
        <f>D23*26.2%</f>
        <v>12391.04896</v>
      </c>
    </row>
    <row r="24" spans="1:5" x14ac:dyDescent="0.25">
      <c r="A24" s="20"/>
      <c r="B24" s="20" t="s">
        <v>118</v>
      </c>
      <c r="C24" s="20"/>
      <c r="D24" s="20">
        <v>1375.39</v>
      </c>
      <c r="E24" s="28"/>
    </row>
    <row r="25" spans="1:5" x14ac:dyDescent="0.25">
      <c r="A25" s="20"/>
      <c r="B25" s="20" t="s">
        <v>131</v>
      </c>
      <c r="C25" s="20"/>
      <c r="D25" s="20">
        <v>11500</v>
      </c>
      <c r="E25" s="28"/>
    </row>
    <row r="26" spans="1:5" x14ac:dyDescent="0.25">
      <c r="A26" s="20">
        <v>2</v>
      </c>
      <c r="B26" s="27" t="s">
        <v>28</v>
      </c>
      <c r="C26" s="20"/>
      <c r="D26" s="20">
        <v>2976.98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57481.219999999994</v>
      </c>
      <c r="E27" s="26">
        <f>E28</f>
        <v>13243.84324</v>
      </c>
    </row>
    <row r="28" spans="1:5" x14ac:dyDescent="0.25">
      <c r="A28" s="20">
        <v>1</v>
      </c>
      <c r="B28" s="31" t="s">
        <v>31</v>
      </c>
      <c r="C28" s="20"/>
      <c r="D28" s="31">
        <v>50549.02</v>
      </c>
      <c r="E28" s="20">
        <f>D28*26.2%</f>
        <v>13243.84324</v>
      </c>
    </row>
    <row r="29" spans="1:5" x14ac:dyDescent="0.25">
      <c r="A29" s="20">
        <v>2</v>
      </c>
      <c r="B29" s="31" t="s">
        <v>28</v>
      </c>
      <c r="C29" s="20"/>
      <c r="D29" s="31">
        <v>6932.2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</f>
        <v>30170.803</v>
      </c>
      <c r="E30" s="20"/>
    </row>
    <row r="31" spans="1:5" x14ac:dyDescent="0.25">
      <c r="A31" s="20"/>
      <c r="B31" s="20" t="s">
        <v>34</v>
      </c>
      <c r="C31" s="20"/>
      <c r="D31" s="28">
        <f>D16*5%</f>
        <v>14477.153</v>
      </c>
      <c r="E31" s="20"/>
    </row>
    <row r="32" spans="1:5" x14ac:dyDescent="0.25">
      <c r="A32" s="20"/>
      <c r="B32" s="31" t="s">
        <v>58</v>
      </c>
      <c r="C32" s="20"/>
      <c r="D32" s="20">
        <f>6*84.52</f>
        <v>507.12</v>
      </c>
      <c r="E32" s="20"/>
    </row>
    <row r="33" spans="1:5" x14ac:dyDescent="0.25">
      <c r="A33" s="20"/>
      <c r="B33" s="20" t="s">
        <v>36</v>
      </c>
      <c r="C33" s="20"/>
      <c r="D33" s="28">
        <v>9244.2800000000007</v>
      </c>
      <c r="E33" s="20"/>
    </row>
    <row r="34" spans="1:5" x14ac:dyDescent="0.25">
      <c r="A34" s="20"/>
      <c r="B34" s="27" t="s">
        <v>35</v>
      </c>
      <c r="C34" s="20"/>
      <c r="D34" s="20">
        <v>0</v>
      </c>
      <c r="E34" s="20"/>
    </row>
    <row r="35" spans="1:5" x14ac:dyDescent="0.25">
      <c r="A35" s="20"/>
      <c r="B35" s="27" t="s">
        <v>38</v>
      </c>
      <c r="C35" s="20"/>
      <c r="D35" s="20">
        <v>1551.07</v>
      </c>
      <c r="E35" s="20"/>
    </row>
    <row r="36" spans="1:5" x14ac:dyDescent="0.25">
      <c r="A36" s="20"/>
      <c r="B36" s="27" t="s">
        <v>37</v>
      </c>
      <c r="C36" s="20"/>
      <c r="D36" s="20">
        <v>1131.68</v>
      </c>
      <c r="E36" s="20"/>
    </row>
    <row r="37" spans="1:5" x14ac:dyDescent="0.25">
      <c r="A37" s="20"/>
      <c r="B37" s="20" t="s">
        <v>41</v>
      </c>
      <c r="C37" s="20"/>
      <c r="D37" s="20">
        <v>3259.5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27508.69</v>
      </c>
      <c r="E38" s="26">
        <f>E39</f>
        <v>6107.4584199999999</v>
      </c>
    </row>
    <row r="39" spans="1:5" x14ac:dyDescent="0.25">
      <c r="A39" s="20"/>
      <c r="B39" s="31" t="s">
        <v>43</v>
      </c>
      <c r="C39" s="31"/>
      <c r="D39" s="33">
        <v>23310.91</v>
      </c>
      <c r="E39" s="28">
        <f>D39*26.2%</f>
        <v>6107.4584199999999</v>
      </c>
    </row>
    <row r="40" spans="1:5" x14ac:dyDescent="0.25">
      <c r="A40" s="20"/>
      <c r="B40" s="27" t="s">
        <v>44</v>
      </c>
      <c r="C40" s="20"/>
      <c r="D40" s="33">
        <v>4197.78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D19+E19+D27+E27+D30+D38+E38</f>
        <v>351335.17136000004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D16*6%</f>
        <v>17372.583599999998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368707.75496000005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D14-D43</f>
        <v>-79164.694960000052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D9+D45</f>
        <v>-298192.94496000005</v>
      </c>
      <c r="E46" s="20"/>
    </row>
    <row r="47" spans="1:5" x14ac:dyDescent="0.25">
      <c r="A47" s="34"/>
      <c r="B47" s="35" t="s">
        <v>18</v>
      </c>
      <c r="C47" s="34"/>
      <c r="D47" s="36">
        <v>77993.179999999993</v>
      </c>
      <c r="E47" s="34"/>
    </row>
    <row r="48" spans="1:5" x14ac:dyDescent="0.25">
      <c r="A48" s="37"/>
      <c r="B48" s="37" t="s">
        <v>50</v>
      </c>
      <c r="C48" s="37"/>
      <c r="D48" s="37" t="s">
        <v>51</v>
      </c>
      <c r="E48" s="37"/>
    </row>
    <row r="49" spans="1:5" x14ac:dyDescent="0.25">
      <c r="A49" s="37"/>
      <c r="B49" s="37" t="s">
        <v>52</v>
      </c>
      <c r="C49" s="37"/>
      <c r="D49" s="37" t="s">
        <v>53</v>
      </c>
      <c r="E49" s="37"/>
    </row>
  </sheetData>
  <mergeCells count="4">
    <mergeCell ref="A4:B4"/>
    <mergeCell ref="C4:D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D46" sqref="D46"/>
    </sheetView>
  </sheetViews>
  <sheetFormatPr defaultRowHeight="15" x14ac:dyDescent="0.25"/>
  <cols>
    <col min="2" max="2" width="43.7109375" customWidth="1"/>
    <col min="4" max="4" width="10.8554687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132</v>
      </c>
    </row>
    <row r="6" spans="1:5" x14ac:dyDescent="0.25">
      <c r="A6" s="576"/>
      <c r="B6" s="576"/>
      <c r="C6" s="576"/>
      <c r="D6" s="577"/>
      <c r="E6" s="59"/>
    </row>
    <row r="7" spans="1:5" x14ac:dyDescent="0.25">
      <c r="A7" s="2"/>
      <c r="B7" s="2"/>
      <c r="C7" s="2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60</v>
      </c>
      <c r="D9" s="580" t="s">
        <v>61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461">
        <v>2532.9899999999998</v>
      </c>
      <c r="E11" s="11"/>
    </row>
    <row r="12" spans="1:5" x14ac:dyDescent="0.25">
      <c r="A12" s="13"/>
      <c r="B12" s="14" t="s">
        <v>11</v>
      </c>
      <c r="C12" s="12" t="s">
        <v>62</v>
      </c>
      <c r="D12" s="13">
        <v>7083</v>
      </c>
      <c r="E12" s="13"/>
    </row>
    <row r="13" spans="1:5" x14ac:dyDescent="0.25">
      <c r="A13" s="13"/>
      <c r="B13" s="14" t="s">
        <v>13</v>
      </c>
      <c r="C13" s="12" t="s">
        <v>62</v>
      </c>
      <c r="D13" s="13">
        <v>5084.0200000000004</v>
      </c>
      <c r="E13" s="13"/>
    </row>
    <row r="14" spans="1:5" x14ac:dyDescent="0.25">
      <c r="A14" s="13"/>
      <c r="B14" s="15" t="s">
        <v>14</v>
      </c>
      <c r="C14" s="12" t="s">
        <v>15</v>
      </c>
      <c r="D14" s="13">
        <v>106222.67</v>
      </c>
      <c r="E14" s="13"/>
    </row>
    <row r="15" spans="1:5" ht="15.75" x14ac:dyDescent="0.25">
      <c r="A15" s="13"/>
      <c r="B15" s="16" t="s">
        <v>16</v>
      </c>
      <c r="C15" s="9"/>
      <c r="D15" s="13"/>
      <c r="E15" s="13"/>
    </row>
    <row r="16" spans="1:5" x14ac:dyDescent="0.25">
      <c r="A16" s="13">
        <v>1</v>
      </c>
      <c r="B16" s="13" t="s">
        <v>17</v>
      </c>
      <c r="C16" s="12" t="s">
        <v>15</v>
      </c>
      <c r="D16" s="13">
        <v>190717.82</v>
      </c>
      <c r="E16" s="13"/>
    </row>
    <row r="17" spans="1:5" x14ac:dyDescent="0.25">
      <c r="A17" s="13"/>
      <c r="B17" s="13"/>
      <c r="C17" s="9"/>
      <c r="D17" s="13"/>
      <c r="E17" s="13"/>
    </row>
    <row r="18" spans="1:5" ht="15.75" x14ac:dyDescent="0.25">
      <c r="A18" s="13"/>
      <c r="B18" s="16" t="s">
        <v>19</v>
      </c>
      <c r="C18" s="9"/>
      <c r="D18" s="19">
        <f>D16+D17</f>
        <v>190717.82</v>
      </c>
      <c r="E18" s="13"/>
    </row>
    <row r="19" spans="1:5" ht="15.75" x14ac:dyDescent="0.25">
      <c r="A19" s="13"/>
      <c r="B19" s="16"/>
      <c r="C19" s="9"/>
      <c r="D19" s="19"/>
      <c r="E19" s="13" t="s">
        <v>21</v>
      </c>
    </row>
    <row r="20" spans="1:5" ht="15.75" x14ac:dyDescent="0.25">
      <c r="A20" s="20"/>
      <c r="B20" s="21" t="s">
        <v>20</v>
      </c>
      <c r="C20" s="20"/>
      <c r="D20" s="19"/>
      <c r="E20" s="13"/>
    </row>
    <row r="21" spans="1:5" x14ac:dyDescent="0.25">
      <c r="A21" s="24" t="s">
        <v>22</v>
      </c>
      <c r="B21" s="25" t="s">
        <v>23</v>
      </c>
      <c r="C21" s="20"/>
      <c r="D21" s="19">
        <f>D22+D27+D26</f>
        <v>66767.62</v>
      </c>
      <c r="E21" s="462">
        <f>E22</f>
        <v>16869.954680000003</v>
      </c>
    </row>
    <row r="22" spans="1:5" x14ac:dyDescent="0.25">
      <c r="A22" s="20">
        <v>1</v>
      </c>
      <c r="B22" s="22" t="s">
        <v>24</v>
      </c>
      <c r="C22" s="27" t="s">
        <v>15</v>
      </c>
      <c r="D22" s="19">
        <f>D23+D24+D25</f>
        <v>64389.14</v>
      </c>
      <c r="E22" s="18">
        <f>E23+E24+E25</f>
        <v>16869.954680000003</v>
      </c>
    </row>
    <row r="23" spans="1:5" x14ac:dyDescent="0.25">
      <c r="A23" s="20"/>
      <c r="B23" s="20" t="s">
        <v>25</v>
      </c>
      <c r="C23" s="20"/>
      <c r="D23" s="13">
        <v>7685.41</v>
      </c>
      <c r="E23" s="17">
        <f>D23*26.2%</f>
        <v>2013.5774200000001</v>
      </c>
    </row>
    <row r="24" spans="1:5" x14ac:dyDescent="0.25">
      <c r="A24" s="20"/>
      <c r="B24" s="20" t="s">
        <v>26</v>
      </c>
      <c r="C24" s="20"/>
      <c r="D24" s="13">
        <v>23747.99</v>
      </c>
      <c r="E24" s="17">
        <f>D24*26.2%</f>
        <v>6221.9733800000004</v>
      </c>
    </row>
    <row r="25" spans="1:5" x14ac:dyDescent="0.25">
      <c r="A25" s="20"/>
      <c r="B25" s="31" t="s">
        <v>27</v>
      </c>
      <c r="C25" s="31"/>
      <c r="D25" s="463">
        <v>32955.74</v>
      </c>
      <c r="E25" s="17">
        <f>D25*26.2%</f>
        <v>8634.4038799999998</v>
      </c>
    </row>
    <row r="26" spans="1:5" x14ac:dyDescent="0.25">
      <c r="A26" s="20"/>
      <c r="B26" s="20" t="s">
        <v>118</v>
      </c>
      <c r="C26" s="31"/>
      <c r="D26" s="13">
        <f>561.65+200</f>
        <v>761.65</v>
      </c>
      <c r="E26" s="17"/>
    </row>
    <row r="27" spans="1:5" x14ac:dyDescent="0.25">
      <c r="A27" s="20">
        <v>2</v>
      </c>
      <c r="B27" s="31" t="s">
        <v>28</v>
      </c>
      <c r="C27" s="31"/>
      <c r="D27" s="463">
        <v>1616.83</v>
      </c>
      <c r="E27" s="17"/>
    </row>
    <row r="28" spans="1:5" x14ac:dyDescent="0.25">
      <c r="A28" s="24" t="s">
        <v>29</v>
      </c>
      <c r="B28" s="30" t="s">
        <v>30</v>
      </c>
      <c r="C28" s="22"/>
      <c r="D28" s="462">
        <f>D30+D31</f>
        <v>52776.23</v>
      </c>
      <c r="E28" s="462">
        <f>E30</f>
        <v>11885.315600000002</v>
      </c>
    </row>
    <row r="29" spans="1:5" x14ac:dyDescent="0.25">
      <c r="A29" s="464" t="s">
        <v>29</v>
      </c>
      <c r="B29" s="30" t="s">
        <v>30</v>
      </c>
      <c r="C29" s="31"/>
      <c r="D29" s="462">
        <f>D30+D31</f>
        <v>52776.23</v>
      </c>
      <c r="E29" s="462">
        <f>E30</f>
        <v>11885.315600000002</v>
      </c>
    </row>
    <row r="30" spans="1:5" x14ac:dyDescent="0.25">
      <c r="A30" s="13">
        <v>1</v>
      </c>
      <c r="B30" s="31" t="s">
        <v>31</v>
      </c>
      <c r="C30" s="31"/>
      <c r="D30" s="463">
        <v>45363.8</v>
      </c>
      <c r="E30" s="17">
        <f>D30*26.2%</f>
        <v>11885.315600000002</v>
      </c>
    </row>
    <row r="31" spans="1:5" x14ac:dyDescent="0.25">
      <c r="A31" s="20">
        <v>2</v>
      </c>
      <c r="B31" s="31" t="s">
        <v>28</v>
      </c>
      <c r="C31" s="31"/>
      <c r="D31" s="465">
        <v>7412.43</v>
      </c>
      <c r="E31" s="13"/>
    </row>
    <row r="32" spans="1:5" x14ac:dyDescent="0.25">
      <c r="A32" s="13">
        <v>3</v>
      </c>
      <c r="B32" s="19" t="s">
        <v>33</v>
      </c>
      <c r="C32" s="9"/>
      <c r="D32" s="18">
        <f>SUM(D33:D38)</f>
        <v>24410.821</v>
      </c>
      <c r="E32" s="13"/>
    </row>
    <row r="33" spans="1:5" x14ac:dyDescent="0.25">
      <c r="A33" s="13"/>
      <c r="B33" s="13" t="s">
        <v>34</v>
      </c>
      <c r="C33" s="9"/>
      <c r="D33" s="17">
        <f>D18*5%</f>
        <v>9535.8910000000014</v>
      </c>
      <c r="E33" s="13"/>
    </row>
    <row r="34" spans="1:5" x14ac:dyDescent="0.25">
      <c r="A34" s="13"/>
      <c r="B34" s="13" t="s">
        <v>36</v>
      </c>
      <c r="C34" s="9"/>
      <c r="D34" s="13">
        <v>9204.16</v>
      </c>
      <c r="E34" s="13"/>
    </row>
    <row r="35" spans="1:5" x14ac:dyDescent="0.25">
      <c r="A35" s="13"/>
      <c r="B35" s="31" t="s">
        <v>58</v>
      </c>
      <c r="C35" s="9"/>
      <c r="D35" s="13">
        <f>4*84.52</f>
        <v>338.08</v>
      </c>
      <c r="E35" s="13"/>
    </row>
    <row r="36" spans="1:5" x14ac:dyDescent="0.25">
      <c r="A36" s="13"/>
      <c r="B36" s="27" t="s">
        <v>38</v>
      </c>
      <c r="C36" s="9"/>
      <c r="D36" s="13">
        <v>1391.96</v>
      </c>
      <c r="E36" s="13"/>
    </row>
    <row r="37" spans="1:5" x14ac:dyDescent="0.25">
      <c r="A37" s="13"/>
      <c r="B37" s="13" t="s">
        <v>37</v>
      </c>
      <c r="C37" s="9"/>
      <c r="D37" s="13">
        <v>1015.59</v>
      </c>
      <c r="E37" s="13"/>
    </row>
    <row r="38" spans="1:5" x14ac:dyDescent="0.25">
      <c r="A38" s="13"/>
      <c r="B38" s="13" t="s">
        <v>41</v>
      </c>
      <c r="C38" s="9"/>
      <c r="D38" s="13">
        <v>2925.14</v>
      </c>
      <c r="E38" s="13"/>
    </row>
    <row r="39" spans="1:5" x14ac:dyDescent="0.25">
      <c r="A39" s="13">
        <v>4</v>
      </c>
      <c r="B39" s="19" t="s">
        <v>42</v>
      </c>
      <c r="C39" s="9"/>
      <c r="D39" s="18">
        <f>SUM(D40:D41)</f>
        <v>25490.93</v>
      </c>
      <c r="E39" s="462">
        <f>E40</f>
        <v>5480.9666400000006</v>
      </c>
    </row>
    <row r="40" spans="1:5" x14ac:dyDescent="0.25">
      <c r="A40" s="13"/>
      <c r="B40" s="31" t="s">
        <v>43</v>
      </c>
      <c r="C40" s="9"/>
      <c r="D40" s="465">
        <v>20919.72</v>
      </c>
      <c r="E40" s="17">
        <f>D40*26.2%</f>
        <v>5480.9666400000006</v>
      </c>
    </row>
    <row r="41" spans="1:5" x14ac:dyDescent="0.25">
      <c r="A41" s="13"/>
      <c r="B41" s="27" t="s">
        <v>44</v>
      </c>
      <c r="C41" s="9"/>
      <c r="D41" s="465">
        <v>4571.21</v>
      </c>
      <c r="E41" s="13"/>
    </row>
    <row r="42" spans="1:5" x14ac:dyDescent="0.25">
      <c r="A42" s="13">
        <v>5</v>
      </c>
      <c r="B42" s="19" t="s">
        <v>45</v>
      </c>
      <c r="C42" s="9"/>
      <c r="D42" s="18">
        <f>D21+E21+D28+E28+D32+D39+E39</f>
        <v>203681.83791999999</v>
      </c>
      <c r="E42" s="13"/>
    </row>
    <row r="43" spans="1:5" x14ac:dyDescent="0.25">
      <c r="A43" s="13">
        <v>6</v>
      </c>
      <c r="B43" s="19" t="s">
        <v>46</v>
      </c>
      <c r="C43" s="9"/>
      <c r="D43" s="18">
        <f>D18*6%</f>
        <v>11443.0692</v>
      </c>
      <c r="E43" s="13"/>
    </row>
    <row r="44" spans="1:5" x14ac:dyDescent="0.25">
      <c r="A44" s="13">
        <v>7</v>
      </c>
      <c r="B44" s="19" t="s">
        <v>47</v>
      </c>
      <c r="C44" s="9"/>
      <c r="D44" s="18">
        <f>D42+D43</f>
        <v>215124.90711999999</v>
      </c>
      <c r="E44" s="13"/>
    </row>
    <row r="45" spans="1:5" x14ac:dyDescent="0.25">
      <c r="A45" s="13"/>
      <c r="B45" s="19"/>
      <c r="C45" s="9"/>
      <c r="D45" s="13"/>
      <c r="E45" s="13"/>
    </row>
    <row r="46" spans="1:5" x14ac:dyDescent="0.25">
      <c r="A46" s="13">
        <v>8</v>
      </c>
      <c r="B46" s="19" t="s">
        <v>133</v>
      </c>
      <c r="C46" s="9"/>
      <c r="D46" s="18">
        <f>D18-D44</f>
        <v>-24407.087119999982</v>
      </c>
      <c r="E46" s="13"/>
    </row>
    <row r="47" spans="1:5" x14ac:dyDescent="0.25">
      <c r="A47" s="466">
        <v>9</v>
      </c>
      <c r="B47" s="467" t="s">
        <v>134</v>
      </c>
      <c r="C47" s="13"/>
      <c r="D47" s="18">
        <f>D11+D46</f>
        <v>-21874.097119999984</v>
      </c>
      <c r="E47" s="468"/>
    </row>
    <row r="48" spans="1:5" x14ac:dyDescent="0.25">
      <c r="A48" s="469"/>
      <c r="B48" s="471" t="s">
        <v>135</v>
      </c>
      <c r="C48" s="58" t="s">
        <v>51</v>
      </c>
      <c r="D48" s="470"/>
      <c r="E48" s="58"/>
    </row>
    <row r="49" spans="2:2" x14ac:dyDescent="0.25">
      <c r="B49" t="s">
        <v>136</v>
      </c>
    </row>
  </sheetData>
  <mergeCells count="4">
    <mergeCell ref="A6:B6"/>
    <mergeCell ref="C6:D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2" workbookViewId="0">
      <selection activeCell="G21" sqref="G21"/>
    </sheetView>
  </sheetViews>
  <sheetFormatPr defaultRowHeight="15" x14ac:dyDescent="0.25"/>
  <cols>
    <col min="2" max="2" width="39.140625" customWidth="1"/>
    <col min="4" max="5" width="11.42578125" customWidth="1"/>
  </cols>
  <sheetData>
    <row r="1" spans="1:5" ht="15.75" x14ac:dyDescent="0.25">
      <c r="A1" s="79"/>
      <c r="B1" s="80" t="s">
        <v>0</v>
      </c>
      <c r="C1" s="79"/>
      <c r="D1" s="79"/>
      <c r="E1" s="79"/>
    </row>
    <row r="2" spans="1:5" x14ac:dyDescent="0.25">
      <c r="A2" s="79"/>
      <c r="B2" s="79"/>
      <c r="C2" s="79"/>
      <c r="D2" s="79"/>
      <c r="E2" s="79"/>
    </row>
    <row r="3" spans="1:5" x14ac:dyDescent="0.25">
      <c r="A3" s="79"/>
      <c r="B3" s="79" t="s">
        <v>68</v>
      </c>
      <c r="C3" s="79"/>
      <c r="D3" s="79"/>
      <c r="E3" s="79"/>
    </row>
    <row r="4" spans="1:5" x14ac:dyDescent="0.25">
      <c r="A4" s="79"/>
      <c r="B4" s="81" t="s">
        <v>80</v>
      </c>
      <c r="C4" s="79"/>
      <c r="D4" s="79"/>
      <c r="E4" s="79"/>
    </row>
    <row r="5" spans="1:5" x14ac:dyDescent="0.25">
      <c r="A5" s="79"/>
      <c r="B5" s="79" t="s">
        <v>79</v>
      </c>
      <c r="C5" s="79"/>
      <c r="D5" s="79"/>
      <c r="E5" s="79"/>
    </row>
    <row r="6" spans="1:5" x14ac:dyDescent="0.25">
      <c r="A6" s="82"/>
      <c r="B6" s="82"/>
      <c r="C6" s="82"/>
      <c r="D6" s="83"/>
      <c r="E6" s="84"/>
    </row>
    <row r="7" spans="1:5" ht="15.75" x14ac:dyDescent="0.25">
      <c r="A7" s="85"/>
      <c r="B7" s="86" t="s">
        <v>4</v>
      </c>
      <c r="C7" s="87" t="s">
        <v>5</v>
      </c>
      <c r="D7" s="484" t="s">
        <v>6</v>
      </c>
      <c r="E7" s="485"/>
    </row>
    <row r="8" spans="1:5" ht="15.75" x14ac:dyDescent="0.25">
      <c r="A8" s="88"/>
      <c r="B8" s="86" t="s">
        <v>7</v>
      </c>
      <c r="C8" s="87" t="s">
        <v>8</v>
      </c>
      <c r="D8" s="486" t="s">
        <v>72</v>
      </c>
      <c r="E8" s="487"/>
    </row>
    <row r="9" spans="1:5" x14ac:dyDescent="0.25">
      <c r="A9" s="89"/>
      <c r="B9" s="89"/>
      <c r="C9" s="89"/>
      <c r="D9" s="90"/>
      <c r="E9" s="91"/>
    </row>
    <row r="10" spans="1:5" x14ac:dyDescent="0.25">
      <c r="A10" s="89"/>
      <c r="B10" s="92" t="s">
        <v>10</v>
      </c>
      <c r="C10" s="89"/>
      <c r="D10" s="90">
        <v>-507714.01</v>
      </c>
      <c r="E10" s="91"/>
    </row>
    <row r="11" spans="1:5" x14ac:dyDescent="0.25">
      <c r="A11" s="93"/>
      <c r="B11" s="94" t="s">
        <v>11</v>
      </c>
      <c r="C11" s="93" t="s">
        <v>12</v>
      </c>
      <c r="D11" s="93">
        <v>11857</v>
      </c>
      <c r="E11" s="93"/>
    </row>
    <row r="12" spans="1:5" x14ac:dyDescent="0.25">
      <c r="A12" s="93"/>
      <c r="B12" s="94" t="s">
        <v>13</v>
      </c>
      <c r="C12" s="93" t="s">
        <v>12</v>
      </c>
      <c r="D12" s="93">
        <v>8903.2000000000007</v>
      </c>
      <c r="E12" s="93"/>
    </row>
    <row r="13" spans="1:5" x14ac:dyDescent="0.25">
      <c r="A13" s="93"/>
      <c r="B13" s="95" t="s">
        <v>14</v>
      </c>
      <c r="C13" s="93" t="s">
        <v>15</v>
      </c>
      <c r="D13" s="93">
        <f>186147.3*2</f>
        <v>372294.6</v>
      </c>
      <c r="E13" s="93"/>
    </row>
    <row r="14" spans="1:5" x14ac:dyDescent="0.25">
      <c r="A14" s="93"/>
      <c r="B14" s="93"/>
      <c r="C14" s="93"/>
      <c r="D14" s="93"/>
      <c r="E14" s="93"/>
    </row>
    <row r="15" spans="1:5" ht="15.75" x14ac:dyDescent="0.25">
      <c r="A15" s="93"/>
      <c r="B15" s="96" t="s">
        <v>16</v>
      </c>
      <c r="C15" s="93"/>
      <c r="D15" s="93"/>
      <c r="E15" s="93"/>
    </row>
    <row r="16" spans="1:5" x14ac:dyDescent="0.25">
      <c r="A16" s="93">
        <v>1</v>
      </c>
      <c r="B16" s="93" t="s">
        <v>17</v>
      </c>
      <c r="C16" s="93" t="s">
        <v>15</v>
      </c>
      <c r="D16" s="93">
        <v>353805.84</v>
      </c>
      <c r="E16" s="93"/>
    </row>
    <row r="17" spans="1:5" x14ac:dyDescent="0.25">
      <c r="A17" s="93"/>
      <c r="B17" s="93"/>
      <c r="C17" s="93"/>
      <c r="D17" s="93"/>
      <c r="E17" s="93"/>
    </row>
    <row r="18" spans="1:5" ht="15.75" x14ac:dyDescent="0.25">
      <c r="A18" s="93"/>
      <c r="B18" s="96" t="s">
        <v>19</v>
      </c>
      <c r="C18" s="93"/>
      <c r="D18" s="97">
        <f>D16</f>
        <v>353805.84</v>
      </c>
      <c r="E18" s="93"/>
    </row>
    <row r="19" spans="1:5" ht="15.75" x14ac:dyDescent="0.25">
      <c r="A19" s="93"/>
      <c r="B19" s="96"/>
      <c r="C19" s="93"/>
      <c r="D19" s="97"/>
      <c r="E19" s="93"/>
    </row>
    <row r="20" spans="1:5" ht="15.75" x14ac:dyDescent="0.25">
      <c r="A20" s="20"/>
      <c r="B20" s="21" t="s">
        <v>20</v>
      </c>
      <c r="C20" s="20"/>
      <c r="D20" s="22"/>
      <c r="E20" s="20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167518.19</v>
      </c>
      <c r="E21" s="26">
        <f>E22</f>
        <v>42623.732000000004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162686</v>
      </c>
      <c r="E22" s="26">
        <f>E23+E24+E25</f>
        <v>42623.732000000004</v>
      </c>
    </row>
    <row r="23" spans="1:5" x14ac:dyDescent="0.25">
      <c r="A23" s="20"/>
      <c r="B23" s="20" t="s">
        <v>25</v>
      </c>
      <c r="C23" s="20"/>
      <c r="D23" s="20">
        <v>49600.78</v>
      </c>
      <c r="E23" s="28">
        <f>D23*26.2%</f>
        <v>12995.40436</v>
      </c>
    </row>
    <row r="24" spans="1:5" x14ac:dyDescent="0.25">
      <c r="A24" s="20"/>
      <c r="B24" s="20" t="s">
        <v>26</v>
      </c>
      <c r="C24" s="20"/>
      <c r="D24" s="29">
        <v>66797.08</v>
      </c>
      <c r="E24" s="28">
        <f>D24*26.2%</f>
        <v>17500.83496</v>
      </c>
    </row>
    <row r="25" spans="1:5" x14ac:dyDescent="0.25">
      <c r="A25" s="20"/>
      <c r="B25" s="20" t="s">
        <v>27</v>
      </c>
      <c r="C25" s="20"/>
      <c r="D25" s="20">
        <v>46288.14</v>
      </c>
      <c r="E25" s="28">
        <f>D25*26.2%</f>
        <v>12127.492680000001</v>
      </c>
    </row>
    <row r="26" spans="1:5" x14ac:dyDescent="0.25">
      <c r="A26" s="20">
        <v>2</v>
      </c>
      <c r="B26" s="27" t="s">
        <v>28</v>
      </c>
      <c r="C26" s="20"/>
      <c r="D26" s="20">
        <v>4832.1899999999996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103434.89</v>
      </c>
      <c r="E27" s="26">
        <f>E28</f>
        <v>20694.043799999999</v>
      </c>
    </row>
    <row r="28" spans="1:5" x14ac:dyDescent="0.25">
      <c r="A28" s="20">
        <v>1</v>
      </c>
      <c r="B28" s="31" t="s">
        <v>31</v>
      </c>
      <c r="C28" s="20"/>
      <c r="D28" s="31">
        <v>78984.899999999994</v>
      </c>
      <c r="E28" s="33">
        <f>D28*26.2%</f>
        <v>20694.043799999999</v>
      </c>
    </row>
    <row r="29" spans="1:5" x14ac:dyDescent="0.25">
      <c r="A29" s="20">
        <v>2</v>
      </c>
      <c r="B29" s="31" t="s">
        <v>28</v>
      </c>
      <c r="C29" s="20"/>
      <c r="D29" s="33">
        <v>24449.99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D31+D32+D34+D35+D36+D37</f>
        <v>45745.851999999999</v>
      </c>
      <c r="E30" s="20"/>
    </row>
    <row r="31" spans="1:5" x14ac:dyDescent="0.25">
      <c r="A31" s="20"/>
      <c r="B31" s="20" t="s">
        <v>34</v>
      </c>
      <c r="C31" s="20"/>
      <c r="D31" s="28">
        <f>D18*5%</f>
        <v>17690.292000000001</v>
      </c>
      <c r="E31" s="20"/>
    </row>
    <row r="32" spans="1:5" x14ac:dyDescent="0.25">
      <c r="A32" s="20"/>
      <c r="B32" s="20" t="s">
        <v>35</v>
      </c>
      <c r="C32" s="20"/>
      <c r="D32" s="20">
        <v>4326</v>
      </c>
      <c r="E32" s="20"/>
    </row>
    <row r="33" spans="1:5" x14ac:dyDescent="0.25">
      <c r="A33" s="20"/>
      <c r="B33" s="31" t="s">
        <v>58</v>
      </c>
      <c r="C33" s="20"/>
      <c r="D33" s="20"/>
      <c r="E33" s="20"/>
    </row>
    <row r="34" spans="1:5" x14ac:dyDescent="0.25">
      <c r="A34" s="20"/>
      <c r="B34" s="20" t="s">
        <v>36</v>
      </c>
      <c r="C34" s="20"/>
      <c r="D34" s="28">
        <v>14444.56</v>
      </c>
      <c r="E34" s="20"/>
    </row>
    <row r="35" spans="1:5" x14ac:dyDescent="0.25">
      <c r="A35" s="20"/>
      <c r="B35" s="27" t="s">
        <v>37</v>
      </c>
      <c r="C35" s="20"/>
      <c r="D35" s="20">
        <v>1768.29</v>
      </c>
      <c r="E35" s="20"/>
    </row>
    <row r="36" spans="1:5" x14ac:dyDescent="0.25">
      <c r="A36" s="20"/>
      <c r="B36" s="27" t="s">
        <v>38</v>
      </c>
      <c r="C36" s="20"/>
      <c r="D36" s="20">
        <v>2423.61</v>
      </c>
      <c r="E36" s="20"/>
    </row>
    <row r="37" spans="1:5" x14ac:dyDescent="0.25">
      <c r="A37" s="20"/>
      <c r="B37" s="20" t="s">
        <v>41</v>
      </c>
      <c r="C37" s="20"/>
      <c r="D37" s="20">
        <v>5093.1000000000004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42983.44</v>
      </c>
      <c r="E38" s="26">
        <f>E39</f>
        <v>9543.1535000000003</v>
      </c>
    </row>
    <row r="39" spans="1:5" x14ac:dyDescent="0.25">
      <c r="A39" s="20"/>
      <c r="B39" s="31" t="s">
        <v>43</v>
      </c>
      <c r="C39" s="31"/>
      <c r="D39" s="33">
        <v>36424.25</v>
      </c>
      <c r="E39" s="33">
        <f>D39*26.2%</f>
        <v>9543.1535000000003</v>
      </c>
    </row>
    <row r="40" spans="1:5" x14ac:dyDescent="0.25">
      <c r="A40" s="20"/>
      <c r="B40" s="20" t="s">
        <v>44</v>
      </c>
      <c r="C40" s="20"/>
      <c r="D40" s="33">
        <v>6559.19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D21+E21+D27+E27+D30+D38+E38</f>
        <v>432543.30130000005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21228.350399999999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453771.65170000005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D18-D43</f>
        <v>-99965.81170000002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-607679.82169999997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D48" sqref="D48"/>
    </sheetView>
  </sheetViews>
  <sheetFormatPr defaultRowHeight="15" x14ac:dyDescent="0.25"/>
  <cols>
    <col min="2" max="2" width="40.7109375" customWidth="1"/>
    <col min="4" max="4" width="10.42578125" customWidth="1"/>
    <col min="5" max="5" width="10.140625" customWidth="1"/>
  </cols>
  <sheetData>
    <row r="1" spans="1:5" ht="15.75" x14ac:dyDescent="0.25">
      <c r="B1" s="1" t="s">
        <v>0</v>
      </c>
    </row>
    <row r="3" spans="1:5" x14ac:dyDescent="0.25">
      <c r="B3" t="s">
        <v>90</v>
      </c>
    </row>
    <row r="4" spans="1:5" x14ac:dyDescent="0.25">
      <c r="B4" t="s">
        <v>137</v>
      </c>
    </row>
    <row r="5" spans="1:5" x14ac:dyDescent="0.25">
      <c r="A5" s="577"/>
      <c r="B5" s="577"/>
      <c r="C5" s="577"/>
      <c r="D5" s="577"/>
      <c r="E5" s="59"/>
    </row>
    <row r="6" spans="1:5" x14ac:dyDescent="0.25">
      <c r="A6" s="5"/>
      <c r="B6" s="5"/>
      <c r="C6" s="2"/>
      <c r="D6" s="3"/>
      <c r="E6" s="60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472"/>
      <c r="B8" s="6" t="s">
        <v>7</v>
      </c>
      <c r="C8" s="7" t="s">
        <v>60</v>
      </c>
      <c r="D8" s="580" t="s">
        <v>61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155937.06</v>
      </c>
      <c r="E10" s="11"/>
    </row>
    <row r="11" spans="1:5" x14ac:dyDescent="0.25">
      <c r="A11" s="13"/>
      <c r="B11" s="14" t="s">
        <v>11</v>
      </c>
      <c r="C11" s="12" t="s">
        <v>62</v>
      </c>
      <c r="D11" s="17">
        <v>9546.7999999999993</v>
      </c>
      <c r="E11" s="13"/>
    </row>
    <row r="12" spans="1:5" x14ac:dyDescent="0.25">
      <c r="A12" s="13"/>
      <c r="B12" s="14" t="s">
        <v>13</v>
      </c>
      <c r="C12" s="12" t="s">
        <v>62</v>
      </c>
      <c r="D12" s="17">
        <v>5841.2</v>
      </c>
      <c r="E12" s="13"/>
    </row>
    <row r="13" spans="1:5" x14ac:dyDescent="0.25">
      <c r="A13" s="13"/>
      <c r="B13" s="15" t="s">
        <v>14</v>
      </c>
      <c r="C13" s="12" t="s">
        <v>15</v>
      </c>
      <c r="D13" s="17">
        <f>112326.63*2</f>
        <v>224653.26</v>
      </c>
      <c r="E13" s="13"/>
    </row>
    <row r="14" spans="1:5" ht="15.75" x14ac:dyDescent="0.25">
      <c r="A14" s="13"/>
      <c r="B14" s="16" t="s">
        <v>16</v>
      </c>
      <c r="C14" s="9"/>
      <c r="D14" s="13"/>
      <c r="E14" s="13"/>
    </row>
    <row r="15" spans="1:5" x14ac:dyDescent="0.25">
      <c r="A15" s="13">
        <v>1</v>
      </c>
      <c r="B15" s="13" t="s">
        <v>17</v>
      </c>
      <c r="C15" s="12" t="s">
        <v>15</v>
      </c>
      <c r="D15" s="17">
        <v>218591.43</v>
      </c>
      <c r="E15" s="13"/>
    </row>
    <row r="16" spans="1:5" x14ac:dyDescent="0.25">
      <c r="A16" s="13">
        <v>2</v>
      </c>
      <c r="B16" s="13" t="s">
        <v>18</v>
      </c>
      <c r="C16" s="9"/>
      <c r="D16" s="17">
        <v>65502.87</v>
      </c>
      <c r="E16" s="13"/>
    </row>
    <row r="17" spans="1:5" ht="15.75" x14ac:dyDescent="0.25">
      <c r="A17" s="13"/>
      <c r="B17" s="16" t="s">
        <v>19</v>
      </c>
      <c r="C17" s="9"/>
      <c r="D17" s="18">
        <f>D15+D16</f>
        <v>284094.3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31"/>
      <c r="B19" s="21" t="s">
        <v>20</v>
      </c>
      <c r="C19" s="31"/>
      <c r="D19" s="22"/>
      <c r="E19" s="473" t="s">
        <v>21</v>
      </c>
    </row>
    <row r="20" spans="1:5" x14ac:dyDescent="0.25">
      <c r="A20" s="464" t="s">
        <v>22</v>
      </c>
      <c r="B20" s="25" t="s">
        <v>23</v>
      </c>
      <c r="C20" s="31"/>
      <c r="D20" s="22">
        <f>D21+D26+D25</f>
        <v>22168.179999999997</v>
      </c>
      <c r="E20" s="26">
        <f>E21</f>
        <v>4923.7686199999998</v>
      </c>
    </row>
    <row r="21" spans="1:5" x14ac:dyDescent="0.25">
      <c r="A21" s="31">
        <v>1</v>
      </c>
      <c r="B21" s="22" t="s">
        <v>24</v>
      </c>
      <c r="C21" s="31" t="s">
        <v>15</v>
      </c>
      <c r="D21" s="22">
        <f>D22</f>
        <v>18793.009999999998</v>
      </c>
      <c r="E21" s="33">
        <f>E22</f>
        <v>4923.7686199999998</v>
      </c>
    </row>
    <row r="22" spans="1:5" x14ac:dyDescent="0.25">
      <c r="A22" s="31"/>
      <c r="B22" s="31" t="s">
        <v>25</v>
      </c>
      <c r="C22" s="31"/>
      <c r="D22" s="31">
        <v>18793.009999999998</v>
      </c>
      <c r="E22" s="33">
        <f>D22*26.2%</f>
        <v>4923.7686199999998</v>
      </c>
    </row>
    <row r="23" spans="1:5" x14ac:dyDescent="0.25">
      <c r="A23" s="31"/>
      <c r="B23" s="31" t="s">
        <v>26</v>
      </c>
      <c r="C23" s="31"/>
      <c r="D23" s="474"/>
      <c r="E23" s="33"/>
    </row>
    <row r="24" spans="1:5" x14ac:dyDescent="0.25">
      <c r="A24" s="31"/>
      <c r="B24" s="31" t="s">
        <v>27</v>
      </c>
      <c r="C24" s="31"/>
      <c r="D24" s="31"/>
      <c r="E24" s="33"/>
    </row>
    <row r="25" spans="1:5" x14ac:dyDescent="0.25">
      <c r="A25" s="31"/>
      <c r="B25" s="31" t="s">
        <v>118</v>
      </c>
      <c r="C25" s="31"/>
      <c r="D25" s="31">
        <v>964.69</v>
      </c>
      <c r="E25" s="33"/>
    </row>
    <row r="26" spans="1:5" x14ac:dyDescent="0.25">
      <c r="A26" s="31">
        <v>2</v>
      </c>
      <c r="B26" s="31" t="s">
        <v>28</v>
      </c>
      <c r="C26" s="31"/>
      <c r="D26" s="31">
        <v>2410.48</v>
      </c>
      <c r="E26" s="33"/>
    </row>
    <row r="27" spans="1:5" x14ac:dyDescent="0.25">
      <c r="A27" s="464" t="s">
        <v>29</v>
      </c>
      <c r="B27" s="30" t="s">
        <v>30</v>
      </c>
      <c r="C27" s="31"/>
      <c r="D27" s="22">
        <f>D28+D29+D30</f>
        <v>65932.17</v>
      </c>
      <c r="E27" s="26">
        <f>E28</f>
        <v>13576.92122</v>
      </c>
    </row>
    <row r="28" spans="1:5" x14ac:dyDescent="0.25">
      <c r="A28" s="31">
        <v>1</v>
      </c>
      <c r="B28" s="31" t="s">
        <v>31</v>
      </c>
      <c r="C28" s="31"/>
      <c r="D28" s="31">
        <v>51820.31</v>
      </c>
      <c r="E28" s="33">
        <f>D28*26.2%</f>
        <v>13576.92122</v>
      </c>
    </row>
    <row r="29" spans="1:5" x14ac:dyDescent="0.25">
      <c r="A29" s="31">
        <v>2</v>
      </c>
      <c r="B29" s="31" t="s">
        <v>28</v>
      </c>
      <c r="C29" s="31"/>
      <c r="D29" s="31">
        <v>14111.86</v>
      </c>
      <c r="E29" s="31"/>
    </row>
    <row r="30" spans="1:5" x14ac:dyDescent="0.25">
      <c r="A30" s="31">
        <v>3</v>
      </c>
      <c r="B30" s="31" t="s">
        <v>82</v>
      </c>
      <c r="C30" s="31"/>
      <c r="D30" s="31">
        <v>0</v>
      </c>
      <c r="E30" s="31"/>
    </row>
    <row r="31" spans="1:5" x14ac:dyDescent="0.25">
      <c r="A31" s="464" t="s">
        <v>32</v>
      </c>
      <c r="B31" s="22" t="s">
        <v>33</v>
      </c>
      <c r="C31" s="31"/>
      <c r="D31" s="26">
        <f>D32+D33+D34+D35+D36+D37</f>
        <v>31317.685000000005</v>
      </c>
      <c r="E31" s="31"/>
    </row>
    <row r="32" spans="1:5" x14ac:dyDescent="0.25">
      <c r="A32" s="31"/>
      <c r="B32" s="31" t="s">
        <v>34</v>
      </c>
      <c r="C32" s="31"/>
      <c r="D32" s="33">
        <f>D17*5%</f>
        <v>14204.715</v>
      </c>
      <c r="E32" s="31"/>
    </row>
    <row r="33" spans="1:5" x14ac:dyDescent="0.25">
      <c r="A33" s="31"/>
      <c r="B33" s="31" t="s">
        <v>58</v>
      </c>
      <c r="C33" s="31"/>
      <c r="D33" s="31">
        <f>6*84.52</f>
        <v>507.12</v>
      </c>
      <c r="E33" s="31"/>
    </row>
    <row r="34" spans="1:5" x14ac:dyDescent="0.25">
      <c r="A34" s="31"/>
      <c r="B34" s="31" t="s">
        <v>36</v>
      </c>
      <c r="C34" s="31"/>
      <c r="D34" s="33">
        <v>10514.16</v>
      </c>
      <c r="E34" s="31"/>
    </row>
    <row r="35" spans="1:5" x14ac:dyDescent="0.25">
      <c r="A35" s="31"/>
      <c r="B35" s="31" t="s">
        <v>38</v>
      </c>
      <c r="C35" s="31"/>
      <c r="D35" s="31">
        <v>1590.08</v>
      </c>
      <c r="E35" s="31"/>
    </row>
    <row r="36" spans="1:5" x14ac:dyDescent="0.25">
      <c r="A36" s="31"/>
      <c r="B36" s="31" t="s">
        <v>37</v>
      </c>
      <c r="C36" s="31"/>
      <c r="D36" s="31">
        <v>1160.1400000000001</v>
      </c>
      <c r="E36" s="31"/>
    </row>
    <row r="37" spans="1:5" x14ac:dyDescent="0.25">
      <c r="A37" s="31"/>
      <c r="B37" s="31" t="s">
        <v>41</v>
      </c>
      <c r="C37" s="31"/>
      <c r="D37" s="31">
        <v>3341.47</v>
      </c>
      <c r="E37" s="31"/>
    </row>
    <row r="38" spans="1:5" x14ac:dyDescent="0.25">
      <c r="A38" s="31">
        <v>4</v>
      </c>
      <c r="B38" s="22" t="s">
        <v>42</v>
      </c>
      <c r="C38" s="31"/>
      <c r="D38" s="26">
        <f>D39+D40</f>
        <v>29118.98</v>
      </c>
      <c r="E38" s="26">
        <f>E39</f>
        <v>6261.05854</v>
      </c>
    </row>
    <row r="39" spans="1:5" x14ac:dyDescent="0.25">
      <c r="A39" s="31"/>
      <c r="B39" s="31" t="s">
        <v>43</v>
      </c>
      <c r="C39" s="31"/>
      <c r="D39" s="33">
        <v>23897.17</v>
      </c>
      <c r="E39" s="33">
        <f>D39*26.2%</f>
        <v>6261.05854</v>
      </c>
    </row>
    <row r="40" spans="1:5" x14ac:dyDescent="0.25">
      <c r="A40" s="31"/>
      <c r="B40" s="31" t="s">
        <v>44</v>
      </c>
      <c r="C40" s="31"/>
      <c r="D40" s="33">
        <v>5221.8100000000004</v>
      </c>
      <c r="E40" s="31"/>
    </row>
    <row r="41" spans="1:5" x14ac:dyDescent="0.25">
      <c r="A41" s="31">
        <v>5</v>
      </c>
      <c r="B41" s="22" t="s">
        <v>45</v>
      </c>
      <c r="C41" s="31"/>
      <c r="D41" s="26">
        <f>D20+E20+D27+E27+D31+D38+E38</f>
        <v>173298.76338000002</v>
      </c>
      <c r="E41" s="31"/>
    </row>
    <row r="42" spans="1:5" x14ac:dyDescent="0.25">
      <c r="A42" s="31">
        <v>6</v>
      </c>
      <c r="B42" s="31" t="s">
        <v>46</v>
      </c>
      <c r="C42" s="31"/>
      <c r="D42" s="26">
        <f>D17*6%</f>
        <v>17045.657999999999</v>
      </c>
      <c r="E42" s="31"/>
    </row>
    <row r="43" spans="1:5" x14ac:dyDescent="0.25">
      <c r="A43" s="31">
        <v>7</v>
      </c>
      <c r="B43" s="22" t="s">
        <v>47</v>
      </c>
      <c r="C43" s="31"/>
      <c r="D43" s="26">
        <f>D41+D42</f>
        <v>190344.42138000001</v>
      </c>
      <c r="E43" s="31"/>
    </row>
    <row r="44" spans="1:5" x14ac:dyDescent="0.25">
      <c r="A44" s="31"/>
      <c r="B44" s="31"/>
      <c r="C44" s="31"/>
      <c r="D44" s="31"/>
      <c r="E44" s="31"/>
    </row>
    <row r="45" spans="1:5" x14ac:dyDescent="0.25">
      <c r="A45" s="31">
        <v>8</v>
      </c>
      <c r="B45" s="22" t="s">
        <v>59</v>
      </c>
      <c r="C45" s="31"/>
      <c r="D45" s="26">
        <f>D15-D43</f>
        <v>28247.008619999979</v>
      </c>
      <c r="E45" s="31"/>
    </row>
    <row r="46" spans="1:5" x14ac:dyDescent="0.25">
      <c r="A46" s="31">
        <v>9</v>
      </c>
      <c r="B46" s="22" t="s">
        <v>49</v>
      </c>
      <c r="C46" s="31"/>
      <c r="D46" s="26">
        <f>D10+D45</f>
        <v>184184.06861999998</v>
      </c>
      <c r="E46" s="31"/>
    </row>
    <row r="47" spans="1:5" x14ac:dyDescent="0.25">
      <c r="A47" s="475"/>
      <c r="B47" s="35" t="s">
        <v>18</v>
      </c>
      <c r="C47" s="475"/>
      <c r="D47" s="36">
        <f>D16+7609.2</f>
        <v>73112.070000000007</v>
      </c>
      <c r="E47" s="475"/>
    </row>
    <row r="48" spans="1:5" x14ac:dyDescent="0.25">
      <c r="A48" s="475"/>
      <c r="B48" s="35"/>
      <c r="C48" s="475"/>
      <c r="D48" s="36"/>
      <c r="E48" s="475"/>
    </row>
    <row r="49" spans="1:5" x14ac:dyDescent="0.25">
      <c r="A49" s="281"/>
      <c r="B49" s="281" t="s">
        <v>50</v>
      </c>
      <c r="C49" s="281"/>
      <c r="D49" s="281" t="s">
        <v>51</v>
      </c>
      <c r="E49" s="281"/>
    </row>
    <row r="50" spans="1:5" x14ac:dyDescent="0.25">
      <c r="A50" s="281"/>
      <c r="B50" s="281" t="s">
        <v>52</v>
      </c>
      <c r="C50" s="281"/>
      <c r="D50" s="281" t="s">
        <v>53</v>
      </c>
      <c r="E50" s="281"/>
    </row>
  </sheetData>
  <mergeCells count="4">
    <mergeCell ref="A5:B5"/>
    <mergeCell ref="C5:D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K34" sqref="K34"/>
    </sheetView>
  </sheetViews>
  <sheetFormatPr defaultRowHeight="15" x14ac:dyDescent="0.25"/>
  <cols>
    <col min="2" max="2" width="38.85546875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138</v>
      </c>
    </row>
    <row r="4" spans="1:5" x14ac:dyDescent="0.25">
      <c r="A4" s="576"/>
      <c r="B4" s="576"/>
      <c r="C4" s="576"/>
      <c r="D4" s="577"/>
      <c r="E4" s="59"/>
    </row>
    <row r="5" spans="1:5" x14ac:dyDescent="0.25">
      <c r="A5" s="2"/>
      <c r="B5" s="2"/>
      <c r="C5" s="2"/>
      <c r="D5" s="3"/>
      <c r="E5" s="60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60</v>
      </c>
      <c r="D7" s="580" t="s">
        <v>139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90354.07</v>
      </c>
      <c r="E9" s="11"/>
    </row>
    <row r="10" spans="1:5" x14ac:dyDescent="0.25">
      <c r="A10" s="13"/>
      <c r="B10" s="14" t="s">
        <v>11</v>
      </c>
      <c r="C10" s="12" t="s">
        <v>62</v>
      </c>
      <c r="D10" s="17">
        <v>9568.5</v>
      </c>
      <c r="E10" s="13"/>
    </row>
    <row r="11" spans="1:5" x14ac:dyDescent="0.25">
      <c r="A11" s="13"/>
      <c r="B11" s="14" t="s">
        <v>13</v>
      </c>
      <c r="C11" s="12" t="s">
        <v>62</v>
      </c>
      <c r="D11" s="17">
        <v>5924.6</v>
      </c>
      <c r="E11" s="13"/>
    </row>
    <row r="12" spans="1:5" x14ac:dyDescent="0.25">
      <c r="A12" s="13"/>
      <c r="B12" s="15" t="s">
        <v>14</v>
      </c>
      <c r="C12" s="12" t="s">
        <v>15</v>
      </c>
      <c r="D12" s="17">
        <v>226840.62</v>
      </c>
      <c r="E12" s="13"/>
    </row>
    <row r="13" spans="1:5" ht="15.75" x14ac:dyDescent="0.25">
      <c r="A13" s="13"/>
      <c r="B13" s="16" t="s">
        <v>16</v>
      </c>
      <c r="C13" s="9"/>
      <c r="D13" s="17"/>
      <c r="E13" s="13"/>
    </row>
    <row r="14" spans="1:5" x14ac:dyDescent="0.25">
      <c r="A14" s="13">
        <v>1</v>
      </c>
      <c r="B14" s="13" t="s">
        <v>17</v>
      </c>
      <c r="C14" s="12" t="s">
        <v>15</v>
      </c>
      <c r="D14" s="17">
        <v>226359.77</v>
      </c>
      <c r="E14" s="13"/>
    </row>
    <row r="15" spans="1:5" x14ac:dyDescent="0.25">
      <c r="A15" s="13">
        <v>2</v>
      </c>
      <c r="B15" s="13" t="s">
        <v>18</v>
      </c>
      <c r="C15" s="12"/>
      <c r="D15" s="17">
        <v>41650.839999999997</v>
      </c>
      <c r="E15" s="13"/>
    </row>
    <row r="16" spans="1:5" x14ac:dyDescent="0.25">
      <c r="A16" s="13">
        <v>3</v>
      </c>
      <c r="B16" s="13" t="s">
        <v>101</v>
      </c>
      <c r="C16" s="13" t="s">
        <v>15</v>
      </c>
      <c r="D16" s="13">
        <v>120000</v>
      </c>
      <c r="E16" s="13"/>
    </row>
    <row r="17" spans="1:5" ht="15.75" x14ac:dyDescent="0.25">
      <c r="A17" s="13"/>
      <c r="B17" s="16" t="s">
        <v>19</v>
      </c>
      <c r="C17" s="9"/>
      <c r="D17" s="18">
        <f>D14+D16+D15</f>
        <v>388010.61</v>
      </c>
      <c r="E17" s="13"/>
    </row>
    <row r="18" spans="1:5" ht="15.75" x14ac:dyDescent="0.25">
      <c r="A18" s="13"/>
      <c r="B18" s="16"/>
      <c r="C18" s="9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D21+D26+D25</f>
        <v>27239.519999999997</v>
      </c>
      <c r="E20" s="26">
        <f>E21</f>
        <v>6048.0210999999999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23084.05</v>
      </c>
      <c r="E21" s="26">
        <f>E22</f>
        <v>6048.0210999999999</v>
      </c>
    </row>
    <row r="22" spans="1:5" x14ac:dyDescent="0.25">
      <c r="A22" s="20"/>
      <c r="B22" s="20" t="s">
        <v>25</v>
      </c>
      <c r="C22" s="20"/>
      <c r="D22" s="20">
        <v>23084.05</v>
      </c>
      <c r="E22" s="28">
        <f>D22*26.2%</f>
        <v>6048.0210999999999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/>
      <c r="B25" s="31" t="s">
        <v>118</v>
      </c>
      <c r="C25" s="20"/>
      <c r="D25" s="20">
        <f>2482.14-200</f>
        <v>2282.14</v>
      </c>
      <c r="E25" s="28"/>
    </row>
    <row r="26" spans="1:5" x14ac:dyDescent="0.25">
      <c r="A26" s="20">
        <v>2</v>
      </c>
      <c r="B26" s="27" t="s">
        <v>28</v>
      </c>
      <c r="C26" s="20"/>
      <c r="D26" s="20">
        <v>1873.33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63351.28</v>
      </c>
      <c r="E27" s="26">
        <f>E28</f>
        <v>13770.769780000001</v>
      </c>
    </row>
    <row r="28" spans="1:5" x14ac:dyDescent="0.25">
      <c r="A28" s="20">
        <v>1</v>
      </c>
      <c r="B28" s="31" t="s">
        <v>31</v>
      </c>
      <c r="C28" s="20"/>
      <c r="D28" s="31">
        <v>52560.19</v>
      </c>
      <c r="E28" s="28">
        <f>D28*26.2%</f>
        <v>13770.769780000001</v>
      </c>
    </row>
    <row r="29" spans="1:5" x14ac:dyDescent="0.25">
      <c r="A29" s="20">
        <v>2</v>
      </c>
      <c r="B29" s="31" t="s">
        <v>28</v>
      </c>
      <c r="C29" s="20"/>
      <c r="D29" s="31">
        <v>10791.09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D31+D32+D33+D34+D35+D36+D37+D38</f>
        <v>77116.680499999988</v>
      </c>
      <c r="E30" s="20"/>
    </row>
    <row r="31" spans="1:5" x14ac:dyDescent="0.25">
      <c r="A31" s="20"/>
      <c r="B31" s="20" t="s">
        <v>34</v>
      </c>
      <c r="C31" s="20"/>
      <c r="D31" s="28">
        <f>D17*5%</f>
        <v>19400.530500000001</v>
      </c>
      <c r="E31" s="20"/>
    </row>
    <row r="32" spans="1:5" x14ac:dyDescent="0.25">
      <c r="A32" s="20"/>
      <c r="B32" s="31" t="s">
        <v>58</v>
      </c>
      <c r="C32" s="20"/>
      <c r="D32" s="20">
        <f>4*84.52</f>
        <v>338.08</v>
      </c>
      <c r="E32" s="20"/>
    </row>
    <row r="33" spans="1:5" x14ac:dyDescent="0.25">
      <c r="A33" s="20"/>
      <c r="B33" s="20" t="s">
        <v>36</v>
      </c>
      <c r="C33" s="20"/>
      <c r="D33" s="28">
        <v>10664.28</v>
      </c>
      <c r="E33" s="20"/>
    </row>
    <row r="34" spans="1:5" x14ac:dyDescent="0.25">
      <c r="A34" s="20"/>
      <c r="B34" s="31" t="s">
        <v>140</v>
      </c>
      <c r="C34" s="20"/>
      <c r="D34" s="20">
        <v>16418</v>
      </c>
      <c r="E34" s="20"/>
    </row>
    <row r="35" spans="1:5" x14ac:dyDescent="0.25">
      <c r="A35" s="20"/>
      <c r="B35" s="27" t="s">
        <v>38</v>
      </c>
      <c r="C35" s="20"/>
      <c r="D35" s="20">
        <v>1612.78</v>
      </c>
      <c r="E35" s="20"/>
    </row>
    <row r="36" spans="1:5" x14ac:dyDescent="0.25">
      <c r="A36" s="20"/>
      <c r="B36" s="27" t="s">
        <v>84</v>
      </c>
      <c r="C36" s="20"/>
      <c r="D36" s="20">
        <v>24117.13</v>
      </c>
      <c r="E36" s="20"/>
    </row>
    <row r="37" spans="1:5" x14ac:dyDescent="0.25">
      <c r="A37" s="20"/>
      <c r="B37" s="27" t="s">
        <v>37</v>
      </c>
      <c r="C37" s="20"/>
      <c r="D37" s="20">
        <v>1176.7</v>
      </c>
      <c r="E37" s="20"/>
    </row>
    <row r="38" spans="1:5" x14ac:dyDescent="0.25">
      <c r="A38" s="20"/>
      <c r="B38" s="20" t="s">
        <v>41</v>
      </c>
      <c r="C38" s="20"/>
      <c r="D38" s="20">
        <v>3389.18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29534.720000000001</v>
      </c>
      <c r="E39" s="26">
        <f>E40</f>
        <v>6350.4529400000001</v>
      </c>
    </row>
    <row r="40" spans="1:5" x14ac:dyDescent="0.25">
      <c r="A40" s="20"/>
      <c r="B40" s="31" t="s">
        <v>43</v>
      </c>
      <c r="C40" s="31"/>
      <c r="D40" s="33">
        <v>24238.37</v>
      </c>
      <c r="E40" s="28">
        <f>D40*26.2%</f>
        <v>6350.4529400000001</v>
      </c>
    </row>
    <row r="41" spans="1:5" x14ac:dyDescent="0.25">
      <c r="A41" s="20"/>
      <c r="B41" s="27" t="s">
        <v>44</v>
      </c>
      <c r="C41" s="20"/>
      <c r="D41" s="33">
        <v>5296.35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D20+E20+D27+E27+D30+D39+E39</f>
        <v>223411.44431999998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23280.636599999998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246692.08091999998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D14+D16-D44</f>
        <v>99667.68908000004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190021.75908000005</v>
      </c>
      <c r="E47" s="20"/>
    </row>
    <row r="48" spans="1:5" x14ac:dyDescent="0.25">
      <c r="A48" s="34"/>
      <c r="B48" s="35" t="s">
        <v>18</v>
      </c>
      <c r="C48" s="34"/>
      <c r="D48" s="36">
        <v>41650.839999999997</v>
      </c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4">
    <mergeCell ref="A4:B4"/>
    <mergeCell ref="C4:D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A4" sqref="A4:E4"/>
    </sheetView>
  </sheetViews>
  <sheetFormatPr defaultRowHeight="15" x14ac:dyDescent="0.25"/>
  <cols>
    <col min="2" max="2" width="42.85546875" customWidth="1"/>
    <col min="4" max="4" width="11.7109375" customWidth="1"/>
    <col min="5" max="5" width="10.855468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141</v>
      </c>
    </row>
    <row r="4" spans="1:5" x14ac:dyDescent="0.25">
      <c r="A4" s="576"/>
      <c r="B4" s="576"/>
      <c r="C4" s="576"/>
      <c r="D4" s="577"/>
      <c r="E4" s="59"/>
    </row>
    <row r="5" spans="1:5" x14ac:dyDescent="0.25">
      <c r="A5" s="2"/>
      <c r="B5" s="2"/>
      <c r="C5" s="2"/>
      <c r="D5" s="3"/>
      <c r="E5" s="60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60</v>
      </c>
      <c r="D7" s="580" t="s">
        <v>139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-210922.25</v>
      </c>
      <c r="E9" s="11"/>
    </row>
    <row r="10" spans="1:5" x14ac:dyDescent="0.25">
      <c r="A10" s="13"/>
      <c r="B10" s="14" t="s">
        <v>11</v>
      </c>
      <c r="C10" s="12" t="s">
        <v>62</v>
      </c>
      <c r="D10" s="17">
        <v>6474.6</v>
      </c>
      <c r="E10" s="13"/>
    </row>
    <row r="11" spans="1:5" x14ac:dyDescent="0.25">
      <c r="A11" s="13"/>
      <c r="B11" s="14" t="s">
        <v>13</v>
      </c>
      <c r="C11" s="12" t="s">
        <v>62</v>
      </c>
      <c r="D11" s="17">
        <v>4985.3</v>
      </c>
      <c r="E11" s="13"/>
    </row>
    <row r="12" spans="1:5" x14ac:dyDescent="0.25">
      <c r="A12" s="13"/>
      <c r="B12" s="15" t="s">
        <v>14</v>
      </c>
      <c r="C12" s="12" t="s">
        <v>15</v>
      </c>
      <c r="D12" s="13">
        <f>103589.88*2</f>
        <v>207179.76</v>
      </c>
      <c r="E12" s="13"/>
    </row>
    <row r="13" spans="1:5" ht="15.75" x14ac:dyDescent="0.25">
      <c r="A13" s="13"/>
      <c r="B13" s="16" t="s">
        <v>16</v>
      </c>
      <c r="C13" s="9"/>
      <c r="D13" s="13"/>
      <c r="E13" s="13"/>
    </row>
    <row r="14" spans="1:5" x14ac:dyDescent="0.25">
      <c r="A14" s="13">
        <v>1</v>
      </c>
      <c r="B14" s="13" t="s">
        <v>17</v>
      </c>
      <c r="C14" s="12" t="s">
        <v>15</v>
      </c>
      <c r="D14" s="13">
        <v>196199.24</v>
      </c>
      <c r="E14" s="13"/>
    </row>
    <row r="15" spans="1:5" x14ac:dyDescent="0.25">
      <c r="A15" s="13"/>
      <c r="B15" s="13"/>
      <c r="C15" s="9"/>
      <c r="D15" s="13"/>
      <c r="E15" s="13"/>
    </row>
    <row r="16" spans="1:5" ht="15.75" x14ac:dyDescent="0.25">
      <c r="A16" s="13"/>
      <c r="B16" s="16" t="s">
        <v>19</v>
      </c>
      <c r="C16" s="9"/>
      <c r="D16" s="19">
        <f>D14</f>
        <v>196199.24</v>
      </c>
      <c r="E16" s="13"/>
    </row>
    <row r="17" spans="1:5" ht="15.75" x14ac:dyDescent="0.25">
      <c r="A17" s="13"/>
      <c r="B17" s="16"/>
      <c r="C17" s="9"/>
      <c r="D17" s="19"/>
      <c r="E17" s="13"/>
    </row>
    <row r="18" spans="1:5" ht="15.75" x14ac:dyDescent="0.25">
      <c r="A18" s="20"/>
      <c r="B18" s="21" t="s">
        <v>20</v>
      </c>
      <c r="C18" s="20"/>
      <c r="D18" s="22"/>
      <c r="E18" s="23" t="s">
        <v>21</v>
      </c>
    </row>
    <row r="19" spans="1:5" x14ac:dyDescent="0.25">
      <c r="A19" s="24" t="s">
        <v>22</v>
      </c>
      <c r="B19" s="25" t="s">
        <v>23</v>
      </c>
      <c r="C19" s="20"/>
      <c r="D19" s="26">
        <f>D20+D26+D24+D25</f>
        <v>86797.05</v>
      </c>
      <c r="E19" s="26">
        <f>E20</f>
        <v>19557.10528</v>
      </c>
    </row>
    <row r="20" spans="1:5" x14ac:dyDescent="0.25">
      <c r="A20" s="20">
        <v>1</v>
      </c>
      <c r="B20" s="22" t="s">
        <v>24</v>
      </c>
      <c r="C20" s="27" t="s">
        <v>15</v>
      </c>
      <c r="D20" s="26">
        <f>D21+D22+D23</f>
        <v>74645.440000000002</v>
      </c>
      <c r="E20" s="26">
        <f>E21+E22+E23</f>
        <v>19557.10528</v>
      </c>
    </row>
    <row r="21" spans="1:5" x14ac:dyDescent="0.25">
      <c r="A21" s="20"/>
      <c r="B21" s="20" t="s">
        <v>25</v>
      </c>
      <c r="C21" s="20"/>
      <c r="D21" s="20">
        <v>13368.27</v>
      </c>
      <c r="E21" s="28">
        <f>D21*26.2%</f>
        <v>3502.4867400000003</v>
      </c>
    </row>
    <row r="22" spans="1:5" x14ac:dyDescent="0.25">
      <c r="A22" s="20"/>
      <c r="B22" s="20" t="s">
        <v>26</v>
      </c>
      <c r="C22" s="20"/>
      <c r="D22" s="29">
        <v>23288.51</v>
      </c>
      <c r="E22" s="28">
        <f>D22*26.2%</f>
        <v>6101.5896199999997</v>
      </c>
    </row>
    <row r="23" spans="1:5" x14ac:dyDescent="0.25">
      <c r="A23" s="20"/>
      <c r="B23" s="20" t="s">
        <v>27</v>
      </c>
      <c r="C23" s="20"/>
      <c r="D23" s="20">
        <v>37988.660000000003</v>
      </c>
      <c r="E23" s="28">
        <f>D23*26.2%</f>
        <v>9953.0289200000007</v>
      </c>
    </row>
    <row r="24" spans="1:5" x14ac:dyDescent="0.25">
      <c r="A24" s="20"/>
      <c r="B24" s="31" t="s">
        <v>118</v>
      </c>
      <c r="C24" s="20"/>
      <c r="D24" s="20">
        <v>575.29</v>
      </c>
      <c r="E24" s="28"/>
    </row>
    <row r="25" spans="1:5" x14ac:dyDescent="0.25">
      <c r="A25" s="20"/>
      <c r="B25" s="20" t="s">
        <v>131</v>
      </c>
      <c r="C25" s="20"/>
      <c r="D25" s="20">
        <v>10000</v>
      </c>
      <c r="E25" s="28"/>
    </row>
    <row r="26" spans="1:5" x14ac:dyDescent="0.25">
      <c r="A26" s="20">
        <v>2</v>
      </c>
      <c r="B26" s="27" t="s">
        <v>28</v>
      </c>
      <c r="C26" s="20"/>
      <c r="D26" s="20">
        <v>1576.32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50974.69</v>
      </c>
      <c r="E27" s="26">
        <f>E28</f>
        <v>11587.494960000002</v>
      </c>
    </row>
    <row r="28" spans="1:5" x14ac:dyDescent="0.25">
      <c r="A28" s="20">
        <v>1</v>
      </c>
      <c r="B28" s="31" t="s">
        <v>31</v>
      </c>
      <c r="C28" s="20"/>
      <c r="D28" s="31">
        <v>44227.08</v>
      </c>
      <c r="E28" s="28">
        <f>D28*26.2%</f>
        <v>11587.494960000002</v>
      </c>
    </row>
    <row r="29" spans="1:5" x14ac:dyDescent="0.25">
      <c r="A29" s="20">
        <v>2</v>
      </c>
      <c r="B29" s="31" t="s">
        <v>28</v>
      </c>
      <c r="C29" s="20"/>
      <c r="D29" s="31">
        <v>6747.61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</f>
        <v>42988.972079999992</v>
      </c>
      <c r="E30" s="20"/>
    </row>
    <row r="31" spans="1:5" x14ac:dyDescent="0.25">
      <c r="A31" s="20"/>
      <c r="B31" s="20" t="s">
        <v>34</v>
      </c>
      <c r="C31" s="20"/>
      <c r="D31" s="28">
        <f>D16*14.2%</f>
        <v>27860.292079999996</v>
      </c>
      <c r="E31" s="20"/>
    </row>
    <row r="32" spans="1:5" x14ac:dyDescent="0.25">
      <c r="A32" s="20"/>
      <c r="B32" s="31" t="s">
        <v>35</v>
      </c>
      <c r="C32" s="20"/>
      <c r="D32" s="20">
        <v>618</v>
      </c>
      <c r="E32" s="20"/>
    </row>
    <row r="33" spans="1:5" x14ac:dyDescent="0.25">
      <c r="A33" s="20"/>
      <c r="B33" s="20" t="s">
        <v>36</v>
      </c>
      <c r="C33" s="20"/>
      <c r="D33" s="28">
        <v>8973.51</v>
      </c>
      <c r="E33" s="20"/>
    </row>
    <row r="34" spans="1:5" x14ac:dyDescent="0.25">
      <c r="A34" s="20"/>
      <c r="B34" s="31" t="s">
        <v>58</v>
      </c>
      <c r="C34" s="20"/>
      <c r="D34" s="20">
        <f>4*84.52</f>
        <v>338.08</v>
      </c>
      <c r="E34" s="20"/>
    </row>
    <row r="35" spans="1:5" x14ac:dyDescent="0.25">
      <c r="A35" s="20"/>
      <c r="B35" s="27" t="s">
        <v>38</v>
      </c>
      <c r="C35" s="20"/>
      <c r="D35" s="20">
        <v>1357.09</v>
      </c>
      <c r="E35" s="20"/>
    </row>
    <row r="36" spans="1:5" x14ac:dyDescent="0.25">
      <c r="A36" s="20"/>
      <c r="B36" s="31" t="s">
        <v>37</v>
      </c>
      <c r="C36" s="20"/>
      <c r="D36" s="20">
        <v>990.15</v>
      </c>
      <c r="E36" s="20"/>
    </row>
    <row r="37" spans="1:5" x14ac:dyDescent="0.25">
      <c r="A37" s="20"/>
      <c r="B37" s="20" t="s">
        <v>41</v>
      </c>
      <c r="C37" s="20"/>
      <c r="D37" s="20">
        <v>2851.85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24852.22</v>
      </c>
      <c r="E38" s="26">
        <f>E39</f>
        <v>5343.6367200000004</v>
      </c>
    </row>
    <row r="39" spans="1:5" x14ac:dyDescent="0.25">
      <c r="A39" s="20"/>
      <c r="B39" s="31" t="s">
        <v>43</v>
      </c>
      <c r="C39" s="31"/>
      <c r="D39" s="33">
        <v>20395.560000000001</v>
      </c>
      <c r="E39" s="28">
        <f>D39*26.2%</f>
        <v>5343.6367200000004</v>
      </c>
    </row>
    <row r="40" spans="1:5" x14ac:dyDescent="0.25">
      <c r="A40" s="20"/>
      <c r="B40" s="31" t="s">
        <v>44</v>
      </c>
      <c r="C40" s="20"/>
      <c r="D40" s="33">
        <v>4456.66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D19+E19+D27+E27+D30+D38+E38</f>
        <v>242101.16904000004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D16*6%</f>
        <v>11771.954399999999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253873.12344000002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142</v>
      </c>
      <c r="C45" s="20"/>
      <c r="D45" s="26">
        <f>D16-D43</f>
        <v>-57673.883440000034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D9+D45</f>
        <v>-268596.13344000001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4">
    <mergeCell ref="A4:B4"/>
    <mergeCell ref="C4:D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E12" sqref="E12"/>
    </sheetView>
  </sheetViews>
  <sheetFormatPr defaultRowHeight="15" x14ac:dyDescent="0.25"/>
  <cols>
    <col min="2" max="2" width="40.5703125" customWidth="1"/>
    <col min="4" max="4" width="10.425781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143</v>
      </c>
    </row>
    <row r="5" spans="1:5" x14ac:dyDescent="0.25">
      <c r="B5" t="s">
        <v>144</v>
      </c>
    </row>
    <row r="6" spans="1:5" x14ac:dyDescent="0.25">
      <c r="A6" s="577"/>
      <c r="B6" s="577"/>
      <c r="C6" s="577"/>
      <c r="D6" s="61"/>
      <c r="E6" s="59"/>
    </row>
    <row r="7" spans="1:5" x14ac:dyDescent="0.25">
      <c r="A7" s="5"/>
      <c r="B7" s="5"/>
      <c r="C7" s="5"/>
      <c r="D7" s="476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92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6571.05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1285.6199999999999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901.3</v>
      </c>
      <c r="E13" s="13"/>
    </row>
    <row r="14" spans="1:5" x14ac:dyDescent="0.25">
      <c r="A14" s="13"/>
      <c r="B14" s="15" t="s">
        <v>14</v>
      </c>
      <c r="C14" s="13" t="s">
        <v>15</v>
      </c>
      <c r="D14" s="19">
        <f>17332.05*2</f>
        <v>34664.1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33893.65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33893.65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10265.199999999999</v>
      </c>
      <c r="E22" s="26">
        <f>E23</f>
        <v>2614.81502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9980.2099999999991</v>
      </c>
      <c r="E23" s="26">
        <f>E24</f>
        <v>2614.81502</v>
      </c>
    </row>
    <row r="24" spans="1:5" x14ac:dyDescent="0.25">
      <c r="A24" s="20"/>
      <c r="B24" s="20" t="s">
        <v>25</v>
      </c>
      <c r="C24" s="20"/>
      <c r="D24" s="20">
        <v>9980.2099999999991</v>
      </c>
      <c r="E24" s="28">
        <f>D24*26.2%</f>
        <v>2614.81502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284.99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8289.8799999999992</v>
      </c>
      <c r="E28" s="26">
        <f>E29</f>
        <v>2094.9258</v>
      </c>
    </row>
    <row r="29" spans="1:5" x14ac:dyDescent="0.25">
      <c r="A29" s="20">
        <v>1</v>
      </c>
      <c r="B29" s="31" t="s">
        <v>31</v>
      </c>
      <c r="C29" s="20"/>
      <c r="D29" s="31">
        <v>7995.9</v>
      </c>
      <c r="E29" s="28">
        <f>D29*26.2%</f>
        <v>2094.9258</v>
      </c>
    </row>
    <row r="30" spans="1:5" x14ac:dyDescent="0.25">
      <c r="A30" s="20">
        <v>2</v>
      </c>
      <c r="B30" s="31" t="s">
        <v>28</v>
      </c>
      <c r="C30" s="20"/>
      <c r="D30" s="31">
        <v>293.98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</f>
        <v>4256.9724999999999</v>
      </c>
      <c r="E31" s="20"/>
    </row>
    <row r="32" spans="1:5" x14ac:dyDescent="0.25">
      <c r="A32" s="20"/>
      <c r="B32" s="20" t="s">
        <v>34</v>
      </c>
      <c r="C32" s="20"/>
      <c r="D32" s="28">
        <f>D19*5%</f>
        <v>1694.6825000000001</v>
      </c>
      <c r="E32" s="20"/>
    </row>
    <row r="33" spans="1:5" x14ac:dyDescent="0.25">
      <c r="A33" s="20"/>
      <c r="B33" s="31" t="s">
        <v>36</v>
      </c>
      <c r="C33" s="20"/>
      <c r="D33" s="28">
        <v>1622.34</v>
      </c>
      <c r="E33" s="20"/>
    </row>
    <row r="34" spans="1:5" x14ac:dyDescent="0.25">
      <c r="A34" s="20"/>
      <c r="B34" s="27" t="s">
        <v>37</v>
      </c>
      <c r="C34" s="20"/>
      <c r="D34" s="20">
        <v>179.01</v>
      </c>
      <c r="E34" s="20"/>
    </row>
    <row r="35" spans="1:5" x14ac:dyDescent="0.25">
      <c r="A35" s="20"/>
      <c r="B35" s="27" t="s">
        <v>38</v>
      </c>
      <c r="C35" s="20"/>
      <c r="D35" s="20">
        <v>245.35</v>
      </c>
      <c r="E35" s="20"/>
    </row>
    <row r="36" spans="1:5" x14ac:dyDescent="0.25">
      <c r="A36" s="20"/>
      <c r="B36" s="31" t="s">
        <v>41</v>
      </c>
      <c r="C36" s="20"/>
      <c r="D36" s="20">
        <v>515.59</v>
      </c>
      <c r="E36" s="20"/>
    </row>
    <row r="37" spans="1:5" x14ac:dyDescent="0.25">
      <c r="A37" s="20">
        <v>4</v>
      </c>
      <c r="B37" s="22" t="s">
        <v>42</v>
      </c>
      <c r="C37" s="20"/>
      <c r="D37" s="26">
        <f>D38+D39</f>
        <v>4493.08</v>
      </c>
      <c r="E37" s="26">
        <f>E38</f>
        <v>966.08569999999997</v>
      </c>
    </row>
    <row r="38" spans="1:5" x14ac:dyDescent="0.25">
      <c r="A38" s="20"/>
      <c r="B38" s="31" t="s">
        <v>43</v>
      </c>
      <c r="C38" s="31"/>
      <c r="D38" s="33">
        <v>3687.35</v>
      </c>
      <c r="E38" s="28">
        <f>D38*26.2%</f>
        <v>966.08569999999997</v>
      </c>
    </row>
    <row r="39" spans="1:5" x14ac:dyDescent="0.25">
      <c r="A39" s="20"/>
      <c r="B39" s="31" t="s">
        <v>44</v>
      </c>
      <c r="C39" s="20"/>
      <c r="D39" s="33">
        <v>805.73</v>
      </c>
      <c r="E39" s="20"/>
    </row>
    <row r="40" spans="1:5" x14ac:dyDescent="0.25">
      <c r="A40" s="20">
        <v>5</v>
      </c>
      <c r="B40" s="22" t="s">
        <v>45</v>
      </c>
      <c r="C40" s="20"/>
      <c r="D40" s="26">
        <f>D22+E22+D28+E28+D31+D37+E37</f>
        <v>32980.959020000002</v>
      </c>
      <c r="E40" s="20"/>
    </row>
    <row r="41" spans="1:5" x14ac:dyDescent="0.25">
      <c r="A41" s="20">
        <v>6</v>
      </c>
      <c r="B41" s="20" t="s">
        <v>46</v>
      </c>
      <c r="C41" s="20"/>
      <c r="D41" s="26">
        <f>D19*6%</f>
        <v>2033.6189999999999</v>
      </c>
      <c r="E41" s="20"/>
    </row>
    <row r="42" spans="1:5" x14ac:dyDescent="0.25">
      <c r="A42" s="20">
        <v>7</v>
      </c>
      <c r="B42" s="22" t="s">
        <v>47</v>
      </c>
      <c r="C42" s="20"/>
      <c r="D42" s="26">
        <f>D40+D41</f>
        <v>35014.578020000001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59</v>
      </c>
      <c r="C44" s="20"/>
      <c r="D44" s="26">
        <f>D19-D42</f>
        <v>-1120.9280199999994</v>
      </c>
      <c r="E44" s="20"/>
    </row>
    <row r="45" spans="1:5" x14ac:dyDescent="0.25">
      <c r="A45" s="20">
        <v>9</v>
      </c>
      <c r="B45" s="22" t="s">
        <v>49</v>
      </c>
      <c r="C45" s="20"/>
      <c r="D45" s="26">
        <f>D11+D44</f>
        <v>5450.1219800000008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L43" sqref="L43"/>
    </sheetView>
  </sheetViews>
  <sheetFormatPr defaultRowHeight="15" x14ac:dyDescent="0.25"/>
  <cols>
    <col min="1" max="1" width="8.28515625" customWidth="1"/>
    <col min="2" max="2" width="40" customWidth="1"/>
    <col min="4" max="4" width="11.710937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145</v>
      </c>
    </row>
    <row r="5" spans="1:5" x14ac:dyDescent="0.25">
      <c r="B5" t="s">
        <v>3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57</v>
      </c>
      <c r="E8" s="581"/>
    </row>
    <row r="9" spans="1:5" x14ac:dyDescent="0.25">
      <c r="A9" s="9"/>
      <c r="B9" s="12"/>
      <c r="C9" s="9"/>
      <c r="D9" s="10"/>
      <c r="E9" s="11"/>
    </row>
    <row r="10" spans="1:5" x14ac:dyDescent="0.25">
      <c r="A10" s="9"/>
      <c r="B10" s="12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-5763.68</v>
      </c>
      <c r="E11" s="11"/>
    </row>
    <row r="12" spans="1:5" x14ac:dyDescent="0.25">
      <c r="A12" s="13"/>
      <c r="B12" s="14" t="s">
        <v>11</v>
      </c>
      <c r="C12" s="13" t="s">
        <v>12</v>
      </c>
      <c r="D12" s="17">
        <v>4710.8999999999996</v>
      </c>
      <c r="E12" s="13"/>
    </row>
    <row r="13" spans="1:5" x14ac:dyDescent="0.25">
      <c r="A13" s="13"/>
      <c r="B13" s="14" t="s">
        <v>13</v>
      </c>
      <c r="C13" s="13" t="s">
        <v>12</v>
      </c>
      <c r="D13" s="17">
        <v>2911.8</v>
      </c>
      <c r="E13" s="13"/>
    </row>
    <row r="14" spans="1:5" x14ac:dyDescent="0.25">
      <c r="A14" s="13"/>
      <c r="B14" s="15" t="s">
        <v>14</v>
      </c>
      <c r="C14" s="13" t="s">
        <v>15</v>
      </c>
      <c r="D14" s="18">
        <f>55993.95*2</f>
        <v>111987.9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96919.24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96919.24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16273.810000000001</v>
      </c>
      <c r="E22" s="26">
        <f>E23</f>
        <v>4022.5174400000005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15353.12</v>
      </c>
      <c r="E23" s="26">
        <f>E24</f>
        <v>4022.5174400000005</v>
      </c>
    </row>
    <row r="24" spans="1:5" x14ac:dyDescent="0.25">
      <c r="A24" s="20"/>
      <c r="B24" s="20" t="s">
        <v>25</v>
      </c>
      <c r="C24" s="20"/>
      <c r="D24" s="20">
        <v>15353.12</v>
      </c>
      <c r="E24" s="28">
        <f>D24*26.2%</f>
        <v>4022.5174400000005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920.69</v>
      </c>
      <c r="E27" s="28"/>
    </row>
    <row r="28" spans="1:5" x14ac:dyDescent="0.25">
      <c r="A28" s="24" t="s">
        <v>29</v>
      </c>
      <c r="B28" s="30" t="s">
        <v>30</v>
      </c>
      <c r="C28" s="20"/>
      <c r="D28" s="26">
        <f>D29+D30+D31</f>
        <v>31130.350000000002</v>
      </c>
      <c r="E28" s="26">
        <f>E29</f>
        <v>6768.0049600000011</v>
      </c>
    </row>
    <row r="29" spans="1:5" x14ac:dyDescent="0.25">
      <c r="A29" s="20">
        <v>1</v>
      </c>
      <c r="B29" s="31" t="s">
        <v>31</v>
      </c>
      <c r="C29" s="20"/>
      <c r="D29" s="31">
        <v>25832.080000000002</v>
      </c>
      <c r="E29" s="28">
        <f>D29*26.2%</f>
        <v>6768.0049600000011</v>
      </c>
    </row>
    <row r="30" spans="1:5" x14ac:dyDescent="0.25">
      <c r="A30" s="20">
        <v>2</v>
      </c>
      <c r="B30" s="31" t="s">
        <v>28</v>
      </c>
      <c r="C30" s="20"/>
      <c r="D30" s="31">
        <v>5298.27</v>
      </c>
      <c r="E30" s="20"/>
    </row>
    <row r="31" spans="1:5" x14ac:dyDescent="0.25">
      <c r="A31" s="20">
        <v>3</v>
      </c>
      <c r="B31" s="31" t="s">
        <v>146</v>
      </c>
      <c r="C31" s="20"/>
      <c r="D31" s="33">
        <v>0</v>
      </c>
      <c r="E31" s="20"/>
    </row>
    <row r="32" spans="1:5" x14ac:dyDescent="0.25">
      <c r="A32" s="24" t="s">
        <v>32</v>
      </c>
      <c r="B32" s="22" t="s">
        <v>33</v>
      </c>
      <c r="C32" s="20"/>
      <c r="D32" s="26">
        <f>D33+D34+D35+D36+D37+D38</f>
        <v>13461.941999999999</v>
      </c>
      <c r="E32" s="20"/>
    </row>
    <row r="33" spans="1:5" x14ac:dyDescent="0.25">
      <c r="A33" s="20"/>
      <c r="B33" s="20" t="s">
        <v>34</v>
      </c>
      <c r="C33" s="20"/>
      <c r="D33" s="28">
        <f>D19*5%</f>
        <v>4845.9620000000004</v>
      </c>
      <c r="E33" s="20"/>
    </row>
    <row r="34" spans="1:5" x14ac:dyDescent="0.25">
      <c r="A34" s="20"/>
      <c r="B34" s="31" t="s">
        <v>58</v>
      </c>
      <c r="C34" s="20"/>
      <c r="D34" s="20">
        <f>4*84.52</f>
        <v>338.08</v>
      </c>
      <c r="E34" s="20"/>
    </row>
    <row r="35" spans="1:5" x14ac:dyDescent="0.25">
      <c r="A35" s="20"/>
      <c r="B35" s="20" t="s">
        <v>36</v>
      </c>
      <c r="C35" s="20"/>
      <c r="D35" s="28">
        <v>5241.24</v>
      </c>
      <c r="E35" s="20"/>
    </row>
    <row r="36" spans="1:5" x14ac:dyDescent="0.25">
      <c r="A36" s="20"/>
      <c r="B36" s="31" t="s">
        <v>37</v>
      </c>
      <c r="C36" s="20"/>
      <c r="D36" s="20">
        <v>578.32000000000005</v>
      </c>
      <c r="E36" s="20"/>
    </row>
    <row r="37" spans="1:5" x14ac:dyDescent="0.25">
      <c r="A37" s="20"/>
      <c r="B37" s="27" t="s">
        <v>38</v>
      </c>
      <c r="C37" s="20"/>
      <c r="D37" s="20">
        <v>792.64</v>
      </c>
      <c r="E37" s="20"/>
    </row>
    <row r="38" spans="1:5" x14ac:dyDescent="0.25">
      <c r="A38" s="20"/>
      <c r="B38" s="31" t="s">
        <v>41</v>
      </c>
      <c r="C38" s="20"/>
      <c r="D38" s="20">
        <v>1665.7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14515.61</v>
      </c>
      <c r="E39" s="26">
        <f>E40</f>
        <v>3121.0959600000001</v>
      </c>
    </row>
    <row r="40" spans="1:5" x14ac:dyDescent="0.25">
      <c r="A40" s="20"/>
      <c r="B40" s="31" t="s">
        <v>43</v>
      </c>
      <c r="C40" s="31"/>
      <c r="D40" s="33">
        <v>11912.58</v>
      </c>
      <c r="E40" s="28">
        <f>D40*26.2%</f>
        <v>3121.0959600000001</v>
      </c>
    </row>
    <row r="41" spans="1:5" x14ac:dyDescent="0.25">
      <c r="A41" s="20"/>
      <c r="B41" s="20" t="s">
        <v>44</v>
      </c>
      <c r="C41" s="20"/>
      <c r="D41" s="33">
        <v>2603.0300000000002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D22+E22+D28+E28+D32+D39+E39</f>
        <v>89293.330360000007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D19*6%</f>
        <v>5815.1544000000004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95108.484760000007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D19-D44</f>
        <v>1810.7552399999986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D11+D46</f>
        <v>-3952.9247600000017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t="s">
        <v>50</v>
      </c>
      <c r="D49" t="s">
        <v>51</v>
      </c>
      <c r="E49" s="34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B7" sqref="B7"/>
    </sheetView>
  </sheetViews>
  <sheetFormatPr defaultRowHeight="15" x14ac:dyDescent="0.25"/>
  <cols>
    <col min="1" max="1" width="7.85546875" customWidth="1"/>
    <col min="2" max="2" width="41.28515625" customWidth="1"/>
    <col min="4" max="5" width="11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147</v>
      </c>
    </row>
    <row r="5" spans="1:5" x14ac:dyDescent="0.25">
      <c r="A5" s="577"/>
      <c r="B5" s="577"/>
      <c r="C5" s="577"/>
      <c r="D5" s="61"/>
      <c r="E5" s="59"/>
    </row>
    <row r="6" spans="1:5" x14ac:dyDescent="0.25">
      <c r="A6" s="5"/>
      <c r="B6" s="5"/>
      <c r="C6" s="5"/>
      <c r="D6" s="3"/>
      <c r="E6" s="60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92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1319.19</v>
      </c>
      <c r="E10" s="11"/>
    </row>
    <row r="11" spans="1:5" x14ac:dyDescent="0.25">
      <c r="A11" s="13"/>
      <c r="B11" s="14" t="s">
        <v>11</v>
      </c>
      <c r="C11" s="13" t="s">
        <v>12</v>
      </c>
      <c r="D11" s="17">
        <v>1084.9000000000001</v>
      </c>
      <c r="E11" s="13"/>
    </row>
    <row r="12" spans="1:5" x14ac:dyDescent="0.25">
      <c r="A12" s="13"/>
      <c r="B12" s="14" t="s">
        <v>13</v>
      </c>
      <c r="C12" s="13" t="s">
        <v>12</v>
      </c>
      <c r="D12" s="13">
        <v>604.88</v>
      </c>
      <c r="E12" s="13"/>
    </row>
    <row r="13" spans="1:5" x14ac:dyDescent="0.25">
      <c r="A13" s="13"/>
      <c r="B13" s="15" t="s">
        <v>14</v>
      </c>
      <c r="C13" s="13" t="s">
        <v>15</v>
      </c>
      <c r="D13" s="19">
        <f>11962.68*2</f>
        <v>23925.360000000001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3">
        <v>21183.54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19</v>
      </c>
      <c r="C18" s="13"/>
      <c r="D18" s="19">
        <f>D16</f>
        <v>21183.54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10192.69</v>
      </c>
      <c r="E21" s="26">
        <f>E22</f>
        <v>2620.36942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10001.41</v>
      </c>
      <c r="E22" s="26">
        <f>E23</f>
        <v>2620.36942</v>
      </c>
    </row>
    <row r="23" spans="1:5" x14ac:dyDescent="0.25">
      <c r="A23" s="20"/>
      <c r="B23" s="20" t="s">
        <v>25</v>
      </c>
      <c r="C23" s="20"/>
      <c r="D23" s="20">
        <v>10001.41</v>
      </c>
      <c r="E23" s="28">
        <f>D23*26.2%</f>
        <v>2620.36942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191.28</v>
      </c>
      <c r="E26" s="28"/>
    </row>
    <row r="27" spans="1:5" x14ac:dyDescent="0.25">
      <c r="A27" s="24" t="s">
        <v>29</v>
      </c>
      <c r="B27" s="30" t="s">
        <v>30</v>
      </c>
      <c r="C27" s="31" t="s">
        <v>15</v>
      </c>
      <c r="D27" s="22">
        <f>D28+D29</f>
        <v>5377.16</v>
      </c>
      <c r="E27" s="26">
        <f>E28</f>
        <v>1405.9444000000001</v>
      </c>
    </row>
    <row r="28" spans="1:5" x14ac:dyDescent="0.25">
      <c r="A28" s="20">
        <v>1</v>
      </c>
      <c r="B28" s="31" t="s">
        <v>31</v>
      </c>
      <c r="C28" s="20"/>
      <c r="D28" s="31">
        <v>5366.2</v>
      </c>
      <c r="E28" s="28">
        <f>D28*26.2%</f>
        <v>1405.9444000000001</v>
      </c>
    </row>
    <row r="29" spans="1:5" x14ac:dyDescent="0.25">
      <c r="A29" s="20">
        <v>2</v>
      </c>
      <c r="B29" s="31" t="s">
        <v>28</v>
      </c>
      <c r="C29" s="20"/>
      <c r="D29" s="31">
        <v>10.96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</f>
        <v>2778.777</v>
      </c>
      <c r="E30" s="20"/>
    </row>
    <row r="31" spans="1:5" x14ac:dyDescent="0.25">
      <c r="A31" s="20"/>
      <c r="B31" s="20" t="s">
        <v>34</v>
      </c>
      <c r="C31" s="20"/>
      <c r="D31" s="28">
        <f>D18*5%</f>
        <v>1059.1770000000001</v>
      </c>
      <c r="E31" s="20"/>
    </row>
    <row r="32" spans="1:5" x14ac:dyDescent="0.25">
      <c r="A32" s="20"/>
      <c r="B32" s="20" t="s">
        <v>74</v>
      </c>
      <c r="C32" s="20"/>
      <c r="D32" s="20">
        <v>0</v>
      </c>
      <c r="E32" s="20"/>
    </row>
    <row r="33" spans="1:5" x14ac:dyDescent="0.25">
      <c r="A33" s="20"/>
      <c r="B33" s="20" t="s">
        <v>36</v>
      </c>
      <c r="C33" s="20"/>
      <c r="D33" s="33">
        <v>1088.78</v>
      </c>
      <c r="E33" s="20"/>
    </row>
    <row r="34" spans="1:5" x14ac:dyDescent="0.25">
      <c r="A34" s="20"/>
      <c r="B34" s="31" t="s">
        <v>37</v>
      </c>
      <c r="C34" s="20"/>
      <c r="D34" s="20">
        <v>120.14</v>
      </c>
      <c r="E34" s="20"/>
    </row>
    <row r="35" spans="1:5" x14ac:dyDescent="0.25">
      <c r="A35" s="20"/>
      <c r="B35" s="27" t="s">
        <v>38</v>
      </c>
      <c r="C35" s="20"/>
      <c r="D35" s="20">
        <v>164.66</v>
      </c>
      <c r="E35" s="20"/>
    </row>
    <row r="36" spans="1:5" x14ac:dyDescent="0.25">
      <c r="A36" s="20"/>
      <c r="B36" s="31" t="s">
        <v>41</v>
      </c>
      <c r="C36" s="20"/>
      <c r="D36" s="20">
        <v>346.02</v>
      </c>
      <c r="E36" s="20"/>
    </row>
    <row r="37" spans="1:5" x14ac:dyDescent="0.25">
      <c r="A37" s="20">
        <v>4</v>
      </c>
      <c r="B37" s="22" t="s">
        <v>42</v>
      </c>
      <c r="C37" s="20"/>
      <c r="D37" s="26">
        <f>D38+D39</f>
        <v>3015.3900000000003</v>
      </c>
      <c r="E37" s="26">
        <f>E38</f>
        <v>648.3583000000001</v>
      </c>
    </row>
    <row r="38" spans="1:5" x14ac:dyDescent="0.25">
      <c r="A38" s="20"/>
      <c r="B38" s="31" t="s">
        <v>43</v>
      </c>
      <c r="C38" s="31"/>
      <c r="D38" s="33">
        <v>2474.65</v>
      </c>
      <c r="E38" s="28">
        <f>D38*26.2%</f>
        <v>648.3583000000001</v>
      </c>
    </row>
    <row r="39" spans="1:5" x14ac:dyDescent="0.25">
      <c r="A39" s="20"/>
      <c r="B39" s="20" t="s">
        <v>44</v>
      </c>
      <c r="C39" s="20"/>
      <c r="D39" s="33">
        <v>540.74</v>
      </c>
      <c r="E39" s="20"/>
    </row>
    <row r="40" spans="1:5" x14ac:dyDescent="0.25">
      <c r="A40" s="20">
        <v>5</v>
      </c>
      <c r="B40" s="22" t="s">
        <v>45</v>
      </c>
      <c r="C40" s="20"/>
      <c r="D40" s="26">
        <f>D21+E21+D27+E27+D30+D37+E37</f>
        <v>26038.689120000003</v>
      </c>
      <c r="E40" s="20"/>
    </row>
    <row r="41" spans="1:5" x14ac:dyDescent="0.25">
      <c r="A41" s="20">
        <v>6</v>
      </c>
      <c r="B41" s="20" t="s">
        <v>46</v>
      </c>
      <c r="C41" s="20"/>
      <c r="D41" s="26">
        <f>D18*6%</f>
        <v>1271.0124000000001</v>
      </c>
      <c r="E41" s="20"/>
    </row>
    <row r="42" spans="1:5" x14ac:dyDescent="0.25">
      <c r="A42" s="20">
        <v>7</v>
      </c>
      <c r="B42" s="22" t="s">
        <v>47</v>
      </c>
      <c r="C42" s="20"/>
      <c r="D42" s="26">
        <f>D40+D41</f>
        <v>27309.701520000002</v>
      </c>
      <c r="E42" s="20"/>
    </row>
    <row r="43" spans="1:5" x14ac:dyDescent="0.25">
      <c r="A43" s="20"/>
      <c r="B43" s="20"/>
      <c r="C43" s="20"/>
      <c r="D43" s="20"/>
      <c r="E43" s="20"/>
    </row>
    <row r="44" spans="1:5" x14ac:dyDescent="0.25">
      <c r="A44" s="20">
        <v>8</v>
      </c>
      <c r="B44" s="22" t="s">
        <v>59</v>
      </c>
      <c r="C44" s="20"/>
      <c r="D44" s="26">
        <f>D18-D42</f>
        <v>-6126.1615200000015</v>
      </c>
      <c r="E44" s="20"/>
    </row>
    <row r="45" spans="1:5" x14ac:dyDescent="0.25">
      <c r="A45" s="20">
        <v>9</v>
      </c>
      <c r="B45" s="22" t="s">
        <v>49</v>
      </c>
      <c r="C45" s="20"/>
      <c r="D45" s="26">
        <f>D10+D44</f>
        <v>-4806.971520000001</v>
      </c>
      <c r="E45" s="20"/>
    </row>
    <row r="46" spans="1:5" x14ac:dyDescent="0.25">
      <c r="A46" s="34"/>
      <c r="B46" s="35"/>
      <c r="C46" s="34"/>
      <c r="D46" s="36"/>
      <c r="E46" s="34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475" t="s">
        <v>135</v>
      </c>
      <c r="C48" s="475"/>
      <c r="D48" s="477" t="s">
        <v>148</v>
      </c>
      <c r="E48" s="34"/>
    </row>
    <row r="49" spans="1:5" x14ac:dyDescent="0.25">
      <c r="A49" s="37"/>
      <c r="B49" s="37" t="s">
        <v>52</v>
      </c>
      <c r="C49" s="37"/>
      <c r="D49" s="37" t="s">
        <v>53</v>
      </c>
      <c r="E49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A49" sqref="A49:E49"/>
    </sheetView>
  </sheetViews>
  <sheetFormatPr defaultRowHeight="15" x14ac:dyDescent="0.25"/>
  <cols>
    <col min="2" max="2" width="41.28515625" customWidth="1"/>
    <col min="4" max="4" width="10.57031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149</v>
      </c>
    </row>
    <row r="5" spans="1:5" x14ac:dyDescent="0.25">
      <c r="B5" t="s">
        <v>150</v>
      </c>
    </row>
    <row r="6" spans="1:5" x14ac:dyDescent="0.25">
      <c r="A6" s="577"/>
      <c r="B6" s="577"/>
      <c r="C6" s="577"/>
      <c r="D6" s="61"/>
      <c r="E6" s="59"/>
    </row>
    <row r="7" spans="1:5" x14ac:dyDescent="0.25">
      <c r="A7" s="5"/>
      <c r="B7" s="5"/>
      <c r="C7" s="5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92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1170.76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760.9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434.8</v>
      </c>
      <c r="E13" s="13"/>
    </row>
    <row r="14" spans="1:5" x14ac:dyDescent="0.25">
      <c r="A14" s="13"/>
      <c r="B14" s="15" t="s">
        <v>14</v>
      </c>
      <c r="C14" s="13" t="s">
        <v>15</v>
      </c>
      <c r="D14" s="19">
        <f>7045.86*2</f>
        <v>14091.72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12734.36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12734.36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2242.7600000000002</v>
      </c>
      <c r="E22" s="26">
        <f>E23</f>
        <v>551.58336000000008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2105.2800000000002</v>
      </c>
      <c r="E23" s="26">
        <f>E24</f>
        <v>551.58336000000008</v>
      </c>
    </row>
    <row r="24" spans="1:5" x14ac:dyDescent="0.25">
      <c r="A24" s="20"/>
      <c r="B24" s="20" t="s">
        <v>25</v>
      </c>
      <c r="C24" s="20"/>
      <c r="D24" s="20">
        <v>2105.2800000000002</v>
      </c>
      <c r="E24" s="28">
        <f>D24*26.2%</f>
        <v>551.58336000000008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137.47999999999999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3865.2200000000003</v>
      </c>
      <c r="E28" s="26">
        <f>E29</f>
        <v>1010.6230800000001</v>
      </c>
    </row>
    <row r="29" spans="1:5" x14ac:dyDescent="0.25">
      <c r="A29" s="20">
        <v>1</v>
      </c>
      <c r="B29" s="31" t="s">
        <v>31</v>
      </c>
      <c r="C29" s="20"/>
      <c r="D29" s="31">
        <v>3857.34</v>
      </c>
      <c r="E29" s="28">
        <f>D29*26.2%</f>
        <v>1010.6230800000001</v>
      </c>
    </row>
    <row r="30" spans="1:5" x14ac:dyDescent="0.25">
      <c r="A30" s="20">
        <v>2</v>
      </c>
      <c r="B30" s="31" t="s">
        <v>28</v>
      </c>
      <c r="C30" s="20"/>
      <c r="D30" s="31">
        <v>7.88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</f>
        <v>1872.808</v>
      </c>
      <c r="E31" s="20"/>
    </row>
    <row r="32" spans="1:5" x14ac:dyDescent="0.25">
      <c r="A32" s="20"/>
      <c r="B32" s="20" t="s">
        <v>34</v>
      </c>
      <c r="C32" s="20"/>
      <c r="D32" s="28">
        <f>D19*5%</f>
        <v>636.71800000000007</v>
      </c>
      <c r="E32" s="20"/>
    </row>
    <row r="33" spans="1:5" x14ac:dyDescent="0.25">
      <c r="A33" s="20"/>
      <c r="B33" s="20" t="s">
        <v>74</v>
      </c>
      <c r="C33" s="20"/>
      <c r="D33" s="20">
        <v>0</v>
      </c>
      <c r="E33" s="20"/>
    </row>
    <row r="34" spans="1:5" x14ac:dyDescent="0.25">
      <c r="A34" s="20"/>
      <c r="B34" s="20" t="s">
        <v>36</v>
      </c>
      <c r="C34" s="20"/>
      <c r="D34" s="28">
        <v>782.64</v>
      </c>
      <c r="E34" s="20"/>
    </row>
    <row r="35" spans="1:5" x14ac:dyDescent="0.25">
      <c r="A35" s="20"/>
      <c r="B35" s="31" t="s">
        <v>37</v>
      </c>
      <c r="C35" s="20"/>
      <c r="D35" s="20">
        <v>86.36</v>
      </c>
      <c r="E35" s="20"/>
    </row>
    <row r="36" spans="1:5" x14ac:dyDescent="0.25">
      <c r="A36" s="20"/>
      <c r="B36" s="27" t="s">
        <v>38</v>
      </c>
      <c r="C36" s="20"/>
      <c r="D36" s="20">
        <v>118.36</v>
      </c>
      <c r="E36" s="20"/>
    </row>
    <row r="37" spans="1:5" x14ac:dyDescent="0.25">
      <c r="A37" s="20"/>
      <c r="B37" s="31" t="s">
        <v>41</v>
      </c>
      <c r="C37" s="20"/>
      <c r="D37" s="20">
        <v>248.73</v>
      </c>
      <c r="E37" s="20"/>
    </row>
    <row r="38" spans="1:5" x14ac:dyDescent="0.25">
      <c r="A38" s="20"/>
      <c r="B38" s="22" t="s">
        <v>42</v>
      </c>
      <c r="C38" s="20"/>
      <c r="D38" s="26">
        <f>D39+D40</f>
        <v>2167.5299999999997</v>
      </c>
      <c r="E38" s="26">
        <f>E39</f>
        <v>466.05345999999997</v>
      </c>
    </row>
    <row r="39" spans="1:5" x14ac:dyDescent="0.25">
      <c r="A39" s="20"/>
      <c r="B39" s="31" t="s">
        <v>43</v>
      </c>
      <c r="C39" s="31"/>
      <c r="D39" s="33">
        <v>1778.83</v>
      </c>
      <c r="E39" s="28">
        <f>D39*26.2%</f>
        <v>466.05345999999997</v>
      </c>
    </row>
    <row r="40" spans="1:5" x14ac:dyDescent="0.25">
      <c r="A40" s="20"/>
      <c r="B40" s="20" t="s">
        <v>44</v>
      </c>
      <c r="C40" s="20"/>
      <c r="D40" s="33">
        <v>388.7</v>
      </c>
      <c r="E40" s="20"/>
    </row>
    <row r="41" spans="1:5" x14ac:dyDescent="0.25">
      <c r="A41" s="20"/>
      <c r="B41" s="22" t="s">
        <v>45</v>
      </c>
      <c r="C41" s="20"/>
      <c r="D41" s="26">
        <f>D22+E22+D28+E28+D31+D38+E38</f>
        <v>12176.5779</v>
      </c>
      <c r="E41" s="20"/>
    </row>
    <row r="42" spans="1:5" x14ac:dyDescent="0.25">
      <c r="A42" s="20"/>
      <c r="B42" s="20" t="s">
        <v>46</v>
      </c>
      <c r="C42" s="20"/>
      <c r="D42" s="26">
        <f>D19*6%</f>
        <v>764.0616</v>
      </c>
      <c r="E42" s="20"/>
    </row>
    <row r="43" spans="1:5" x14ac:dyDescent="0.25">
      <c r="A43" s="20"/>
      <c r="B43" s="22" t="s">
        <v>47</v>
      </c>
      <c r="C43" s="20"/>
      <c r="D43" s="26">
        <f>D41+D42</f>
        <v>12940.639500000001</v>
      </c>
      <c r="E43" s="20"/>
    </row>
    <row r="44" spans="1:5" x14ac:dyDescent="0.25">
      <c r="A44" s="20">
        <v>5</v>
      </c>
      <c r="B44" s="20"/>
      <c r="C44" s="20"/>
      <c r="D44" s="20"/>
      <c r="E44" s="20"/>
    </row>
    <row r="45" spans="1:5" x14ac:dyDescent="0.25">
      <c r="A45" s="20">
        <v>6</v>
      </c>
      <c r="B45" s="22" t="s">
        <v>59</v>
      </c>
      <c r="C45" s="20"/>
      <c r="D45" s="26">
        <f>D19-D43</f>
        <v>-206.27950000000055</v>
      </c>
      <c r="E45" s="20"/>
    </row>
    <row r="46" spans="1:5" x14ac:dyDescent="0.25">
      <c r="A46" s="20">
        <v>7</v>
      </c>
      <c r="B46" s="22" t="s">
        <v>49</v>
      </c>
      <c r="C46" s="20"/>
      <c r="D46" s="26">
        <f>D11+D45</f>
        <v>964.48049999999944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582" t="s">
        <v>50</v>
      </c>
      <c r="B49" s="582"/>
      <c r="C49" s="475" t="s">
        <v>148</v>
      </c>
      <c r="D49" s="36"/>
      <c r="E49" s="34"/>
    </row>
    <row r="50" spans="1:5" x14ac:dyDescent="0.25">
      <c r="A50" s="37" t="s">
        <v>52</v>
      </c>
      <c r="B50" s="37"/>
      <c r="C50" s="37" t="s">
        <v>53</v>
      </c>
      <c r="D50" s="37"/>
    </row>
  </sheetData>
  <mergeCells count="4">
    <mergeCell ref="A6:C6"/>
    <mergeCell ref="D8:E8"/>
    <mergeCell ref="D9:E9"/>
    <mergeCell ref="A49:B4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L31" sqref="L31"/>
    </sheetView>
  </sheetViews>
  <sheetFormatPr defaultRowHeight="15" x14ac:dyDescent="0.25"/>
  <cols>
    <col min="2" max="2" width="41.7109375" customWidth="1"/>
    <col min="4" max="4" width="10.28515625" customWidth="1"/>
    <col min="5" max="5" width="10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151</v>
      </c>
    </row>
    <row r="5" spans="1:5" x14ac:dyDescent="0.25">
      <c r="B5" t="s">
        <v>3</v>
      </c>
    </row>
    <row r="6" spans="1:5" x14ac:dyDescent="0.25">
      <c r="A6" s="577"/>
      <c r="B6" s="577"/>
      <c r="C6" s="577"/>
      <c r="D6" s="61"/>
      <c r="E6" s="59"/>
    </row>
    <row r="7" spans="1:5" x14ac:dyDescent="0.25">
      <c r="A7" s="5"/>
      <c r="B7" s="5"/>
      <c r="C7" s="5"/>
      <c r="D7" s="476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92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23130.65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1079.25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613.1</v>
      </c>
      <c r="E13" s="13"/>
    </row>
    <row r="14" spans="1:5" x14ac:dyDescent="0.25">
      <c r="A14" s="13"/>
      <c r="B14" s="15" t="s">
        <v>14</v>
      </c>
      <c r="C14" s="13" t="s">
        <v>15</v>
      </c>
      <c r="D14" s="19">
        <v>23579.88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21979.439999999999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21979.439999999999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6184.11</v>
      </c>
      <c r="E22" s="26">
        <f>E23</f>
        <v>1569.4455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5990.25</v>
      </c>
      <c r="E23" s="26">
        <f>E24</f>
        <v>1569.4455</v>
      </c>
    </row>
    <row r="24" spans="1:5" x14ac:dyDescent="0.25">
      <c r="A24" s="20"/>
      <c r="B24" s="20" t="s">
        <v>25</v>
      </c>
      <c r="C24" s="20"/>
      <c r="D24" s="20">
        <v>5990.25</v>
      </c>
      <c r="E24" s="28">
        <f>D24*26.2%</f>
        <v>1569.4455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193.86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5450.24</v>
      </c>
      <c r="E28" s="26">
        <f>E29</f>
        <v>1425.05206</v>
      </c>
    </row>
    <row r="29" spans="1:5" x14ac:dyDescent="0.25">
      <c r="A29" s="20">
        <v>1</v>
      </c>
      <c r="B29" s="31" t="s">
        <v>31</v>
      </c>
      <c r="C29" s="20"/>
      <c r="D29" s="31">
        <v>5439.13</v>
      </c>
      <c r="E29" s="28">
        <f>D29*26.2%</f>
        <v>1425.05206</v>
      </c>
    </row>
    <row r="30" spans="1:5" x14ac:dyDescent="0.25">
      <c r="A30" s="20">
        <v>2</v>
      </c>
      <c r="B30" s="31" t="s">
        <v>28</v>
      </c>
      <c r="C30" s="20"/>
      <c r="D30" s="31">
        <v>11.11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D32+D33+D34+D35+D36+D37+D38</f>
        <v>2841.9519999999998</v>
      </c>
      <c r="E31" s="20"/>
    </row>
    <row r="32" spans="1:5" x14ac:dyDescent="0.25">
      <c r="A32" s="20"/>
      <c r="B32" s="20" t="s">
        <v>34</v>
      </c>
      <c r="C32" s="20"/>
      <c r="D32" s="28">
        <f>D19*5%</f>
        <v>1098.972</v>
      </c>
      <c r="E32" s="20"/>
    </row>
    <row r="33" spans="1:5" x14ac:dyDescent="0.25">
      <c r="A33" s="20"/>
      <c r="B33" s="20" t="s">
        <v>74</v>
      </c>
      <c r="C33" s="20"/>
      <c r="D33" s="20">
        <v>0</v>
      </c>
      <c r="E33" s="20"/>
    </row>
    <row r="34" spans="1:5" x14ac:dyDescent="0.25">
      <c r="A34" s="20"/>
      <c r="B34" s="20" t="s">
        <v>36</v>
      </c>
      <c r="C34" s="20"/>
      <c r="D34" s="28">
        <v>1103.58</v>
      </c>
      <c r="E34" s="20"/>
    </row>
    <row r="35" spans="1:5" x14ac:dyDescent="0.25">
      <c r="A35" s="20"/>
      <c r="B35" s="31" t="s">
        <v>37</v>
      </c>
      <c r="C35" s="20"/>
      <c r="D35" s="20">
        <v>121.77</v>
      </c>
      <c r="E35" s="20"/>
    </row>
    <row r="36" spans="1:5" x14ac:dyDescent="0.25">
      <c r="A36" s="20"/>
      <c r="B36" s="27" t="s">
        <v>38</v>
      </c>
      <c r="C36" s="20"/>
      <c r="D36" s="20">
        <v>166.9</v>
      </c>
      <c r="E36" s="20"/>
    </row>
    <row r="37" spans="1:5" x14ac:dyDescent="0.25">
      <c r="A37" s="20"/>
      <c r="B37" s="27" t="s">
        <v>84</v>
      </c>
      <c r="C37" s="20"/>
      <c r="D37" s="20">
        <v>0</v>
      </c>
      <c r="E37" s="20"/>
    </row>
    <row r="38" spans="1:5" x14ac:dyDescent="0.25">
      <c r="A38" s="20"/>
      <c r="B38" s="31" t="s">
        <v>41</v>
      </c>
      <c r="C38" s="20"/>
      <c r="D38" s="20">
        <v>350.73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3056.36</v>
      </c>
      <c r="E39" s="26">
        <f>E40</f>
        <v>657.1693600000001</v>
      </c>
    </row>
    <row r="40" spans="1:5" x14ac:dyDescent="0.25">
      <c r="A40" s="20"/>
      <c r="B40" s="31" t="s">
        <v>43</v>
      </c>
      <c r="C40" s="31"/>
      <c r="D40" s="33">
        <v>2508.2800000000002</v>
      </c>
      <c r="E40" s="28">
        <f>D40*26.2%</f>
        <v>657.1693600000001</v>
      </c>
    </row>
    <row r="41" spans="1:5" x14ac:dyDescent="0.25">
      <c r="A41" s="20"/>
      <c r="B41" s="20" t="s">
        <v>44</v>
      </c>
      <c r="C41" s="20"/>
      <c r="D41" s="33">
        <v>548.08000000000004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D22+E22+D28+E28+D31+D39+E39</f>
        <v>21184.32892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D19*6%</f>
        <v>1318.7664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22503.09532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D19-D44</f>
        <v>-523.65532000000167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D11+D46</f>
        <v>22606.99468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s="582" t="s">
        <v>50</v>
      </c>
      <c r="C49" s="582"/>
      <c r="D49" s="475" t="s">
        <v>148</v>
      </c>
      <c r="E49" s="36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4">
    <mergeCell ref="A6:C6"/>
    <mergeCell ref="D8:E8"/>
    <mergeCell ref="D9:E9"/>
    <mergeCell ref="B49:C4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3" workbookViewId="0">
      <selection activeCell="D17" sqref="D17"/>
    </sheetView>
  </sheetViews>
  <sheetFormatPr defaultRowHeight="15" x14ac:dyDescent="0.25"/>
  <cols>
    <col min="2" max="2" width="44.28515625" customWidth="1"/>
    <col min="4" max="4" width="10.5703125" customWidth="1"/>
    <col min="5" max="5" width="10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152</v>
      </c>
    </row>
    <row r="5" spans="1:5" x14ac:dyDescent="0.25">
      <c r="A5" s="577"/>
      <c r="B5" s="577"/>
      <c r="C5" s="577"/>
      <c r="D5" s="61"/>
      <c r="E5" s="59"/>
    </row>
    <row r="6" spans="1:5" x14ac:dyDescent="0.25">
      <c r="A6" s="5"/>
      <c r="B6" s="5"/>
      <c r="C6" s="5"/>
      <c r="D6" s="3"/>
      <c r="E6" s="60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92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107415.49</v>
      </c>
      <c r="E10" s="11"/>
    </row>
    <row r="11" spans="1:5" x14ac:dyDescent="0.25">
      <c r="A11" s="13"/>
      <c r="B11" s="14" t="s">
        <v>11</v>
      </c>
      <c r="C11" s="13" t="s">
        <v>12</v>
      </c>
      <c r="D11" s="13">
        <v>3722.8</v>
      </c>
      <c r="E11" s="13"/>
    </row>
    <row r="12" spans="1:5" x14ac:dyDescent="0.25">
      <c r="A12" s="13"/>
      <c r="B12" s="14" t="s">
        <v>13</v>
      </c>
      <c r="C12" s="13" t="s">
        <v>12</v>
      </c>
      <c r="D12" s="13">
        <v>2935</v>
      </c>
      <c r="E12" s="13"/>
    </row>
    <row r="13" spans="1:5" x14ac:dyDescent="0.25">
      <c r="A13" s="13"/>
      <c r="B13" s="15" t="s">
        <v>14</v>
      </c>
      <c r="C13" s="13" t="s">
        <v>15</v>
      </c>
      <c r="D13" s="19">
        <f>56129.31*2</f>
        <v>112258.62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3">
        <v>115608.09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19</v>
      </c>
      <c r="C18" s="13"/>
      <c r="D18" s="19">
        <f>D16</f>
        <v>115608.09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20474.669999999998</v>
      </c>
      <c r="E21" s="26">
        <f>E22</f>
        <v>4957.7316799999999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18922.64</v>
      </c>
      <c r="E22" s="26">
        <f>E23</f>
        <v>4957.7316799999999</v>
      </c>
    </row>
    <row r="23" spans="1:5" x14ac:dyDescent="0.25">
      <c r="A23" s="20"/>
      <c r="B23" s="20" t="s">
        <v>25</v>
      </c>
      <c r="C23" s="20"/>
      <c r="D23" s="20">
        <v>18922.64</v>
      </c>
      <c r="E23" s="28">
        <f>D23*26.2%</f>
        <v>4957.7316799999999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1552.03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46503.53</v>
      </c>
      <c r="E27" s="26">
        <f>E28</f>
        <v>6821.9298000000008</v>
      </c>
    </row>
    <row r="28" spans="1:5" x14ac:dyDescent="0.25">
      <c r="A28" s="20">
        <v>1</v>
      </c>
      <c r="B28" s="31" t="s">
        <v>31</v>
      </c>
      <c r="C28" s="20"/>
      <c r="D28" s="31">
        <v>26037.9</v>
      </c>
      <c r="E28" s="20">
        <f>D28*26.2%</f>
        <v>6821.9298000000008</v>
      </c>
    </row>
    <row r="29" spans="1:5" x14ac:dyDescent="0.25">
      <c r="A29" s="20">
        <v>2</v>
      </c>
      <c r="B29" s="31" t="s">
        <v>28</v>
      </c>
      <c r="C29" s="20"/>
      <c r="D29" s="33">
        <v>20465.63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D31+D32+D34+D35+D37+D36+D33</f>
        <v>111365.8645</v>
      </c>
      <c r="E30" s="20"/>
    </row>
    <row r="31" spans="1:5" x14ac:dyDescent="0.25">
      <c r="A31" s="20"/>
      <c r="B31" s="20" t="s">
        <v>34</v>
      </c>
      <c r="C31" s="20"/>
      <c r="D31" s="28">
        <f>D18*5%</f>
        <v>5780.4045000000006</v>
      </c>
      <c r="E31" s="20"/>
    </row>
    <row r="32" spans="1:5" x14ac:dyDescent="0.25">
      <c r="A32" s="20"/>
      <c r="B32" s="20" t="s">
        <v>36</v>
      </c>
      <c r="C32" s="20"/>
      <c r="D32" s="28">
        <v>5283</v>
      </c>
      <c r="E32" s="20"/>
    </row>
    <row r="33" spans="1:5" x14ac:dyDescent="0.25">
      <c r="A33" s="20"/>
      <c r="B33" s="27" t="s">
        <v>153</v>
      </c>
      <c r="C33" s="20"/>
      <c r="D33" s="20">
        <v>88000</v>
      </c>
      <c r="E33" s="20"/>
    </row>
    <row r="34" spans="1:5" x14ac:dyDescent="0.25">
      <c r="A34" s="20"/>
      <c r="B34" s="31" t="s">
        <v>38</v>
      </c>
      <c r="C34" s="20"/>
      <c r="D34" s="20">
        <v>798.96</v>
      </c>
      <c r="E34" s="20"/>
    </row>
    <row r="35" spans="1:5" x14ac:dyDescent="0.25">
      <c r="A35" s="20"/>
      <c r="B35" s="31" t="s">
        <v>37</v>
      </c>
      <c r="C35" s="20"/>
      <c r="D35" s="20">
        <v>582.92999999999995</v>
      </c>
      <c r="E35" s="20"/>
    </row>
    <row r="36" spans="1:5" x14ac:dyDescent="0.25">
      <c r="A36" s="20"/>
      <c r="B36" s="27" t="s">
        <v>40</v>
      </c>
      <c r="C36" s="20"/>
      <c r="D36" s="20">
        <v>9241.6</v>
      </c>
      <c r="E36" s="20"/>
    </row>
    <row r="37" spans="1:5" x14ac:dyDescent="0.25">
      <c r="A37" s="20"/>
      <c r="B37" s="20" t="s">
        <v>41</v>
      </c>
      <c r="C37" s="20"/>
      <c r="D37" s="20">
        <v>1678.97</v>
      </c>
      <c r="E37" s="26"/>
    </row>
    <row r="38" spans="1:5" x14ac:dyDescent="0.25">
      <c r="A38" s="20">
        <v>4</v>
      </c>
      <c r="B38" s="22" t="s">
        <v>42</v>
      </c>
      <c r="C38" s="20"/>
      <c r="D38" s="26">
        <f>D39+D40</f>
        <v>14631.27</v>
      </c>
      <c r="E38" s="26">
        <f>E39</f>
        <v>3145.9650000000001</v>
      </c>
    </row>
    <row r="39" spans="1:5" x14ac:dyDescent="0.25">
      <c r="A39" s="20"/>
      <c r="B39" s="31" t="s">
        <v>43</v>
      </c>
      <c r="C39" s="31"/>
      <c r="D39" s="33">
        <v>12007.5</v>
      </c>
      <c r="E39" s="28">
        <f>D39*26.2%</f>
        <v>3145.9650000000001</v>
      </c>
    </row>
    <row r="40" spans="1:5" x14ac:dyDescent="0.25">
      <c r="A40" s="20"/>
      <c r="B40" s="20" t="s">
        <v>44</v>
      </c>
      <c r="C40" s="20"/>
      <c r="D40" s="33">
        <v>2623.77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D21+E21+D27+E27+D30+D38+E38</f>
        <v>207900.96097999997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6936.4853999999996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214837.44637999998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D18-D43</f>
        <v>-99229.356379999983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8186.1336200000223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s="582" t="s">
        <v>50</v>
      </c>
      <c r="C49" s="582"/>
      <c r="D49" s="475" t="s">
        <v>148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</row>
  </sheetData>
  <mergeCells count="4">
    <mergeCell ref="A5:C5"/>
    <mergeCell ref="D7:E7"/>
    <mergeCell ref="D8:E8"/>
    <mergeCell ref="B49:C49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A9" sqref="A8:A9"/>
    </sheetView>
  </sheetViews>
  <sheetFormatPr defaultRowHeight="15" x14ac:dyDescent="0.25"/>
  <cols>
    <col min="1" max="1" width="7.5703125" customWidth="1"/>
    <col min="2" max="2" width="45.7109375" customWidth="1"/>
    <col min="4" max="4" width="12.140625" customWidth="1"/>
    <col min="5" max="5" width="11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154</v>
      </c>
    </row>
    <row r="5" spans="1:5" x14ac:dyDescent="0.25">
      <c r="B5" t="s">
        <v>144</v>
      </c>
    </row>
    <row r="6" spans="1:5" x14ac:dyDescent="0.25">
      <c r="A6" s="577"/>
      <c r="B6" s="577"/>
      <c r="C6" s="577"/>
      <c r="D6" s="61"/>
      <c r="E6" s="59"/>
    </row>
    <row r="7" spans="1:5" x14ac:dyDescent="0.25">
      <c r="A7" s="5"/>
      <c r="B7" s="5"/>
      <c r="C7" s="5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92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-5206.83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1061.79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597.9</v>
      </c>
      <c r="E13" s="13"/>
    </row>
    <row r="14" spans="1:5" x14ac:dyDescent="0.25">
      <c r="A14" s="13"/>
      <c r="B14" s="15" t="s">
        <v>14</v>
      </c>
      <c r="C14" s="13" t="s">
        <v>15</v>
      </c>
      <c r="D14" s="19">
        <f>11497.68*2</f>
        <v>22995.360000000001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20786.310000000001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20786.310000000001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2569.1000000000004</v>
      </c>
      <c r="E22" s="26">
        <f>E23</f>
        <v>623.57310000000007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2380.0500000000002</v>
      </c>
      <c r="E23" s="26">
        <f>E24</f>
        <v>623.57310000000007</v>
      </c>
    </row>
    <row r="24" spans="1:5" x14ac:dyDescent="0.25">
      <c r="A24" s="20"/>
      <c r="B24" s="20" t="s">
        <v>25</v>
      </c>
      <c r="C24" s="20"/>
      <c r="D24" s="20">
        <v>2380.0500000000002</v>
      </c>
      <c r="E24" s="28">
        <f>D24*26.2%</f>
        <v>623.57310000000007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189.05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5559.15</v>
      </c>
      <c r="E28" s="26">
        <f>E29</f>
        <v>1389.72136</v>
      </c>
    </row>
    <row r="29" spans="1:5" x14ac:dyDescent="0.25">
      <c r="A29" s="20">
        <v>1</v>
      </c>
      <c r="B29" s="31" t="s">
        <v>31</v>
      </c>
      <c r="C29" s="20"/>
      <c r="D29" s="31">
        <v>5304.28</v>
      </c>
      <c r="E29" s="28">
        <f>D29*26.2%</f>
        <v>1389.72136</v>
      </c>
    </row>
    <row r="30" spans="1:5" x14ac:dyDescent="0.25">
      <c r="A30" s="20">
        <v>2</v>
      </c>
      <c r="B30" s="31" t="s">
        <v>28</v>
      </c>
      <c r="C30" s="20"/>
      <c r="D30" s="31">
        <v>254.87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</f>
        <v>9062.1755000000012</v>
      </c>
      <c r="E31" s="20"/>
    </row>
    <row r="32" spans="1:5" x14ac:dyDescent="0.25">
      <c r="A32" s="20"/>
      <c r="B32" s="20" t="s">
        <v>34</v>
      </c>
      <c r="C32" s="20"/>
      <c r="D32" s="28">
        <f>D19*5%</f>
        <v>1039.3155000000002</v>
      </c>
      <c r="E32" s="20"/>
    </row>
    <row r="33" spans="1:5" x14ac:dyDescent="0.25">
      <c r="A33" s="20"/>
      <c r="B33" s="20" t="s">
        <v>36</v>
      </c>
      <c r="C33" s="20"/>
      <c r="D33" s="28">
        <v>1076.22</v>
      </c>
      <c r="E33" s="20"/>
    </row>
    <row r="34" spans="1:5" x14ac:dyDescent="0.25">
      <c r="A34" s="20"/>
      <c r="B34" s="31" t="s">
        <v>37</v>
      </c>
      <c r="C34" s="20"/>
      <c r="D34" s="20">
        <v>118.75</v>
      </c>
      <c r="E34" s="20"/>
    </row>
    <row r="35" spans="1:5" x14ac:dyDescent="0.25">
      <c r="A35" s="20"/>
      <c r="B35" s="27" t="s">
        <v>38</v>
      </c>
      <c r="C35" s="20"/>
      <c r="D35" s="20">
        <v>162.76</v>
      </c>
      <c r="E35" s="20"/>
    </row>
    <row r="36" spans="1:5" x14ac:dyDescent="0.25">
      <c r="A36" s="20"/>
      <c r="B36" s="27" t="s">
        <v>84</v>
      </c>
      <c r="C36" s="20"/>
      <c r="D36" s="20">
        <v>6323.1</v>
      </c>
      <c r="E36" s="20"/>
    </row>
    <row r="37" spans="1:5" x14ac:dyDescent="0.25">
      <c r="A37" s="20"/>
      <c r="B37" s="31" t="s">
        <v>41</v>
      </c>
      <c r="C37" s="20"/>
      <c r="D37" s="20">
        <v>342.03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2980.59</v>
      </c>
      <c r="E38" s="26">
        <f>E39</f>
        <v>640.87558000000001</v>
      </c>
    </row>
    <row r="39" spans="1:5" x14ac:dyDescent="0.25">
      <c r="A39" s="20"/>
      <c r="B39" s="31" t="s">
        <v>43</v>
      </c>
      <c r="C39" s="31"/>
      <c r="D39" s="33">
        <v>2446.09</v>
      </c>
      <c r="E39" s="28">
        <f>D39*26.2%</f>
        <v>640.87558000000001</v>
      </c>
    </row>
    <row r="40" spans="1:5" x14ac:dyDescent="0.25">
      <c r="A40" s="20"/>
      <c r="B40" s="20" t="s">
        <v>44</v>
      </c>
      <c r="C40" s="20"/>
      <c r="D40" s="33">
        <v>534.5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D22+E22+D28+E28+D31+D38+E38</f>
        <v>22825.185540000002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D19*6%</f>
        <v>1247.1786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24072.364140000001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D19-D43</f>
        <v>-3286.0541400000002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D11+D45</f>
        <v>-8492.8841400000001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3" workbookViewId="0">
      <selection activeCell="G21" sqref="G21"/>
    </sheetView>
  </sheetViews>
  <sheetFormatPr defaultRowHeight="15" x14ac:dyDescent="0.25"/>
  <cols>
    <col min="2" max="2" width="35.85546875" customWidth="1"/>
    <col min="4" max="4" width="10.42578125" customWidth="1"/>
    <col min="5" max="5" width="10.7109375" customWidth="1"/>
  </cols>
  <sheetData>
    <row r="1" spans="1:5" ht="15.75" x14ac:dyDescent="0.25">
      <c r="A1" s="98"/>
      <c r="B1" s="99" t="s">
        <v>0</v>
      </c>
      <c r="C1" s="98"/>
      <c r="D1" s="98"/>
      <c r="E1" s="98"/>
    </row>
    <row r="2" spans="1:5" x14ac:dyDescent="0.25">
      <c r="A2" s="98"/>
      <c r="B2" s="98" t="s">
        <v>68</v>
      </c>
      <c r="C2" s="98"/>
      <c r="D2" s="98"/>
      <c r="E2" s="98"/>
    </row>
    <row r="3" spans="1:5" x14ac:dyDescent="0.25">
      <c r="A3" s="98"/>
      <c r="B3" s="100" t="s">
        <v>85</v>
      </c>
      <c r="C3" s="98"/>
      <c r="D3" s="98"/>
      <c r="E3" s="98"/>
    </row>
    <row r="4" spans="1:5" x14ac:dyDescent="0.25">
      <c r="A4" s="488"/>
      <c r="B4" s="488"/>
      <c r="C4" s="488"/>
      <c r="D4" s="101"/>
      <c r="E4" s="102"/>
    </row>
    <row r="5" spans="1:5" x14ac:dyDescent="0.25">
      <c r="A5" s="103"/>
      <c r="B5" s="103"/>
      <c r="C5" s="103"/>
      <c r="D5" s="104"/>
      <c r="E5" s="105"/>
    </row>
    <row r="6" spans="1:5" ht="15.75" x14ac:dyDescent="0.25">
      <c r="A6" s="106"/>
      <c r="B6" s="107" t="s">
        <v>4</v>
      </c>
      <c r="C6" s="108" t="s">
        <v>5</v>
      </c>
      <c r="D6" s="489" t="s">
        <v>6</v>
      </c>
      <c r="E6" s="490"/>
    </row>
    <row r="7" spans="1:5" ht="15.75" x14ac:dyDescent="0.25">
      <c r="A7" s="109"/>
      <c r="B7" s="107" t="s">
        <v>7</v>
      </c>
      <c r="C7" s="108" t="s">
        <v>8</v>
      </c>
      <c r="D7" s="491" t="s">
        <v>81</v>
      </c>
      <c r="E7" s="492"/>
    </row>
    <row r="8" spans="1:5" x14ac:dyDescent="0.25">
      <c r="A8" s="110"/>
      <c r="B8" s="110"/>
      <c r="C8" s="110"/>
      <c r="D8" s="111"/>
      <c r="E8" s="112"/>
    </row>
    <row r="9" spans="1:5" x14ac:dyDescent="0.25">
      <c r="A9" s="110"/>
      <c r="B9" s="113" t="s">
        <v>10</v>
      </c>
      <c r="C9" s="110"/>
      <c r="D9" s="111">
        <v>108136.94</v>
      </c>
      <c r="E9" s="112"/>
    </row>
    <row r="10" spans="1:5" x14ac:dyDescent="0.25">
      <c r="A10" s="23"/>
      <c r="B10" s="114" t="s">
        <v>11</v>
      </c>
      <c r="C10" s="23" t="s">
        <v>12</v>
      </c>
      <c r="D10" s="23">
        <v>5182.7</v>
      </c>
      <c r="E10" s="23"/>
    </row>
    <row r="11" spans="1:5" x14ac:dyDescent="0.25">
      <c r="A11" s="23"/>
      <c r="B11" s="114" t="s">
        <v>13</v>
      </c>
      <c r="C11" s="23" t="s">
        <v>12</v>
      </c>
      <c r="D11" s="23">
        <v>4325</v>
      </c>
      <c r="E11" s="23"/>
    </row>
    <row r="12" spans="1:5" x14ac:dyDescent="0.25">
      <c r="A12" s="23"/>
      <c r="B12" s="115" t="s">
        <v>14</v>
      </c>
      <c r="C12" s="23" t="s">
        <v>15</v>
      </c>
      <c r="D12" s="23">
        <f>83073.63*2</f>
        <v>166147.26</v>
      </c>
      <c r="E12" s="23"/>
    </row>
    <row r="13" spans="1:5" x14ac:dyDescent="0.25">
      <c r="A13" s="23"/>
      <c r="B13" s="23"/>
      <c r="C13" s="23"/>
      <c r="D13" s="23"/>
      <c r="E13" s="23"/>
    </row>
    <row r="14" spans="1:5" ht="15.75" x14ac:dyDescent="0.25">
      <c r="A14" s="23"/>
      <c r="B14" s="116" t="s">
        <v>16</v>
      </c>
      <c r="C14" s="23"/>
      <c r="D14" s="23"/>
      <c r="E14" s="23"/>
    </row>
    <row r="15" spans="1:5" x14ac:dyDescent="0.25">
      <c r="A15" s="23">
        <v>1</v>
      </c>
      <c r="B15" s="23" t="s">
        <v>17</v>
      </c>
      <c r="C15" s="23" t="s">
        <v>15</v>
      </c>
      <c r="D15" s="23">
        <v>158750.1</v>
      </c>
      <c r="E15" s="23"/>
    </row>
    <row r="16" spans="1:5" x14ac:dyDescent="0.25">
      <c r="A16" s="23"/>
      <c r="B16" s="23"/>
      <c r="C16" s="23"/>
      <c r="D16" s="23"/>
      <c r="E16" s="23"/>
    </row>
    <row r="17" spans="1:5" ht="15.75" x14ac:dyDescent="0.25">
      <c r="A17" s="23"/>
      <c r="B17" s="116" t="s">
        <v>19</v>
      </c>
      <c r="C17" s="23"/>
      <c r="D17" s="117">
        <f>D15</f>
        <v>158750.1</v>
      </c>
      <c r="E17" s="23"/>
    </row>
    <row r="18" spans="1:5" ht="15.75" x14ac:dyDescent="0.25">
      <c r="A18" s="23"/>
      <c r="B18" s="116"/>
      <c r="C18" s="23"/>
      <c r="D18" s="117"/>
      <c r="E18" s="2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6">
        <f>D21+D25</f>
        <v>24164.81</v>
      </c>
      <c r="E20" s="26">
        <f>E21</f>
        <v>5972.8847400000004</v>
      </c>
    </row>
    <row r="21" spans="1:5" x14ac:dyDescent="0.25">
      <c r="A21" s="20">
        <v>1</v>
      </c>
      <c r="B21" s="22" t="s">
        <v>24</v>
      </c>
      <c r="C21" s="27" t="s">
        <v>15</v>
      </c>
      <c r="D21" s="26">
        <f>D22+D23+D24</f>
        <v>22797.27</v>
      </c>
      <c r="E21" s="26">
        <f>E22+E23+E24</f>
        <v>5972.8847400000004</v>
      </c>
    </row>
    <row r="22" spans="1:5" x14ac:dyDescent="0.25">
      <c r="A22" s="20"/>
      <c r="B22" s="20" t="s">
        <v>25</v>
      </c>
      <c r="C22" s="20"/>
      <c r="D22" s="20">
        <v>22797.27</v>
      </c>
      <c r="E22" s="28">
        <f>D22*26.2%</f>
        <v>5972.8847400000004</v>
      </c>
    </row>
    <row r="23" spans="1:5" x14ac:dyDescent="0.25">
      <c r="A23" s="20"/>
      <c r="B23" s="20" t="s">
        <v>26</v>
      </c>
      <c r="C23" s="20"/>
      <c r="D23" s="29">
        <v>0</v>
      </c>
      <c r="E23" s="28"/>
    </row>
    <row r="24" spans="1:5" x14ac:dyDescent="0.25">
      <c r="A24" s="20"/>
      <c r="B24" s="20" t="s">
        <v>27</v>
      </c>
      <c r="C24" s="20"/>
      <c r="D24" s="20">
        <v>0</v>
      </c>
      <c r="E24" s="28"/>
    </row>
    <row r="25" spans="1:5" x14ac:dyDescent="0.25">
      <c r="A25" s="20">
        <v>2</v>
      </c>
      <c r="B25" s="27" t="s">
        <v>28</v>
      </c>
      <c r="C25" s="20"/>
      <c r="D25" s="20">
        <v>1367.54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42308.99</v>
      </c>
      <c r="E26" s="26">
        <f>E27</f>
        <v>10052.75922</v>
      </c>
    </row>
    <row r="27" spans="1:5" x14ac:dyDescent="0.25">
      <c r="A27" s="20">
        <v>1</v>
      </c>
      <c r="B27" s="31" t="s">
        <v>31</v>
      </c>
      <c r="C27" s="20"/>
      <c r="D27" s="31">
        <v>38369.31</v>
      </c>
      <c r="E27" s="33">
        <f>D27*26.2%</f>
        <v>10052.75922</v>
      </c>
    </row>
    <row r="28" spans="1:5" x14ac:dyDescent="0.25">
      <c r="A28" s="20">
        <v>2</v>
      </c>
      <c r="B28" s="31" t="s">
        <v>28</v>
      </c>
      <c r="C28" s="20"/>
      <c r="D28" s="31">
        <v>3939.68</v>
      </c>
      <c r="E28" s="20"/>
    </row>
    <row r="29" spans="1:5" x14ac:dyDescent="0.25">
      <c r="A29" s="20">
        <v>3</v>
      </c>
      <c r="B29" s="31" t="s">
        <v>82</v>
      </c>
      <c r="C29" s="20"/>
      <c r="D29" s="31">
        <v>0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D31+D32+D34+D35+D36+D37+D38+D33</f>
        <v>52299.705000000002</v>
      </c>
      <c r="E30" s="20"/>
    </row>
    <row r="31" spans="1:5" x14ac:dyDescent="0.25">
      <c r="A31" s="20"/>
      <c r="B31" s="20" t="s">
        <v>34</v>
      </c>
      <c r="C31" s="20"/>
      <c r="D31" s="28">
        <f>D17*5%</f>
        <v>7937.505000000001</v>
      </c>
      <c r="E31" s="20"/>
    </row>
    <row r="32" spans="1:5" x14ac:dyDescent="0.25">
      <c r="A32" s="20"/>
      <c r="B32" s="31" t="s">
        <v>58</v>
      </c>
      <c r="C32" s="20"/>
      <c r="D32" s="20">
        <f>4*84.52</f>
        <v>338.08</v>
      </c>
      <c r="E32" s="20"/>
    </row>
    <row r="33" spans="1:5" x14ac:dyDescent="0.25">
      <c r="A33" s="20"/>
      <c r="B33" s="20" t="s">
        <v>83</v>
      </c>
      <c r="C33" s="20"/>
      <c r="D33" s="20">
        <v>25010</v>
      </c>
      <c r="E33" s="20"/>
    </row>
    <row r="34" spans="1:5" x14ac:dyDescent="0.25">
      <c r="A34" s="20"/>
      <c r="B34" s="20" t="s">
        <v>36</v>
      </c>
      <c r="C34" s="20"/>
      <c r="D34" s="28">
        <v>7785</v>
      </c>
      <c r="E34" s="20"/>
    </row>
    <row r="35" spans="1:5" x14ac:dyDescent="0.25">
      <c r="A35" s="20"/>
      <c r="B35" s="27" t="s">
        <v>37</v>
      </c>
      <c r="C35" s="20"/>
      <c r="D35" s="20">
        <v>859</v>
      </c>
      <c r="E35" s="20"/>
    </row>
    <row r="36" spans="1:5" x14ac:dyDescent="0.25">
      <c r="A36" s="20"/>
      <c r="B36" s="27" t="s">
        <v>38</v>
      </c>
      <c r="C36" s="20"/>
      <c r="D36" s="20">
        <v>1177.3399999999999</v>
      </c>
      <c r="E36" s="20"/>
    </row>
    <row r="37" spans="1:5" x14ac:dyDescent="0.25">
      <c r="A37" s="20"/>
      <c r="B37" s="27" t="s">
        <v>84</v>
      </c>
      <c r="C37" s="20"/>
      <c r="D37" s="20">
        <v>6718.65</v>
      </c>
      <c r="E37" s="20"/>
    </row>
    <row r="38" spans="1:5" x14ac:dyDescent="0.25">
      <c r="A38" s="20"/>
      <c r="B38" s="20" t="s">
        <v>41</v>
      </c>
      <c r="C38" s="20"/>
      <c r="D38" s="20">
        <v>2474.13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21560.560000000001</v>
      </c>
      <c r="E39" s="26">
        <f>E40</f>
        <v>4635.8751600000005</v>
      </c>
    </row>
    <row r="40" spans="1:5" x14ac:dyDescent="0.25">
      <c r="A40" s="20"/>
      <c r="B40" s="31" t="s">
        <v>43</v>
      </c>
      <c r="C40" s="31"/>
      <c r="D40" s="33">
        <v>17694.18</v>
      </c>
      <c r="E40" s="33">
        <f>D40*26.2%</f>
        <v>4635.8751600000005</v>
      </c>
    </row>
    <row r="41" spans="1:5" x14ac:dyDescent="0.25">
      <c r="A41" s="20"/>
      <c r="B41" s="31" t="s">
        <v>44</v>
      </c>
      <c r="C41" s="20"/>
      <c r="D41" s="33">
        <v>3866.38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D20+E20+D26+E26+D30+D39+E39</f>
        <v>160995.58412000001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9525.0059999999994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170520.59012000001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D17-D44</f>
        <v>-11770.490120000002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96366.44988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E14" sqref="E13:E14"/>
    </sheetView>
  </sheetViews>
  <sheetFormatPr defaultRowHeight="15" x14ac:dyDescent="0.25"/>
  <cols>
    <col min="2" max="2" width="44.7109375" customWidth="1"/>
    <col min="4" max="4" width="11" customWidth="1"/>
    <col min="5" max="5" width="10.5703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155</v>
      </c>
    </row>
    <row r="5" spans="1:5" x14ac:dyDescent="0.25">
      <c r="B5" t="s">
        <v>3</v>
      </c>
    </row>
    <row r="6" spans="1:5" x14ac:dyDescent="0.25">
      <c r="A6" s="577"/>
      <c r="B6" s="577"/>
      <c r="C6" s="577"/>
      <c r="D6" s="61"/>
      <c r="E6" s="59"/>
    </row>
    <row r="7" spans="1:5" x14ac:dyDescent="0.25">
      <c r="A7" s="5"/>
      <c r="B7" s="5"/>
      <c r="C7" s="5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156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-9357.5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1542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636.69000000000005</v>
      </c>
      <c r="E13" s="13"/>
    </row>
    <row r="14" spans="1:5" x14ac:dyDescent="0.25">
      <c r="A14" s="13"/>
      <c r="B14" s="15" t="s">
        <v>14</v>
      </c>
      <c r="C14" s="13" t="s">
        <v>15</v>
      </c>
      <c r="D14" s="13">
        <f>12243.54*2</f>
        <v>24487.08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22038.42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22038.42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7703.2999999999993</v>
      </c>
      <c r="E22" s="26">
        <f>E23</f>
        <v>1965.5187599999999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7501.98</v>
      </c>
      <c r="E23" s="26">
        <f>E24</f>
        <v>1965.5187599999999</v>
      </c>
    </row>
    <row r="24" spans="1:5" x14ac:dyDescent="0.25">
      <c r="A24" s="20"/>
      <c r="B24" s="20" t="s">
        <v>25</v>
      </c>
      <c r="C24" s="20"/>
      <c r="D24" s="20">
        <v>7501.98</v>
      </c>
      <c r="E24" s="28">
        <f>D24*26.2%</f>
        <v>1965.5187599999999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201.32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D29+D30+D31</f>
        <v>13074.24</v>
      </c>
      <c r="E28" s="26">
        <f>E29</f>
        <v>1479.8834200000001</v>
      </c>
    </row>
    <row r="29" spans="1:5" x14ac:dyDescent="0.25">
      <c r="A29" s="20">
        <v>1</v>
      </c>
      <c r="B29" s="31" t="s">
        <v>31</v>
      </c>
      <c r="C29" s="20"/>
      <c r="D29" s="31">
        <v>5648.41</v>
      </c>
      <c r="E29" s="28">
        <f>D29*26.2%</f>
        <v>1479.8834200000001</v>
      </c>
    </row>
    <row r="30" spans="1:5" x14ac:dyDescent="0.25">
      <c r="A30" s="20">
        <v>2</v>
      </c>
      <c r="B30" s="31" t="s">
        <v>28</v>
      </c>
      <c r="C30" s="20"/>
      <c r="D30" s="31">
        <v>5971.83</v>
      </c>
      <c r="E30" s="20"/>
    </row>
    <row r="31" spans="1:5" x14ac:dyDescent="0.25">
      <c r="A31" s="20">
        <v>3</v>
      </c>
      <c r="B31" s="31" t="s">
        <v>146</v>
      </c>
      <c r="C31" s="20"/>
      <c r="D31" s="31">
        <v>1454</v>
      </c>
      <c r="E31" s="20"/>
    </row>
    <row r="32" spans="1:5" x14ac:dyDescent="0.25">
      <c r="A32" s="24" t="s">
        <v>32</v>
      </c>
      <c r="B32" s="22" t="s">
        <v>33</v>
      </c>
      <c r="C32" s="20"/>
      <c r="D32" s="26">
        <f>D33+D34+D35+D36+D37</f>
        <v>2911.9610000000002</v>
      </c>
      <c r="E32" s="20"/>
    </row>
    <row r="33" spans="1:5" x14ac:dyDescent="0.25">
      <c r="A33" s="20"/>
      <c r="B33" s="20" t="s">
        <v>34</v>
      </c>
      <c r="C33" s="20"/>
      <c r="D33" s="28">
        <f>D19*5%</f>
        <v>1101.921</v>
      </c>
      <c r="E33" s="20"/>
    </row>
    <row r="34" spans="1:5" x14ac:dyDescent="0.25">
      <c r="A34" s="20"/>
      <c r="B34" s="20" t="s">
        <v>36</v>
      </c>
      <c r="C34" s="20"/>
      <c r="D34" s="33">
        <v>1146.04</v>
      </c>
      <c r="E34" s="20"/>
    </row>
    <row r="35" spans="1:5" x14ac:dyDescent="0.25">
      <c r="A35" s="20"/>
      <c r="B35" s="31" t="s">
        <v>37</v>
      </c>
      <c r="C35" s="20"/>
      <c r="D35" s="20">
        <v>126.46</v>
      </c>
      <c r="E35" s="20"/>
    </row>
    <row r="36" spans="1:5" x14ac:dyDescent="0.25">
      <c r="A36" s="20"/>
      <c r="B36" s="27" t="s">
        <v>38</v>
      </c>
      <c r="C36" s="20"/>
      <c r="D36" s="20">
        <v>173.32</v>
      </c>
      <c r="E36" s="20"/>
    </row>
    <row r="37" spans="1:5" x14ac:dyDescent="0.25">
      <c r="A37" s="20"/>
      <c r="B37" s="31" t="s">
        <v>41</v>
      </c>
      <c r="C37" s="20"/>
      <c r="D37" s="20">
        <v>364.22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3173.97</v>
      </c>
      <c r="E38" s="26">
        <f>E39</f>
        <v>682.45497999999998</v>
      </c>
    </row>
    <row r="39" spans="1:5" x14ac:dyDescent="0.25">
      <c r="A39" s="20"/>
      <c r="B39" s="31" t="s">
        <v>43</v>
      </c>
      <c r="C39" s="31"/>
      <c r="D39" s="33">
        <v>2604.79</v>
      </c>
      <c r="E39" s="28">
        <f>D39*26.2%</f>
        <v>682.45497999999998</v>
      </c>
    </row>
    <row r="40" spans="1:5" x14ac:dyDescent="0.25">
      <c r="A40" s="20"/>
      <c r="B40" s="20" t="s">
        <v>44</v>
      </c>
      <c r="C40" s="20"/>
      <c r="D40" s="33">
        <v>569.17999999999995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D22+E22+D28+E28+D32+D38+E38</f>
        <v>30991.328159999997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D19*6%</f>
        <v>1322.3051999999998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32313.633359999996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D19-D43</f>
        <v>-10275.213359999998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D11+D45</f>
        <v>-19632.713359999998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D47" sqref="D47"/>
    </sheetView>
  </sheetViews>
  <sheetFormatPr defaultRowHeight="15" x14ac:dyDescent="0.25"/>
  <cols>
    <col min="2" max="2" width="39.140625" customWidth="1"/>
    <col min="4" max="4" width="11.42578125" customWidth="1"/>
    <col min="5" max="5" width="11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157</v>
      </c>
    </row>
    <row r="5" spans="1:5" x14ac:dyDescent="0.25">
      <c r="B5" t="s">
        <v>158</v>
      </c>
    </row>
    <row r="6" spans="1:5" x14ac:dyDescent="0.25">
      <c r="A6" s="577"/>
      <c r="B6" s="577"/>
      <c r="C6" s="577"/>
      <c r="D6" s="61"/>
      <c r="E6" s="59"/>
    </row>
    <row r="7" spans="1:5" x14ac:dyDescent="0.25">
      <c r="A7" s="5"/>
      <c r="B7" s="5"/>
      <c r="C7" s="5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92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-591.91999999999996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1287.74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727.95</v>
      </c>
      <c r="E13" s="13"/>
    </row>
    <row r="14" spans="1:5" x14ac:dyDescent="0.25">
      <c r="A14" s="13"/>
      <c r="B14" s="15" t="s">
        <v>14</v>
      </c>
      <c r="C14" s="13" t="s">
        <v>15</v>
      </c>
      <c r="D14" s="19">
        <f>13998.51*2</f>
        <v>27997.02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24869.21</v>
      </c>
      <c r="E17" s="13"/>
    </row>
    <row r="18" spans="1:5" x14ac:dyDescent="0.25">
      <c r="A18" s="13">
        <v>2</v>
      </c>
      <c r="B18" s="13" t="s">
        <v>18</v>
      </c>
      <c r="C18" s="13"/>
      <c r="D18" s="13">
        <v>6989.88</v>
      </c>
      <c r="E18" s="13"/>
    </row>
    <row r="19" spans="1:5" ht="15.75" x14ac:dyDescent="0.25">
      <c r="A19" s="13"/>
      <c r="B19" s="16" t="s">
        <v>19</v>
      </c>
      <c r="C19" s="13"/>
      <c r="D19" s="19">
        <f>D17+D18</f>
        <v>31859.09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7378.74</v>
      </c>
      <c r="E22" s="26">
        <f>E23</f>
        <v>1743.2091400000002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6653.47</v>
      </c>
      <c r="E23" s="26">
        <f>E24</f>
        <v>1743.2091400000002</v>
      </c>
    </row>
    <row r="24" spans="1:5" x14ac:dyDescent="0.25">
      <c r="A24" s="20"/>
      <c r="B24" s="20" t="s">
        <v>25</v>
      </c>
      <c r="C24" s="20"/>
      <c r="D24" s="20">
        <v>6653.47</v>
      </c>
      <c r="E24" s="28">
        <f>D24*26.2%</f>
        <v>1743.2091400000002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725.27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6489.87</v>
      </c>
      <c r="E28" s="26">
        <f>E29</f>
        <v>1685.1080200000001</v>
      </c>
    </row>
    <row r="29" spans="1:5" x14ac:dyDescent="0.25">
      <c r="A29" s="20">
        <v>1</v>
      </c>
      <c r="B29" s="31" t="s">
        <v>31</v>
      </c>
      <c r="C29" s="20"/>
      <c r="D29" s="31">
        <v>6431.71</v>
      </c>
      <c r="E29" s="28">
        <f>D29*26.2%</f>
        <v>1685.1080200000001</v>
      </c>
    </row>
    <row r="30" spans="1:5" x14ac:dyDescent="0.25">
      <c r="A30" s="20">
        <v>2</v>
      </c>
      <c r="B30" s="31" t="s">
        <v>28</v>
      </c>
      <c r="C30" s="20"/>
      <c r="D30" s="31">
        <v>58.16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</f>
        <v>3662.4344999999998</v>
      </c>
      <c r="E31" s="20"/>
    </row>
    <row r="32" spans="1:5" x14ac:dyDescent="0.25">
      <c r="A32" s="20"/>
      <c r="B32" s="20" t="s">
        <v>34</v>
      </c>
      <c r="C32" s="20"/>
      <c r="D32" s="28">
        <f>D19*5%</f>
        <v>1592.9545000000001</v>
      </c>
      <c r="E32" s="20"/>
    </row>
    <row r="33" spans="1:5" x14ac:dyDescent="0.25">
      <c r="A33" s="20"/>
      <c r="B33" s="20" t="s">
        <v>74</v>
      </c>
      <c r="C33" s="20"/>
      <c r="D33" s="20">
        <v>0</v>
      </c>
      <c r="E33" s="20"/>
    </row>
    <row r="34" spans="1:5" x14ac:dyDescent="0.25">
      <c r="A34" s="20"/>
      <c r="B34" s="20" t="s">
        <v>36</v>
      </c>
      <c r="C34" s="20"/>
      <c r="D34" s="28">
        <v>1310.31</v>
      </c>
      <c r="E34" s="20"/>
    </row>
    <row r="35" spans="1:5" x14ac:dyDescent="0.25">
      <c r="A35" s="20"/>
      <c r="B35" s="31" t="s">
        <v>37</v>
      </c>
      <c r="C35" s="20"/>
      <c r="D35" s="20">
        <v>144.58000000000001</v>
      </c>
      <c r="E35" s="20"/>
    </row>
    <row r="36" spans="1:5" x14ac:dyDescent="0.25">
      <c r="A36" s="20"/>
      <c r="B36" s="27" t="s">
        <v>38</v>
      </c>
      <c r="C36" s="20"/>
      <c r="D36" s="20">
        <v>198.16</v>
      </c>
      <c r="E36" s="20"/>
    </row>
    <row r="37" spans="1:5" x14ac:dyDescent="0.25">
      <c r="A37" s="20"/>
      <c r="B37" s="31" t="s">
        <v>41</v>
      </c>
      <c r="C37" s="20"/>
      <c r="D37" s="20">
        <v>416.43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3628.9</v>
      </c>
      <c r="E38" s="26">
        <f>E39</f>
        <v>780.27530000000002</v>
      </c>
    </row>
    <row r="39" spans="1:5" x14ac:dyDescent="0.25">
      <c r="A39" s="20"/>
      <c r="B39" s="31" t="s">
        <v>43</v>
      </c>
      <c r="C39" s="31"/>
      <c r="D39" s="33">
        <v>2978.15</v>
      </c>
      <c r="E39" s="28">
        <f>D39*26.2%</f>
        <v>780.27530000000002</v>
      </c>
    </row>
    <row r="40" spans="1:5" x14ac:dyDescent="0.25">
      <c r="A40" s="20"/>
      <c r="B40" s="20" t="s">
        <v>44</v>
      </c>
      <c r="C40" s="20"/>
      <c r="D40" s="33">
        <v>650.75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D22+E22+D28+E28+D31+D38+E38</f>
        <v>25368.536960000001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D19*6%</f>
        <v>1911.5454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27280.08236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D17-D43</f>
        <v>-2410.8723600000012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D11+D45</f>
        <v>-3002.7923600000013</v>
      </c>
      <c r="E46" s="20"/>
    </row>
    <row r="47" spans="1:5" x14ac:dyDescent="0.25">
      <c r="A47" s="34"/>
      <c r="B47" s="35" t="s">
        <v>18</v>
      </c>
      <c r="C47" s="34"/>
      <c r="D47" s="36">
        <f>D18+1174.98</f>
        <v>8164.8600000000006</v>
      </c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5" workbookViewId="0">
      <selection activeCell="D46" sqref="D46"/>
    </sheetView>
  </sheetViews>
  <sheetFormatPr defaultRowHeight="15" x14ac:dyDescent="0.25"/>
  <cols>
    <col min="2" max="2" width="41.28515625" customWidth="1"/>
    <col min="4" max="4" width="10.5703125" customWidth="1"/>
    <col min="5" max="5" width="10.425781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159</v>
      </c>
    </row>
    <row r="4" spans="1:5" x14ac:dyDescent="0.25">
      <c r="A4" s="577"/>
      <c r="B4" s="577"/>
      <c r="C4" s="577"/>
      <c r="D4" s="61"/>
      <c r="E4" s="59"/>
    </row>
    <row r="5" spans="1:5" x14ac:dyDescent="0.25">
      <c r="A5" s="5"/>
      <c r="B5" s="5"/>
      <c r="C5" s="5"/>
      <c r="D5" s="476"/>
      <c r="E5" s="60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8</v>
      </c>
      <c r="D7" s="580" t="s">
        <v>130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103562.87</v>
      </c>
      <c r="E9" s="11"/>
    </row>
    <row r="10" spans="1:5" x14ac:dyDescent="0.25">
      <c r="A10" s="13"/>
      <c r="B10" s="14" t="s">
        <v>11</v>
      </c>
      <c r="C10" s="13" t="s">
        <v>12</v>
      </c>
      <c r="D10" s="13">
        <v>5570.3</v>
      </c>
      <c r="E10" s="13"/>
    </row>
    <row r="11" spans="1:5" x14ac:dyDescent="0.25">
      <c r="A11" s="13"/>
      <c r="B11" s="14" t="s">
        <v>13</v>
      </c>
      <c r="C11" s="13" t="s">
        <v>12</v>
      </c>
      <c r="D11" s="13">
        <v>4485.1000000000004</v>
      </c>
      <c r="E11" s="13"/>
    </row>
    <row r="12" spans="1:5" x14ac:dyDescent="0.25">
      <c r="A12" s="13"/>
      <c r="B12" s="15" t="s">
        <v>14</v>
      </c>
      <c r="C12" s="13" t="s">
        <v>15</v>
      </c>
      <c r="D12" s="19">
        <f>86290.89*2</f>
        <v>172581.78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16</v>
      </c>
      <c r="C14" s="13"/>
      <c r="D14" s="13"/>
      <c r="E14" s="13"/>
    </row>
    <row r="15" spans="1:5" x14ac:dyDescent="0.25">
      <c r="A15" s="13">
        <v>1</v>
      </c>
      <c r="B15" s="13" t="s">
        <v>17</v>
      </c>
      <c r="C15" s="13" t="s">
        <v>15</v>
      </c>
      <c r="D15" s="13">
        <v>157898.64000000001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19</v>
      </c>
      <c r="C17" s="13"/>
      <c r="D17" s="19">
        <f>D15</f>
        <v>157898.64000000001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D21+D25</f>
        <v>24101.22</v>
      </c>
      <c r="E20" s="26">
        <f>E21</f>
        <v>5922.1824999999999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22603.75</v>
      </c>
      <c r="E21" s="26">
        <f>E22</f>
        <v>5922.1824999999999</v>
      </c>
    </row>
    <row r="22" spans="1:5" x14ac:dyDescent="0.25">
      <c r="A22" s="20"/>
      <c r="B22" s="20" t="s">
        <v>25</v>
      </c>
      <c r="C22" s="20"/>
      <c r="D22" s="20">
        <v>22603.75</v>
      </c>
      <c r="E22" s="28">
        <f>D22*26.2%</f>
        <v>5922.1824999999999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>
        <v>2</v>
      </c>
      <c r="B25" s="27" t="s">
        <v>28</v>
      </c>
      <c r="C25" s="20"/>
      <c r="D25" s="20">
        <v>1497.47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54829.93</v>
      </c>
      <c r="E26" s="26">
        <f>E27</f>
        <v>10424.885679999999</v>
      </c>
    </row>
    <row r="27" spans="1:5" x14ac:dyDescent="0.25">
      <c r="A27" s="20">
        <v>1</v>
      </c>
      <c r="B27" s="31" t="s">
        <v>31</v>
      </c>
      <c r="C27" s="20"/>
      <c r="D27" s="31">
        <v>39789.64</v>
      </c>
      <c r="E27" s="28">
        <f>D27*26.2%</f>
        <v>10424.885679999999</v>
      </c>
    </row>
    <row r="28" spans="1:5" x14ac:dyDescent="0.25">
      <c r="A28" s="20">
        <v>2</v>
      </c>
      <c r="B28" s="31" t="s">
        <v>28</v>
      </c>
      <c r="C28" s="20"/>
      <c r="D28" s="31">
        <v>15040.29</v>
      </c>
      <c r="E28" s="20"/>
    </row>
    <row r="29" spans="1:5" x14ac:dyDescent="0.25">
      <c r="A29" s="20">
        <v>3</v>
      </c>
      <c r="B29" s="31" t="s">
        <v>146</v>
      </c>
      <c r="C29" s="20"/>
      <c r="D29" s="31">
        <v>0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D31+D32+D33+D34+D35+D36+D38+D37</f>
        <v>26130.982</v>
      </c>
      <c r="E30" s="20"/>
    </row>
    <row r="31" spans="1:5" x14ac:dyDescent="0.25">
      <c r="A31" s="20"/>
      <c r="B31" s="20" t="s">
        <v>34</v>
      </c>
      <c r="C31" s="20"/>
      <c r="D31" s="28">
        <f>D17*5%</f>
        <v>7894.9320000000007</v>
      </c>
      <c r="E31" s="20"/>
    </row>
    <row r="32" spans="1:5" x14ac:dyDescent="0.25">
      <c r="A32" s="20"/>
      <c r="B32" s="20" t="s">
        <v>74</v>
      </c>
      <c r="C32" s="20"/>
      <c r="D32" s="20">
        <v>2842.8</v>
      </c>
      <c r="E32" s="20"/>
    </row>
    <row r="33" spans="1:5" x14ac:dyDescent="0.25">
      <c r="A33" s="20"/>
      <c r="B33" s="20" t="s">
        <v>36</v>
      </c>
      <c r="C33" s="20"/>
      <c r="D33" s="28">
        <v>8073.18</v>
      </c>
      <c r="E33" s="20"/>
    </row>
    <row r="34" spans="1:5" x14ac:dyDescent="0.25">
      <c r="A34" s="20"/>
      <c r="B34" s="31" t="s">
        <v>37</v>
      </c>
      <c r="C34" s="20"/>
      <c r="D34" s="20">
        <v>890.8</v>
      </c>
      <c r="E34" s="20"/>
    </row>
    <row r="35" spans="1:5" x14ac:dyDescent="0.25">
      <c r="A35" s="20"/>
      <c r="B35" s="27" t="s">
        <v>38</v>
      </c>
      <c r="C35" s="20"/>
      <c r="D35" s="20">
        <v>1220.92</v>
      </c>
      <c r="E35" s="20"/>
    </row>
    <row r="36" spans="1:5" x14ac:dyDescent="0.25">
      <c r="A36" s="20"/>
      <c r="B36" s="27" t="s">
        <v>84</v>
      </c>
      <c r="C36" s="20"/>
      <c r="D36" s="20">
        <v>2304.56</v>
      </c>
      <c r="E36" s="20"/>
    </row>
    <row r="37" spans="1:5" x14ac:dyDescent="0.25">
      <c r="A37" s="20"/>
      <c r="B37" s="27" t="s">
        <v>58</v>
      </c>
      <c r="C37" s="20"/>
      <c r="D37" s="20">
        <f>4*84.52</f>
        <v>338.08</v>
      </c>
      <c r="E37" s="20"/>
    </row>
    <row r="38" spans="1:5" x14ac:dyDescent="0.25">
      <c r="A38" s="20"/>
      <c r="B38" s="31" t="s">
        <v>41</v>
      </c>
      <c r="C38" s="20"/>
      <c r="D38" s="20">
        <v>2565.71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22358.68</v>
      </c>
      <c r="E39" s="26">
        <f>E40</f>
        <v>4807.4851600000002</v>
      </c>
    </row>
    <row r="40" spans="1:5" x14ac:dyDescent="0.25">
      <c r="A40" s="20"/>
      <c r="B40" s="31" t="s">
        <v>43</v>
      </c>
      <c r="C40" s="31"/>
      <c r="D40" s="33">
        <v>18349.18</v>
      </c>
      <c r="E40" s="28">
        <f>D40*26.2%</f>
        <v>4807.4851600000002</v>
      </c>
    </row>
    <row r="41" spans="1:5" x14ac:dyDescent="0.25">
      <c r="A41" s="20"/>
      <c r="B41" s="20" t="s">
        <v>44</v>
      </c>
      <c r="C41" s="20"/>
      <c r="D41" s="33">
        <v>4009.5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D20+E20+D26+E26+D30+D39+E39</f>
        <v>148575.36534000002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9473.9184000000005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158049.28374000001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D17-D44</f>
        <v>-150.64373999999953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103412.22626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K39" sqref="K39"/>
    </sheetView>
  </sheetViews>
  <sheetFormatPr defaultRowHeight="15" x14ac:dyDescent="0.25"/>
  <cols>
    <col min="2" max="2" width="40.28515625" customWidth="1"/>
    <col min="4" max="4" width="10.85546875" customWidth="1"/>
    <col min="5" max="5" width="10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161</v>
      </c>
    </row>
    <row r="5" spans="1:5" x14ac:dyDescent="0.25">
      <c r="B5" t="s">
        <v>160</v>
      </c>
    </row>
    <row r="6" spans="1:5" x14ac:dyDescent="0.25">
      <c r="A6" s="577"/>
      <c r="B6" s="577"/>
      <c r="C6" s="577"/>
      <c r="D6" s="61"/>
      <c r="E6" s="59"/>
    </row>
    <row r="7" spans="1:5" x14ac:dyDescent="0.25">
      <c r="A7" s="5"/>
      <c r="B7" s="5"/>
      <c r="C7" s="5"/>
      <c r="D7" s="3"/>
      <c r="E7" s="60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92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-19292.84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851.24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443</v>
      </c>
      <c r="E13" s="13"/>
    </row>
    <row r="14" spans="1:5" x14ac:dyDescent="0.25">
      <c r="A14" s="13"/>
      <c r="B14" s="15" t="s">
        <v>14</v>
      </c>
      <c r="C14" s="13" t="s">
        <v>15</v>
      </c>
      <c r="D14" s="19">
        <v>17153.099999999999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15818.35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15818.35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2">
        <f>D23+D27</f>
        <v>6403.8600000000006</v>
      </c>
      <c r="E22" s="26">
        <f>E23</f>
        <v>1640.8640800000001</v>
      </c>
    </row>
    <row r="23" spans="1:5" x14ac:dyDescent="0.25">
      <c r="A23" s="20">
        <v>1</v>
      </c>
      <c r="B23" s="22" t="s">
        <v>24</v>
      </c>
      <c r="C23" s="27" t="s">
        <v>15</v>
      </c>
      <c r="D23" s="22">
        <f>D24</f>
        <v>6262.84</v>
      </c>
      <c r="E23" s="26">
        <f>E24</f>
        <v>1640.8640800000001</v>
      </c>
    </row>
    <row r="24" spans="1:5" x14ac:dyDescent="0.25">
      <c r="A24" s="20"/>
      <c r="B24" s="20" t="s">
        <v>25</v>
      </c>
      <c r="C24" s="20"/>
      <c r="D24" s="20">
        <v>6262.84</v>
      </c>
      <c r="E24" s="28">
        <f>D24*26.2%</f>
        <v>1640.8640800000001</v>
      </c>
    </row>
    <row r="25" spans="1:5" x14ac:dyDescent="0.25">
      <c r="A25" s="20"/>
      <c r="B25" s="20" t="s">
        <v>26</v>
      </c>
      <c r="C25" s="20"/>
      <c r="D25" s="29"/>
      <c r="E25" s="28"/>
    </row>
    <row r="26" spans="1:5" x14ac:dyDescent="0.25">
      <c r="A26" s="20"/>
      <c r="B26" s="20" t="s">
        <v>27</v>
      </c>
      <c r="C26" s="20"/>
      <c r="D26" s="20"/>
      <c r="E26" s="28"/>
    </row>
    <row r="27" spans="1:5" x14ac:dyDescent="0.25">
      <c r="A27" s="20">
        <v>2</v>
      </c>
      <c r="B27" s="27" t="s">
        <v>28</v>
      </c>
      <c r="C27" s="20"/>
      <c r="D27" s="20">
        <v>141.02000000000001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3964.7799999999997</v>
      </c>
      <c r="E28" s="26">
        <f>E29</f>
        <v>1036.6554000000001</v>
      </c>
    </row>
    <row r="29" spans="1:5" x14ac:dyDescent="0.25">
      <c r="A29" s="20">
        <v>1</v>
      </c>
      <c r="B29" s="31" t="s">
        <v>31</v>
      </c>
      <c r="C29" s="20"/>
      <c r="D29" s="31">
        <v>3956.7</v>
      </c>
      <c r="E29" s="28">
        <f>D29*26.2%</f>
        <v>1036.6554000000001</v>
      </c>
    </row>
    <row r="30" spans="1:5" x14ac:dyDescent="0.25">
      <c r="A30" s="20">
        <v>2</v>
      </c>
      <c r="B30" s="31" t="s">
        <v>28</v>
      </c>
      <c r="C30" s="20"/>
      <c r="D30" s="31">
        <v>8.08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</f>
        <v>2058.8474999999999</v>
      </c>
      <c r="E31" s="20"/>
    </row>
    <row r="32" spans="1:5" x14ac:dyDescent="0.25">
      <c r="A32" s="20"/>
      <c r="B32" s="20" t="s">
        <v>34</v>
      </c>
      <c r="C32" s="20"/>
      <c r="D32" s="28">
        <f>D19*5%</f>
        <v>790.91750000000002</v>
      </c>
      <c r="E32" s="20"/>
    </row>
    <row r="33" spans="1:5" x14ac:dyDescent="0.25">
      <c r="A33" s="20"/>
      <c r="B33" s="20" t="s">
        <v>74</v>
      </c>
      <c r="C33" s="20"/>
      <c r="D33" s="20">
        <v>0</v>
      </c>
      <c r="E33" s="20"/>
    </row>
    <row r="34" spans="1:5" x14ac:dyDescent="0.25">
      <c r="A34" s="20"/>
      <c r="B34" s="20" t="s">
        <v>36</v>
      </c>
      <c r="C34" s="20"/>
      <c r="D34" s="28">
        <v>802.8</v>
      </c>
      <c r="E34" s="20"/>
    </row>
    <row r="35" spans="1:5" x14ac:dyDescent="0.25">
      <c r="A35" s="20"/>
      <c r="B35" s="31" t="s">
        <v>37</v>
      </c>
      <c r="C35" s="20"/>
      <c r="D35" s="20">
        <v>88.58</v>
      </c>
      <c r="E35" s="20"/>
    </row>
    <row r="36" spans="1:5" x14ac:dyDescent="0.25">
      <c r="A36" s="20"/>
      <c r="B36" s="27" t="s">
        <v>38</v>
      </c>
      <c r="C36" s="20"/>
      <c r="D36" s="20">
        <v>121.41</v>
      </c>
      <c r="E36" s="20"/>
    </row>
    <row r="37" spans="1:5" x14ac:dyDescent="0.25">
      <c r="A37" s="20"/>
      <c r="B37" s="31" t="s">
        <v>41</v>
      </c>
      <c r="C37" s="20"/>
      <c r="D37" s="20">
        <v>255.14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2223.36</v>
      </c>
      <c r="E38" s="26">
        <f>E39</f>
        <v>478.05830000000003</v>
      </c>
    </row>
    <row r="39" spans="1:5" x14ac:dyDescent="0.25">
      <c r="A39" s="20"/>
      <c r="B39" s="31" t="s">
        <v>43</v>
      </c>
      <c r="C39" s="31"/>
      <c r="D39" s="33">
        <v>1824.65</v>
      </c>
      <c r="E39" s="28">
        <f>D39*26.2%</f>
        <v>478.05830000000003</v>
      </c>
    </row>
    <row r="40" spans="1:5" x14ac:dyDescent="0.25">
      <c r="A40" s="20"/>
      <c r="B40" s="20" t="s">
        <v>44</v>
      </c>
      <c r="C40" s="20"/>
      <c r="D40" s="33">
        <v>398.71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D22+E22+D28+E28+D31+D38+E38</f>
        <v>17806.425279999999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D19*6%</f>
        <v>949.101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18755.526279999998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D19-D43</f>
        <v>-2937.1762799999979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D11+D45</f>
        <v>-22230.016279999996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7"/>
      <c r="B48" s="37" t="s">
        <v>50</v>
      </c>
      <c r="C48" s="37"/>
      <c r="D48" s="37" t="s">
        <v>51</v>
      </c>
      <c r="E48" s="37"/>
    </row>
    <row r="49" spans="1:5" x14ac:dyDescent="0.25">
      <c r="A49" s="37"/>
      <c r="B49" s="37" t="s">
        <v>52</v>
      </c>
      <c r="C49" s="37"/>
      <c r="D49" s="37" t="s">
        <v>53</v>
      </c>
      <c r="E49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D48" sqref="D48"/>
    </sheetView>
  </sheetViews>
  <sheetFormatPr defaultRowHeight="15" x14ac:dyDescent="0.25"/>
  <cols>
    <col min="2" max="2" width="40.7109375" customWidth="1"/>
    <col min="4" max="4" width="11" customWidth="1"/>
    <col min="5" max="5" width="10.28515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162</v>
      </c>
    </row>
    <row r="5" spans="1:5" x14ac:dyDescent="0.25">
      <c r="B5" t="s">
        <v>3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92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-49979.14</v>
      </c>
      <c r="E10" s="11"/>
    </row>
    <row r="11" spans="1:5" x14ac:dyDescent="0.25">
      <c r="A11" s="13"/>
      <c r="B11" s="14" t="s">
        <v>11</v>
      </c>
      <c r="C11" s="13" t="s">
        <v>12</v>
      </c>
      <c r="D11" s="13">
        <v>3980.8</v>
      </c>
      <c r="E11" s="13"/>
    </row>
    <row r="12" spans="1:5" x14ac:dyDescent="0.25">
      <c r="A12" s="13"/>
      <c r="B12" s="14" t="s">
        <v>13</v>
      </c>
      <c r="C12" s="13" t="s">
        <v>12</v>
      </c>
      <c r="D12" s="13">
        <v>2528.5</v>
      </c>
      <c r="E12" s="13"/>
    </row>
    <row r="13" spans="1:5" x14ac:dyDescent="0.25">
      <c r="A13" s="13"/>
      <c r="B13" s="15" t="s">
        <v>14</v>
      </c>
      <c r="C13" s="13" t="s">
        <v>15</v>
      </c>
      <c r="D13" s="19">
        <f>53033.04*2</f>
        <v>106066.08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3">
        <v>93886.55</v>
      </c>
      <c r="E16" s="13"/>
    </row>
    <row r="17" spans="1:5" x14ac:dyDescent="0.25">
      <c r="A17" s="13">
        <v>2</v>
      </c>
      <c r="B17" s="13" t="s">
        <v>18</v>
      </c>
      <c r="C17" s="13"/>
      <c r="D17" s="13">
        <v>24710.38</v>
      </c>
      <c r="E17" s="13"/>
    </row>
    <row r="18" spans="1:5" ht="15.75" x14ac:dyDescent="0.25">
      <c r="A18" s="13"/>
      <c r="B18" s="16" t="s">
        <v>19</v>
      </c>
      <c r="C18" s="13"/>
      <c r="D18" s="19">
        <f>D16+D17</f>
        <v>118596.93000000001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32520.57</v>
      </c>
      <c r="E21" s="26">
        <f>E22</f>
        <v>8203.0706600000012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</f>
        <v>31309.43</v>
      </c>
      <c r="E22" s="26">
        <f>E23+E24</f>
        <v>8203.0706600000012</v>
      </c>
    </row>
    <row r="23" spans="1:5" x14ac:dyDescent="0.25">
      <c r="A23" s="20"/>
      <c r="B23" s="20" t="s">
        <v>25</v>
      </c>
      <c r="C23" s="20"/>
      <c r="D23" s="20">
        <v>16612.48</v>
      </c>
      <c r="E23" s="28">
        <f>D23*26.2%</f>
        <v>4352.46976</v>
      </c>
    </row>
    <row r="24" spans="1:5" x14ac:dyDescent="0.25">
      <c r="A24" s="20"/>
      <c r="B24" s="20" t="s">
        <v>26</v>
      </c>
      <c r="C24" s="20"/>
      <c r="D24" s="29">
        <v>14696.95</v>
      </c>
      <c r="E24" s="28">
        <f>D24*26.2%</f>
        <v>3850.6009000000004</v>
      </c>
    </row>
    <row r="25" spans="1:5" x14ac:dyDescent="0.25">
      <c r="A25" s="20"/>
      <c r="B25" s="20" t="s">
        <v>27</v>
      </c>
      <c r="C25" s="20"/>
      <c r="D25" s="20">
        <v>0</v>
      </c>
      <c r="E25" s="28"/>
    </row>
    <row r="26" spans="1:5" x14ac:dyDescent="0.25">
      <c r="A26" s="20">
        <v>2</v>
      </c>
      <c r="B26" s="27" t="s">
        <v>28</v>
      </c>
      <c r="C26" s="20"/>
      <c r="D26" s="20">
        <v>1211.1400000000001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D28+D30+D29</f>
        <v>49172.79</v>
      </c>
      <c r="E27" s="26">
        <f>E28</f>
        <v>5877.0870600000007</v>
      </c>
    </row>
    <row r="28" spans="1:5" x14ac:dyDescent="0.25">
      <c r="A28" s="20">
        <v>1</v>
      </c>
      <c r="B28" s="31" t="s">
        <v>31</v>
      </c>
      <c r="C28" s="20"/>
      <c r="D28" s="31">
        <v>22431.63</v>
      </c>
      <c r="E28" s="28">
        <f>D28*26.2%</f>
        <v>5877.0870600000007</v>
      </c>
    </row>
    <row r="29" spans="1:5" x14ac:dyDescent="0.25">
      <c r="A29" s="20">
        <v>2</v>
      </c>
      <c r="B29" s="31" t="s">
        <v>28</v>
      </c>
      <c r="C29" s="20"/>
      <c r="D29" s="31">
        <v>26377.66</v>
      </c>
      <c r="E29" s="28"/>
    </row>
    <row r="30" spans="1:5" x14ac:dyDescent="0.25">
      <c r="A30" s="20">
        <v>3</v>
      </c>
      <c r="B30" s="31" t="s">
        <v>146</v>
      </c>
      <c r="C30" s="20"/>
      <c r="D30" s="31">
        <v>363.5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</f>
        <v>13456.146500000001</v>
      </c>
      <c r="E31" s="20"/>
    </row>
    <row r="32" spans="1:5" x14ac:dyDescent="0.25">
      <c r="A32" s="20"/>
      <c r="B32" s="20" t="s">
        <v>34</v>
      </c>
      <c r="C32" s="20"/>
      <c r="D32" s="28">
        <f>D18*5%</f>
        <v>5929.8465000000006</v>
      </c>
      <c r="E32" s="20"/>
    </row>
    <row r="33" spans="1:5" x14ac:dyDescent="0.25">
      <c r="A33" s="20"/>
      <c r="B33" s="31" t="s">
        <v>58</v>
      </c>
      <c r="C33" s="20"/>
      <c r="D33" s="20">
        <f>4*84.52</f>
        <v>338.08</v>
      </c>
      <c r="E33" s="20"/>
    </row>
    <row r="34" spans="1:5" x14ac:dyDescent="0.25">
      <c r="A34" s="20"/>
      <c r="B34" s="20" t="s">
        <v>36</v>
      </c>
      <c r="C34" s="20"/>
      <c r="D34" s="28">
        <v>4551.3</v>
      </c>
      <c r="E34" s="20"/>
    </row>
    <row r="35" spans="1:5" x14ac:dyDescent="0.25">
      <c r="A35" s="20"/>
      <c r="B35" s="31" t="s">
        <v>38</v>
      </c>
      <c r="C35" s="20"/>
      <c r="D35" s="20">
        <v>688.3</v>
      </c>
      <c r="E35" s="20"/>
    </row>
    <row r="36" spans="1:5" x14ac:dyDescent="0.25">
      <c r="A36" s="20"/>
      <c r="B36" s="31" t="s">
        <v>37</v>
      </c>
      <c r="C36" s="20"/>
      <c r="D36" s="20">
        <v>502.19</v>
      </c>
      <c r="E36" s="20"/>
    </row>
    <row r="37" spans="1:5" x14ac:dyDescent="0.25">
      <c r="A37" s="20"/>
      <c r="B37" s="20" t="s">
        <v>41</v>
      </c>
      <c r="C37" s="20"/>
      <c r="D37" s="20">
        <v>1446.43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12604.830000000002</v>
      </c>
      <c r="E38" s="22">
        <f>E39</f>
        <v>2710.2459000000003</v>
      </c>
    </row>
    <row r="39" spans="1:5" x14ac:dyDescent="0.25">
      <c r="A39" s="20"/>
      <c r="B39" s="31" t="s">
        <v>43</v>
      </c>
      <c r="C39" s="31"/>
      <c r="D39" s="33">
        <v>10344.450000000001</v>
      </c>
      <c r="E39" s="20">
        <f>D39*26.2%</f>
        <v>2710.2459000000003</v>
      </c>
    </row>
    <row r="40" spans="1:5" x14ac:dyDescent="0.25">
      <c r="A40" s="20"/>
      <c r="B40" s="20" t="s">
        <v>44</v>
      </c>
      <c r="C40" s="20"/>
      <c r="D40" s="33">
        <v>2260.38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D21+E21+D27+E27+D31+D38+E38</f>
        <v>124544.74012000002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7115.8158000000003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131660.55592000001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D16-D43</f>
        <v>-37774.005920000011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-87753.14592000001</v>
      </c>
      <c r="E46" s="20"/>
    </row>
    <row r="47" spans="1:5" x14ac:dyDescent="0.25">
      <c r="A47" s="34"/>
      <c r="B47" s="35" t="s">
        <v>18</v>
      </c>
      <c r="C47" s="34"/>
      <c r="D47" s="36">
        <f>D17+15423.2</f>
        <v>40133.58</v>
      </c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61" workbookViewId="0">
      <selection activeCell="E12" sqref="E12"/>
    </sheetView>
  </sheetViews>
  <sheetFormatPr defaultRowHeight="15" x14ac:dyDescent="0.25"/>
  <cols>
    <col min="2" max="2" width="42.42578125" customWidth="1"/>
    <col min="4" max="4" width="11" customWidth="1"/>
    <col min="5" max="5" width="11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163</v>
      </c>
    </row>
    <row r="5" spans="1:5" x14ac:dyDescent="0.25">
      <c r="B5" t="s">
        <v>3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92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-45818.68</v>
      </c>
      <c r="E10" s="11"/>
    </row>
    <row r="11" spans="1:5" x14ac:dyDescent="0.25">
      <c r="A11" s="13"/>
      <c r="B11" s="14" t="s">
        <v>11</v>
      </c>
      <c r="C11" s="13" t="s">
        <v>12</v>
      </c>
      <c r="D11" s="13">
        <v>3741.15</v>
      </c>
      <c r="E11" s="13"/>
    </row>
    <row r="12" spans="1:5" x14ac:dyDescent="0.25">
      <c r="A12" s="13"/>
      <c r="B12" s="14" t="s">
        <v>13</v>
      </c>
      <c r="C12" s="13" t="s">
        <v>12</v>
      </c>
      <c r="D12" s="13">
        <v>2509.41</v>
      </c>
      <c r="E12" s="13"/>
    </row>
    <row r="13" spans="1:5" x14ac:dyDescent="0.25">
      <c r="A13" s="13"/>
      <c r="B13" s="15" t="s">
        <v>14</v>
      </c>
      <c r="C13" s="13" t="s">
        <v>15</v>
      </c>
      <c r="D13" s="19">
        <f>52622.07*2</f>
        <v>105244.14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7">
        <v>97238.01</v>
      </c>
      <c r="E16" s="13"/>
    </row>
    <row r="17" spans="1:5" x14ac:dyDescent="0.25">
      <c r="A17" s="13"/>
      <c r="B17" s="13"/>
      <c r="C17" s="13"/>
      <c r="D17" s="17"/>
      <c r="E17" s="13"/>
    </row>
    <row r="18" spans="1:5" ht="15.75" x14ac:dyDescent="0.25">
      <c r="A18" s="13"/>
      <c r="B18" s="16" t="s">
        <v>19</v>
      </c>
      <c r="C18" s="13"/>
      <c r="D18" s="18">
        <f>D16</f>
        <v>97238.01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39119.590000000004</v>
      </c>
      <c r="E21" s="26">
        <f>E22</f>
        <v>9994.9201000000012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38148.550000000003</v>
      </c>
      <c r="E22" s="26">
        <f>E23+E24+E25</f>
        <v>9994.9201000000012</v>
      </c>
    </row>
    <row r="23" spans="1:5" x14ac:dyDescent="0.25">
      <c r="A23" s="20"/>
      <c r="B23" s="20" t="s">
        <v>25</v>
      </c>
      <c r="C23" s="20"/>
      <c r="D23" s="20">
        <v>12951.93</v>
      </c>
      <c r="E23" s="28">
        <f>D23*26.2%</f>
        <v>3393.4056600000004</v>
      </c>
    </row>
    <row r="24" spans="1:5" x14ac:dyDescent="0.25">
      <c r="A24" s="20"/>
      <c r="B24" s="20" t="s">
        <v>26</v>
      </c>
      <c r="C24" s="20"/>
      <c r="D24" s="29">
        <v>11703.01</v>
      </c>
      <c r="E24" s="28">
        <f>D24*26.2%</f>
        <v>3066.1886200000004</v>
      </c>
    </row>
    <row r="25" spans="1:5" x14ac:dyDescent="0.25">
      <c r="A25" s="20"/>
      <c r="B25" s="20" t="s">
        <v>27</v>
      </c>
      <c r="C25" s="20"/>
      <c r="D25" s="20">
        <v>13493.61</v>
      </c>
      <c r="E25" s="28">
        <f>D25*26.2%</f>
        <v>3535.3258200000005</v>
      </c>
    </row>
    <row r="26" spans="1:5" x14ac:dyDescent="0.25">
      <c r="A26" s="20">
        <v>2</v>
      </c>
      <c r="B26" s="27" t="s">
        <v>28</v>
      </c>
      <c r="C26" s="20"/>
      <c r="D26" s="20">
        <v>971.04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22579.040000000001</v>
      </c>
      <c r="E27" s="26">
        <f>E28</f>
        <v>5832.7147400000003</v>
      </c>
    </row>
    <row r="28" spans="1:5" x14ac:dyDescent="0.25">
      <c r="A28" s="20">
        <v>1</v>
      </c>
      <c r="B28" s="31" t="s">
        <v>31</v>
      </c>
      <c r="C28" s="20"/>
      <c r="D28" s="31">
        <v>22262.27</v>
      </c>
      <c r="E28" s="28">
        <f>D28*26.2%</f>
        <v>5832.7147400000003</v>
      </c>
    </row>
    <row r="29" spans="1:5" x14ac:dyDescent="0.25">
      <c r="A29" s="20">
        <v>2</v>
      </c>
      <c r="B29" s="31" t="s">
        <v>28</v>
      </c>
      <c r="C29" s="20"/>
      <c r="D29" s="31">
        <v>316.77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D31+D32+D33+D34+D35+D37+D36</f>
        <v>15465.2605</v>
      </c>
      <c r="E30" s="20"/>
    </row>
    <row r="31" spans="1:5" x14ac:dyDescent="0.25">
      <c r="A31" s="20"/>
      <c r="B31" s="20" t="s">
        <v>34</v>
      </c>
      <c r="C31" s="20"/>
      <c r="D31" s="28">
        <f>D18*5%</f>
        <v>4861.9004999999997</v>
      </c>
      <c r="E31" s="20"/>
    </row>
    <row r="32" spans="1:5" x14ac:dyDescent="0.25">
      <c r="A32" s="20"/>
      <c r="B32" s="31" t="s">
        <v>58</v>
      </c>
      <c r="C32" s="20"/>
      <c r="D32" s="20">
        <f>84.52*4</f>
        <v>338.08</v>
      </c>
      <c r="E32" s="20"/>
    </row>
    <row r="33" spans="1:5" x14ac:dyDescent="0.25">
      <c r="A33" s="20"/>
      <c r="B33" s="20" t="s">
        <v>36</v>
      </c>
      <c r="C33" s="20"/>
      <c r="D33" s="28">
        <v>4516.9399999999996</v>
      </c>
      <c r="E33" s="20"/>
    </row>
    <row r="34" spans="1:5" x14ac:dyDescent="0.25">
      <c r="A34" s="20"/>
      <c r="B34" s="31" t="s">
        <v>37</v>
      </c>
      <c r="C34" s="20"/>
      <c r="D34" s="20">
        <v>498.4</v>
      </c>
      <c r="E34" s="20"/>
    </row>
    <row r="35" spans="1:5" x14ac:dyDescent="0.25">
      <c r="A35" s="20"/>
      <c r="B35" s="27" t="s">
        <v>38</v>
      </c>
      <c r="C35" s="20"/>
      <c r="D35" s="20">
        <v>683.11</v>
      </c>
      <c r="E35" s="20"/>
    </row>
    <row r="36" spans="1:5" x14ac:dyDescent="0.25">
      <c r="A36" s="20"/>
      <c r="B36" s="27" t="s">
        <v>84</v>
      </c>
      <c r="C36" s="20"/>
      <c r="D36" s="20">
        <v>3131.32</v>
      </c>
      <c r="E36" s="20"/>
    </row>
    <row r="37" spans="1:5" x14ac:dyDescent="0.25">
      <c r="A37" s="20"/>
      <c r="B37" s="31" t="s">
        <v>41</v>
      </c>
      <c r="C37" s="20"/>
      <c r="D37" s="20">
        <v>1435.51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12509.67</v>
      </c>
      <c r="E38" s="26">
        <f>E39</f>
        <v>2689.7837000000004</v>
      </c>
    </row>
    <row r="39" spans="1:5" x14ac:dyDescent="0.25">
      <c r="A39" s="20"/>
      <c r="B39" s="31" t="s">
        <v>43</v>
      </c>
      <c r="C39" s="31"/>
      <c r="D39" s="33">
        <v>10266.35</v>
      </c>
      <c r="E39" s="28">
        <f>D39*26.2%</f>
        <v>2689.7837000000004</v>
      </c>
    </row>
    <row r="40" spans="1:5" x14ac:dyDescent="0.25">
      <c r="A40" s="20"/>
      <c r="B40" s="20" t="s">
        <v>44</v>
      </c>
      <c r="C40" s="20"/>
      <c r="D40" s="33">
        <v>2243.3200000000002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D21+E21+D27+E27+D30+D38+E38</f>
        <v>108190.97904000001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5834.2805999999991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114025.25964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D18-D43</f>
        <v>-16787.249640000009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-62605.929640000009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D47" sqref="D47"/>
    </sheetView>
  </sheetViews>
  <sheetFormatPr defaultRowHeight="15" x14ac:dyDescent="0.25"/>
  <cols>
    <col min="2" max="2" width="39.85546875" customWidth="1"/>
    <col min="4" max="4" width="11.28515625" customWidth="1"/>
    <col min="5" max="5" width="11.71093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164</v>
      </c>
    </row>
    <row r="4" spans="1:5" x14ac:dyDescent="0.25">
      <c r="B4" t="s">
        <v>150</v>
      </c>
    </row>
    <row r="5" spans="1:5" x14ac:dyDescent="0.25">
      <c r="A5" s="2"/>
      <c r="B5" s="2"/>
      <c r="C5" s="2"/>
      <c r="D5" s="3"/>
      <c r="E5" s="4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8</v>
      </c>
      <c r="D7" s="580" t="s">
        <v>92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89667.36</v>
      </c>
      <c r="E9" s="11"/>
    </row>
    <row r="10" spans="1:5" x14ac:dyDescent="0.25">
      <c r="A10" s="13"/>
      <c r="B10" s="14" t="s">
        <v>11</v>
      </c>
      <c r="C10" s="13" t="s">
        <v>12</v>
      </c>
      <c r="D10" s="13">
        <v>5902.23</v>
      </c>
      <c r="E10" s="13"/>
    </row>
    <row r="11" spans="1:5" x14ac:dyDescent="0.25">
      <c r="A11" s="13"/>
      <c r="B11" s="14" t="s">
        <v>13</v>
      </c>
      <c r="C11" s="13" t="s">
        <v>12</v>
      </c>
      <c r="D11" s="13">
        <v>4583.71</v>
      </c>
      <c r="E11" s="13"/>
    </row>
    <row r="12" spans="1:5" x14ac:dyDescent="0.25">
      <c r="A12" s="13"/>
      <c r="B12" s="15" t="s">
        <v>14</v>
      </c>
      <c r="C12" s="13" t="s">
        <v>15</v>
      </c>
      <c r="D12" s="19">
        <f>86643.03*2</f>
        <v>173286.06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16</v>
      </c>
      <c r="C14" s="13"/>
      <c r="D14" s="13"/>
      <c r="E14" s="13"/>
    </row>
    <row r="15" spans="1:5" x14ac:dyDescent="0.25">
      <c r="A15" s="13">
        <v>1</v>
      </c>
      <c r="B15" s="13" t="s">
        <v>17</v>
      </c>
      <c r="C15" s="13" t="s">
        <v>15</v>
      </c>
      <c r="D15" s="13">
        <v>160164.92000000001</v>
      </c>
      <c r="E15" s="13"/>
    </row>
    <row r="16" spans="1:5" x14ac:dyDescent="0.25">
      <c r="A16" s="13">
        <v>2</v>
      </c>
      <c r="B16" s="13" t="s">
        <v>18</v>
      </c>
      <c r="C16" s="13"/>
      <c r="D16" s="13">
        <v>40952.730000000003</v>
      </c>
      <c r="E16" s="13"/>
    </row>
    <row r="17" spans="1:5" ht="15.75" x14ac:dyDescent="0.25">
      <c r="A17" s="13"/>
      <c r="B17" s="16" t="s">
        <v>19</v>
      </c>
      <c r="C17" s="13"/>
      <c r="D17" s="19">
        <f>D15+D16</f>
        <v>201117.65000000002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D21+D26+D25</f>
        <v>45133.05</v>
      </c>
      <c r="E20" s="26">
        <f>E21</f>
        <v>10632.279640000001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40581.22</v>
      </c>
      <c r="E21" s="26">
        <f>E22</f>
        <v>10632.279640000001</v>
      </c>
    </row>
    <row r="22" spans="1:5" x14ac:dyDescent="0.25">
      <c r="A22" s="20"/>
      <c r="B22" s="20" t="s">
        <v>25</v>
      </c>
      <c r="C22" s="20"/>
      <c r="D22" s="20">
        <v>40581.22</v>
      </c>
      <c r="E22" s="28">
        <f>D22*26.2%</f>
        <v>10632.279640000001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/>
      <c r="B25" s="20" t="s">
        <v>131</v>
      </c>
      <c r="C25" s="20"/>
      <c r="D25" s="20">
        <v>2000</v>
      </c>
      <c r="E25" s="28"/>
    </row>
    <row r="26" spans="1:5" x14ac:dyDescent="0.25">
      <c r="A26" s="20">
        <v>2</v>
      </c>
      <c r="B26" s="27" t="s">
        <v>28</v>
      </c>
      <c r="C26" s="20"/>
      <c r="D26" s="20">
        <v>2551.83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59749.39</v>
      </c>
      <c r="E27" s="26">
        <f>E28</f>
        <v>10654.088519999999</v>
      </c>
    </row>
    <row r="28" spans="1:5" x14ac:dyDescent="0.25">
      <c r="A28" s="20">
        <v>1</v>
      </c>
      <c r="B28" s="31" t="s">
        <v>31</v>
      </c>
      <c r="C28" s="20"/>
      <c r="D28" s="31">
        <v>40664.46</v>
      </c>
      <c r="E28" s="28">
        <f>D28*26.2%</f>
        <v>10654.088519999999</v>
      </c>
    </row>
    <row r="29" spans="1:5" x14ac:dyDescent="0.25">
      <c r="A29" s="20">
        <v>2</v>
      </c>
      <c r="B29" s="31" t="s">
        <v>28</v>
      </c>
      <c r="C29" s="20"/>
      <c r="D29" s="31">
        <v>19084.93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D31+D32+D33+D34+D35+D38+D36+D37</f>
        <v>200570.04250000001</v>
      </c>
      <c r="E30" s="20"/>
    </row>
    <row r="31" spans="1:5" x14ac:dyDescent="0.25">
      <c r="A31" s="20"/>
      <c r="B31" s="20" t="s">
        <v>34</v>
      </c>
      <c r="C31" s="20"/>
      <c r="D31" s="28">
        <f>D17*5%</f>
        <v>10055.882500000002</v>
      </c>
      <c r="E31" s="20"/>
    </row>
    <row r="32" spans="1:5" x14ac:dyDescent="0.25">
      <c r="A32" s="20"/>
      <c r="B32" s="20" t="s">
        <v>74</v>
      </c>
      <c r="C32" s="20"/>
      <c r="D32" s="20">
        <v>0</v>
      </c>
      <c r="E32" s="20"/>
    </row>
    <row r="33" spans="1:5" x14ac:dyDescent="0.25">
      <c r="A33" s="20"/>
      <c r="B33" s="20" t="s">
        <v>36</v>
      </c>
      <c r="C33" s="20"/>
      <c r="D33" s="28">
        <v>8250.68</v>
      </c>
      <c r="E33" s="20"/>
    </row>
    <row r="34" spans="1:5" x14ac:dyDescent="0.25">
      <c r="A34" s="20"/>
      <c r="B34" s="31" t="s">
        <v>37</v>
      </c>
      <c r="C34" s="20"/>
      <c r="D34" s="20">
        <v>910.39</v>
      </c>
      <c r="E34" s="20"/>
    </row>
    <row r="35" spans="1:5" x14ac:dyDescent="0.25">
      <c r="A35" s="20"/>
      <c r="B35" s="27" t="s">
        <v>38</v>
      </c>
      <c r="C35" s="20"/>
      <c r="D35" s="20">
        <v>1247.77</v>
      </c>
      <c r="E35" s="20"/>
    </row>
    <row r="36" spans="1:5" x14ac:dyDescent="0.25">
      <c r="A36" s="20"/>
      <c r="B36" s="27" t="s">
        <v>87</v>
      </c>
      <c r="C36" s="20"/>
      <c r="D36" s="20">
        <v>159000</v>
      </c>
      <c r="E36" s="20"/>
    </row>
    <row r="37" spans="1:5" x14ac:dyDescent="0.25">
      <c r="A37" s="20"/>
      <c r="B37" s="27" t="s">
        <v>165</v>
      </c>
      <c r="C37" s="20"/>
      <c r="D37" s="20">
        <v>18483.2</v>
      </c>
      <c r="E37" s="20"/>
    </row>
    <row r="38" spans="1:5" x14ac:dyDescent="0.25">
      <c r="A38" s="20"/>
      <c r="B38" s="31" t="s">
        <v>41</v>
      </c>
      <c r="C38" s="20"/>
      <c r="D38" s="20">
        <v>2622.12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22850.25</v>
      </c>
      <c r="E39" s="26">
        <f>E40</f>
        <v>4913.1812</v>
      </c>
    </row>
    <row r="40" spans="1:5" x14ac:dyDescent="0.25">
      <c r="A40" s="20"/>
      <c r="B40" s="31" t="s">
        <v>43</v>
      </c>
      <c r="C40" s="31"/>
      <c r="D40" s="33">
        <v>18752.599999999999</v>
      </c>
      <c r="E40" s="28">
        <f>D40*26.2%</f>
        <v>4913.1812</v>
      </c>
    </row>
    <row r="41" spans="1:5" x14ac:dyDescent="0.25">
      <c r="A41" s="20"/>
      <c r="B41" s="20" t="s">
        <v>44</v>
      </c>
      <c r="C41" s="20"/>
      <c r="D41" s="33">
        <v>4097.6499999999996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D20+E20+D27+E27+D30+D39+E39</f>
        <v>354502.28185999999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12067.059000000001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366569.34086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D15-D44</f>
        <v>-206404.42085999998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-116737.06085999998</v>
      </c>
      <c r="E47" s="20"/>
    </row>
    <row r="48" spans="1:5" x14ac:dyDescent="0.25">
      <c r="A48" s="34"/>
      <c r="B48" s="35" t="s">
        <v>18</v>
      </c>
      <c r="C48" s="34"/>
      <c r="D48" s="36">
        <v>40952.730000000003</v>
      </c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H39" sqref="H39"/>
    </sheetView>
  </sheetViews>
  <sheetFormatPr defaultRowHeight="15" x14ac:dyDescent="0.25"/>
  <cols>
    <col min="2" max="2" width="42.28515625" customWidth="1"/>
    <col min="4" max="4" width="12" customWidth="1"/>
    <col min="5" max="5" width="10.28515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166</v>
      </c>
    </row>
    <row r="4" spans="1:5" x14ac:dyDescent="0.25">
      <c r="B4" t="s">
        <v>3</v>
      </c>
    </row>
    <row r="5" spans="1:5" x14ac:dyDescent="0.25">
      <c r="A5" s="2"/>
      <c r="B5" s="2"/>
      <c r="C5" s="2"/>
      <c r="D5" s="3"/>
      <c r="E5" s="4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8</v>
      </c>
      <c r="D7" s="580" t="s">
        <v>57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78155.88</v>
      </c>
      <c r="E9" s="11"/>
    </row>
    <row r="10" spans="1:5" x14ac:dyDescent="0.25">
      <c r="A10" s="13"/>
      <c r="B10" s="14" t="s">
        <v>11</v>
      </c>
      <c r="C10" s="13" t="s">
        <v>12</v>
      </c>
      <c r="D10" s="13">
        <v>3713.1</v>
      </c>
      <c r="E10" s="13"/>
    </row>
    <row r="11" spans="1:5" x14ac:dyDescent="0.25">
      <c r="A11" s="13"/>
      <c r="B11" s="14" t="s">
        <v>13</v>
      </c>
      <c r="C11" s="13" t="s">
        <v>12</v>
      </c>
      <c r="D11" s="13">
        <v>3054.59</v>
      </c>
      <c r="E11" s="13"/>
    </row>
    <row r="12" spans="1:5" x14ac:dyDescent="0.25">
      <c r="A12" s="13"/>
      <c r="B12" s="15" t="s">
        <v>14</v>
      </c>
      <c r="C12" s="13" t="s">
        <v>15</v>
      </c>
      <c r="D12" s="19">
        <f>58582.11*2</f>
        <v>117164.22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16</v>
      </c>
      <c r="C14" s="13"/>
      <c r="D14" s="13"/>
      <c r="E14" s="13"/>
    </row>
    <row r="15" spans="1:5" x14ac:dyDescent="0.25">
      <c r="A15" s="13">
        <v>1</v>
      </c>
      <c r="B15" s="13" t="s">
        <v>17</v>
      </c>
      <c r="C15" s="13" t="s">
        <v>15</v>
      </c>
      <c r="D15" s="13">
        <f>117727.7+261</f>
        <v>117988.7</v>
      </c>
      <c r="E15" s="13"/>
    </row>
    <row r="16" spans="1:5" x14ac:dyDescent="0.25">
      <c r="A16" s="13">
        <v>2</v>
      </c>
      <c r="B16" s="13" t="s">
        <v>18</v>
      </c>
      <c r="C16" s="13"/>
      <c r="D16" s="13">
        <v>30934.82</v>
      </c>
      <c r="E16" s="13"/>
    </row>
    <row r="17" spans="1:5" ht="15.75" x14ac:dyDescent="0.25">
      <c r="A17" s="13"/>
      <c r="B17" s="16" t="s">
        <v>19</v>
      </c>
      <c r="C17" s="13"/>
      <c r="D17" s="19">
        <f>D15+D16</f>
        <v>148923.51999999999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D21+D25</f>
        <v>23568.55</v>
      </c>
      <c r="E20" s="26">
        <f>E21</f>
        <v>5921.9100200000003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22602.71</v>
      </c>
      <c r="E21" s="26">
        <f>E22</f>
        <v>5921.9100200000003</v>
      </c>
    </row>
    <row r="22" spans="1:5" x14ac:dyDescent="0.25">
      <c r="A22" s="20"/>
      <c r="B22" s="20" t="s">
        <v>25</v>
      </c>
      <c r="C22" s="20"/>
      <c r="D22" s="20">
        <v>22602.71</v>
      </c>
      <c r="E22" s="28">
        <f>D22*26.2%</f>
        <v>5921.9100200000003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>
        <v>2</v>
      </c>
      <c r="B25" s="27" t="s">
        <v>28</v>
      </c>
      <c r="C25" s="20"/>
      <c r="D25" s="20">
        <v>965.84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52165.36</v>
      </c>
      <c r="E26" s="26">
        <f>E27</f>
        <v>7099.8986999999997</v>
      </c>
    </row>
    <row r="27" spans="1:5" x14ac:dyDescent="0.25">
      <c r="A27" s="20">
        <v>1</v>
      </c>
      <c r="B27" s="31" t="s">
        <v>31</v>
      </c>
      <c r="C27" s="20"/>
      <c r="D27" s="31">
        <v>27098.85</v>
      </c>
      <c r="E27" s="20">
        <f>D27*26.2%</f>
        <v>7099.8986999999997</v>
      </c>
    </row>
    <row r="28" spans="1:5" x14ac:dyDescent="0.25">
      <c r="A28" s="20">
        <v>2</v>
      </c>
      <c r="B28" s="31" t="s">
        <v>28</v>
      </c>
      <c r="C28" s="20"/>
      <c r="D28" s="31">
        <v>22340.26</v>
      </c>
      <c r="E28" s="20"/>
    </row>
    <row r="29" spans="1:5" x14ac:dyDescent="0.25">
      <c r="A29" s="20">
        <v>3</v>
      </c>
      <c r="B29" s="31" t="s">
        <v>146</v>
      </c>
      <c r="C29" s="20"/>
      <c r="D29" s="31">
        <v>2726.25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D31+D33+D34+D35+D36+D38+D37+D32</f>
        <v>28488.816000000003</v>
      </c>
      <c r="E30" s="20"/>
    </row>
    <row r="31" spans="1:5" x14ac:dyDescent="0.25">
      <c r="A31" s="20"/>
      <c r="B31" s="20" t="s">
        <v>34</v>
      </c>
      <c r="C31" s="20"/>
      <c r="D31" s="28">
        <f>D17*5%</f>
        <v>7446.1759999999995</v>
      </c>
      <c r="E31" s="20"/>
    </row>
    <row r="32" spans="1:5" x14ac:dyDescent="0.25">
      <c r="A32" s="20"/>
      <c r="B32" s="20" t="s">
        <v>35</v>
      </c>
      <c r="C32" s="20"/>
      <c r="D32" s="20">
        <v>2842.8</v>
      </c>
      <c r="E32" s="20"/>
    </row>
    <row r="33" spans="1:5" x14ac:dyDescent="0.25">
      <c r="A33" s="20"/>
      <c r="B33" s="31" t="s">
        <v>58</v>
      </c>
      <c r="C33" s="20"/>
      <c r="D33" s="20">
        <f>4*84.52</f>
        <v>338.08</v>
      </c>
      <c r="E33" s="20"/>
    </row>
    <row r="34" spans="1:5" x14ac:dyDescent="0.25">
      <c r="A34" s="20"/>
      <c r="B34" s="20" t="s">
        <v>36</v>
      </c>
      <c r="C34" s="20"/>
      <c r="D34" s="28">
        <v>5498.26</v>
      </c>
      <c r="E34" s="20"/>
    </row>
    <row r="35" spans="1:5" x14ac:dyDescent="0.25">
      <c r="A35" s="20"/>
      <c r="B35" s="31" t="s">
        <v>37</v>
      </c>
      <c r="C35" s="20"/>
      <c r="D35" s="20">
        <v>606.67999999999995</v>
      </c>
      <c r="E35" s="20"/>
    </row>
    <row r="36" spans="1:5" x14ac:dyDescent="0.25">
      <c r="A36" s="20"/>
      <c r="B36" s="27" t="s">
        <v>38</v>
      </c>
      <c r="C36" s="20"/>
      <c r="D36" s="20">
        <v>831.51</v>
      </c>
      <c r="E36" s="20"/>
    </row>
    <row r="37" spans="1:5" x14ac:dyDescent="0.25">
      <c r="A37" s="20"/>
      <c r="B37" s="27" t="s">
        <v>84</v>
      </c>
      <c r="C37" s="20"/>
      <c r="D37" s="20">
        <v>9177.92</v>
      </c>
      <c r="E37" s="20"/>
    </row>
    <row r="38" spans="1:5" x14ac:dyDescent="0.25">
      <c r="A38" s="20"/>
      <c r="B38" s="20" t="s">
        <v>41</v>
      </c>
      <c r="C38" s="20"/>
      <c r="D38" s="20">
        <v>1747.39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15227.45</v>
      </c>
      <c r="E39" s="26">
        <f>E40</f>
        <v>3274.15112</v>
      </c>
    </row>
    <row r="40" spans="1:5" x14ac:dyDescent="0.25">
      <c r="A40" s="20"/>
      <c r="B40" s="31" t="s">
        <v>43</v>
      </c>
      <c r="C40" s="31"/>
      <c r="D40" s="33">
        <v>12496.76</v>
      </c>
      <c r="E40" s="28">
        <f>D40*26.2%</f>
        <v>3274.15112</v>
      </c>
    </row>
    <row r="41" spans="1:5" x14ac:dyDescent="0.25">
      <c r="A41" s="20"/>
      <c r="B41" s="20" t="s">
        <v>44</v>
      </c>
      <c r="C41" s="20"/>
      <c r="D41" s="33">
        <v>2730.69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D20+E20+D26+E26+D30+D39+E39</f>
        <v>135746.13584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8935.4111999999986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144681.54704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D15-D44</f>
        <v>-26692.847040000008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51463.032959999997</v>
      </c>
      <c r="E47" s="20"/>
    </row>
    <row r="48" spans="1:5" x14ac:dyDescent="0.25">
      <c r="A48" s="34"/>
      <c r="B48" s="35" t="s">
        <v>18</v>
      </c>
      <c r="C48" s="34"/>
      <c r="D48" s="36">
        <v>36172.44</v>
      </c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A4" sqref="A4:E4"/>
    </sheetView>
  </sheetViews>
  <sheetFormatPr defaultRowHeight="15" x14ac:dyDescent="0.25"/>
  <cols>
    <col min="2" max="2" width="42.5703125" customWidth="1"/>
    <col min="4" max="4" width="11.140625" customWidth="1"/>
    <col min="5" max="5" width="11.285156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167</v>
      </c>
    </row>
    <row r="4" spans="1:5" x14ac:dyDescent="0.25">
      <c r="A4" s="577"/>
      <c r="B4" s="577"/>
      <c r="C4" s="577"/>
      <c r="D4" s="61"/>
      <c r="E4" s="59"/>
    </row>
    <row r="5" spans="1:5" x14ac:dyDescent="0.25">
      <c r="A5" s="5"/>
      <c r="B5" s="5"/>
      <c r="C5" s="5"/>
      <c r="D5" s="3"/>
      <c r="E5" s="60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8</v>
      </c>
      <c r="D7" s="580" t="s">
        <v>168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76744.789999999994</v>
      </c>
      <c r="E9" s="11"/>
    </row>
    <row r="10" spans="1:5" x14ac:dyDescent="0.25">
      <c r="A10" s="13"/>
      <c r="B10" s="14" t="s">
        <v>11</v>
      </c>
      <c r="C10" s="13" t="s">
        <v>12</v>
      </c>
      <c r="D10" s="13">
        <v>7687.9</v>
      </c>
      <c r="E10" s="13"/>
    </row>
    <row r="11" spans="1:5" x14ac:dyDescent="0.25">
      <c r="A11" s="13"/>
      <c r="B11" s="14" t="s">
        <v>13</v>
      </c>
      <c r="C11" s="13" t="s">
        <v>12</v>
      </c>
      <c r="D11" s="13">
        <v>4987.7</v>
      </c>
      <c r="E11" s="13"/>
    </row>
    <row r="12" spans="1:5" x14ac:dyDescent="0.25">
      <c r="A12" s="13"/>
      <c r="B12" s="15" t="s">
        <v>14</v>
      </c>
      <c r="C12" s="13" t="s">
        <v>15</v>
      </c>
      <c r="D12" s="19">
        <f>104558.19*2</f>
        <v>209116.38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16</v>
      </c>
      <c r="C14" s="13"/>
      <c r="D14" s="13"/>
      <c r="E14" s="13"/>
    </row>
    <row r="15" spans="1:5" x14ac:dyDescent="0.25">
      <c r="A15" s="13">
        <v>1</v>
      </c>
      <c r="B15" s="13" t="s">
        <v>17</v>
      </c>
      <c r="C15" s="13" t="s">
        <v>15</v>
      </c>
      <c r="D15" s="13">
        <v>214698.65</v>
      </c>
      <c r="E15" s="13"/>
    </row>
    <row r="16" spans="1:5" x14ac:dyDescent="0.25">
      <c r="A16" s="13">
        <v>2</v>
      </c>
      <c r="B16" s="13" t="s">
        <v>101</v>
      </c>
      <c r="C16" s="13" t="s">
        <v>15</v>
      </c>
      <c r="D16" s="13">
        <v>120000</v>
      </c>
      <c r="E16" s="13"/>
    </row>
    <row r="17" spans="1:5" ht="15.75" x14ac:dyDescent="0.25">
      <c r="A17" s="13"/>
      <c r="B17" s="16" t="s">
        <v>19</v>
      </c>
      <c r="C17" s="13"/>
      <c r="D17" s="19">
        <f>D15+D16</f>
        <v>334698.65000000002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6">
        <f>D21+D25</f>
        <v>72888.83</v>
      </c>
      <c r="E20" s="26">
        <f>E21</f>
        <v>18439.494500000001</v>
      </c>
    </row>
    <row r="21" spans="1:5" x14ac:dyDescent="0.25">
      <c r="A21" s="20">
        <v>1</v>
      </c>
      <c r="B21" s="22" t="s">
        <v>24</v>
      </c>
      <c r="C21" s="27" t="s">
        <v>15</v>
      </c>
      <c r="D21" s="26">
        <f>D22+D23+D24</f>
        <v>70379.75</v>
      </c>
      <c r="E21" s="26">
        <f>E22+E23+E24</f>
        <v>18439.494500000001</v>
      </c>
    </row>
    <row r="22" spans="1:5" x14ac:dyDescent="0.25">
      <c r="A22" s="20"/>
      <c r="B22" s="20" t="s">
        <v>25</v>
      </c>
      <c r="C22" s="20"/>
      <c r="D22" s="20">
        <v>15706.67</v>
      </c>
      <c r="E22" s="28">
        <f>D22*26.2%</f>
        <v>4115.1475399999999</v>
      </c>
    </row>
    <row r="23" spans="1:5" x14ac:dyDescent="0.25">
      <c r="A23" s="20"/>
      <c r="B23" s="20" t="s">
        <v>26</v>
      </c>
      <c r="C23" s="20"/>
      <c r="D23" s="29">
        <v>23320.31</v>
      </c>
      <c r="E23" s="28">
        <f>D23*26.2%</f>
        <v>6109.9212200000002</v>
      </c>
    </row>
    <row r="24" spans="1:5" x14ac:dyDescent="0.25">
      <c r="A24" s="20"/>
      <c r="B24" s="20" t="s">
        <v>27</v>
      </c>
      <c r="C24" s="20"/>
      <c r="D24" s="20">
        <v>31352.77</v>
      </c>
      <c r="E24" s="28">
        <f>D24*26.2%</f>
        <v>8214.4257400000006</v>
      </c>
    </row>
    <row r="25" spans="1:5" x14ac:dyDescent="0.25">
      <c r="A25" s="20">
        <v>2</v>
      </c>
      <c r="B25" s="27" t="s">
        <v>28</v>
      </c>
      <c r="C25" s="20"/>
      <c r="D25" s="20">
        <v>2509.08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78087.98</v>
      </c>
      <c r="E26" s="26">
        <f>E27</f>
        <v>11593.09914</v>
      </c>
    </row>
    <row r="27" spans="1:5" x14ac:dyDescent="0.25">
      <c r="A27" s="20">
        <v>1</v>
      </c>
      <c r="B27" s="31" t="s">
        <v>31</v>
      </c>
      <c r="C27" s="20"/>
      <c r="D27" s="31">
        <v>44248.47</v>
      </c>
      <c r="E27" s="28">
        <f>D27*26.2%</f>
        <v>11593.09914</v>
      </c>
    </row>
    <row r="28" spans="1:5" x14ac:dyDescent="0.25">
      <c r="A28" s="20">
        <v>2</v>
      </c>
      <c r="B28" s="31" t="s">
        <v>28</v>
      </c>
      <c r="C28" s="20"/>
      <c r="D28" s="31">
        <v>30313.56</v>
      </c>
      <c r="E28" s="20"/>
    </row>
    <row r="29" spans="1:5" x14ac:dyDescent="0.25">
      <c r="A29" s="20">
        <v>3</v>
      </c>
      <c r="B29" s="31" t="s">
        <v>146</v>
      </c>
      <c r="C29" s="20"/>
      <c r="D29" s="31">
        <v>3525.95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D31+D32+D33+D34+D35+D37+D36</f>
        <v>36061.54250000001</v>
      </c>
      <c r="E30" s="20"/>
    </row>
    <row r="31" spans="1:5" x14ac:dyDescent="0.25">
      <c r="A31" s="20"/>
      <c r="B31" s="20" t="s">
        <v>34</v>
      </c>
      <c r="C31" s="20"/>
      <c r="D31" s="28">
        <f>D17*5%</f>
        <v>16734.932500000003</v>
      </c>
      <c r="E31" s="20"/>
    </row>
    <row r="32" spans="1:5" x14ac:dyDescent="0.25">
      <c r="A32" s="20"/>
      <c r="B32" s="20" t="s">
        <v>35</v>
      </c>
      <c r="C32" s="20"/>
      <c r="D32" s="20">
        <v>4471</v>
      </c>
      <c r="E32" s="20"/>
    </row>
    <row r="33" spans="1:5" x14ac:dyDescent="0.25">
      <c r="A33" s="20"/>
      <c r="B33" s="20" t="s">
        <v>36</v>
      </c>
      <c r="C33" s="20"/>
      <c r="D33" s="28">
        <v>8977.86</v>
      </c>
      <c r="E33" s="20"/>
    </row>
    <row r="34" spans="1:5" x14ac:dyDescent="0.25">
      <c r="A34" s="20"/>
      <c r="B34" s="31" t="s">
        <v>37</v>
      </c>
      <c r="C34" s="20"/>
      <c r="D34" s="20">
        <v>990.62</v>
      </c>
      <c r="E34" s="20"/>
    </row>
    <row r="35" spans="1:5" x14ac:dyDescent="0.25">
      <c r="A35" s="20"/>
      <c r="B35" s="27" t="s">
        <v>38</v>
      </c>
      <c r="C35" s="20"/>
      <c r="D35" s="20">
        <v>1357.74</v>
      </c>
      <c r="E35" s="20"/>
    </row>
    <row r="36" spans="1:5" x14ac:dyDescent="0.25">
      <c r="A36" s="20"/>
      <c r="B36" s="27" t="s">
        <v>58</v>
      </c>
      <c r="C36" s="20"/>
      <c r="D36" s="20">
        <f>8*84.52</f>
        <v>676.16</v>
      </c>
      <c r="E36" s="20"/>
    </row>
    <row r="37" spans="1:5" x14ac:dyDescent="0.25">
      <c r="A37" s="20"/>
      <c r="B37" s="31" t="s">
        <v>41</v>
      </c>
      <c r="C37" s="20"/>
      <c r="D37" s="20">
        <v>2853.23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24864.190000000002</v>
      </c>
      <c r="E38" s="26">
        <f>E39</f>
        <v>5346.2095600000002</v>
      </c>
    </row>
    <row r="39" spans="1:5" x14ac:dyDescent="0.25">
      <c r="A39" s="20"/>
      <c r="B39" s="31" t="s">
        <v>43</v>
      </c>
      <c r="C39" s="31"/>
      <c r="D39" s="33">
        <v>20405.38</v>
      </c>
      <c r="E39" s="28">
        <f>D39*26.2%</f>
        <v>5346.2095600000002</v>
      </c>
    </row>
    <row r="40" spans="1:5" x14ac:dyDescent="0.25">
      <c r="A40" s="20"/>
      <c r="B40" s="20" t="s">
        <v>44</v>
      </c>
      <c r="C40" s="20"/>
      <c r="D40" s="33">
        <f>1256.21+550.61+1268.05+599.68+784.26</f>
        <v>4458.8099999999995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D20+E20+D26+E26+D30+D38+E38</f>
        <v>247281.34570000001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D17*6%</f>
        <v>20081.919000000002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267363.2647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D17-D43</f>
        <v>67335.385300000024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D9+D45</f>
        <v>144080.1753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A6" sqref="A6:E6"/>
    </sheetView>
  </sheetViews>
  <sheetFormatPr defaultRowHeight="15" x14ac:dyDescent="0.25"/>
  <cols>
    <col min="2" max="2" width="42.140625" customWidth="1"/>
    <col min="4" max="4" width="11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169</v>
      </c>
    </row>
    <row r="5" spans="1:5" x14ac:dyDescent="0.25">
      <c r="B5" t="s">
        <v>79</v>
      </c>
    </row>
    <row r="6" spans="1:5" x14ac:dyDescent="0.25">
      <c r="A6" s="58"/>
      <c r="B6" s="58"/>
      <c r="C6" s="58"/>
      <c r="D6" s="58"/>
    </row>
    <row r="7" spans="1:5" x14ac:dyDescent="0.25">
      <c r="A7" s="2"/>
      <c r="B7" s="2"/>
      <c r="C7" s="2"/>
      <c r="D7" s="3"/>
      <c r="E7" s="4"/>
    </row>
    <row r="8" spans="1:5" ht="15.75" x14ac:dyDescent="0.25">
      <c r="A8" s="5"/>
      <c r="B8" s="6" t="s">
        <v>4</v>
      </c>
      <c r="C8" s="7" t="s">
        <v>5</v>
      </c>
      <c r="D8" s="578" t="s">
        <v>6</v>
      </c>
      <c r="E8" s="579"/>
    </row>
    <row r="9" spans="1:5" ht="15.75" x14ac:dyDescent="0.25">
      <c r="A9" s="8"/>
      <c r="B9" s="6" t="s">
        <v>7</v>
      </c>
      <c r="C9" s="7" t="s">
        <v>8</v>
      </c>
      <c r="D9" s="580" t="s">
        <v>9</v>
      </c>
      <c r="E9" s="581"/>
    </row>
    <row r="10" spans="1:5" x14ac:dyDescent="0.25">
      <c r="A10" s="9"/>
      <c r="B10" s="9"/>
      <c r="C10" s="9"/>
      <c r="D10" s="10"/>
      <c r="E10" s="11"/>
    </row>
    <row r="11" spans="1:5" x14ac:dyDescent="0.25">
      <c r="A11" s="9"/>
      <c r="B11" s="12" t="s">
        <v>10</v>
      </c>
      <c r="C11" s="9"/>
      <c r="D11" s="10">
        <v>-150251.35999999999</v>
      </c>
      <c r="E11" s="11"/>
    </row>
    <row r="12" spans="1:5" x14ac:dyDescent="0.25">
      <c r="A12" s="13"/>
      <c r="B12" s="14" t="s">
        <v>11</v>
      </c>
      <c r="C12" s="13" t="s">
        <v>12</v>
      </c>
      <c r="D12" s="13">
        <v>6018.32</v>
      </c>
      <c r="E12" s="13"/>
    </row>
    <row r="13" spans="1:5" x14ac:dyDescent="0.25">
      <c r="A13" s="13"/>
      <c r="B13" s="14" t="s">
        <v>13</v>
      </c>
      <c r="C13" s="13" t="s">
        <v>12</v>
      </c>
      <c r="D13" s="13">
        <v>4518.3</v>
      </c>
      <c r="E13" s="13"/>
    </row>
    <row r="14" spans="1:5" x14ac:dyDescent="0.25">
      <c r="A14" s="13"/>
      <c r="B14" s="15" t="s">
        <v>14</v>
      </c>
      <c r="C14" s="13" t="s">
        <v>15</v>
      </c>
      <c r="D14" s="19">
        <v>188291.22</v>
      </c>
      <c r="E14" s="13"/>
    </row>
    <row r="15" spans="1:5" x14ac:dyDescent="0.25">
      <c r="A15" s="13"/>
      <c r="B15" s="13"/>
      <c r="C15" s="13"/>
      <c r="D15" s="13"/>
      <c r="E15" s="13"/>
    </row>
    <row r="16" spans="1:5" ht="15.75" x14ac:dyDescent="0.25">
      <c r="A16" s="13"/>
      <c r="B16" s="16" t="s">
        <v>16</v>
      </c>
      <c r="C16" s="13"/>
      <c r="D16" s="13"/>
      <c r="E16" s="13"/>
    </row>
    <row r="17" spans="1:5" x14ac:dyDescent="0.25">
      <c r="A17" s="13">
        <v>1</v>
      </c>
      <c r="B17" s="13" t="s">
        <v>17</v>
      </c>
      <c r="C17" s="13" t="s">
        <v>15</v>
      </c>
      <c r="D17" s="13">
        <v>172692.04</v>
      </c>
      <c r="E17" s="13"/>
    </row>
    <row r="18" spans="1:5" x14ac:dyDescent="0.25">
      <c r="A18" s="13"/>
      <c r="B18" s="13"/>
      <c r="C18" s="13"/>
      <c r="D18" s="13"/>
      <c r="E18" s="13"/>
    </row>
    <row r="19" spans="1:5" ht="15.75" x14ac:dyDescent="0.25">
      <c r="A19" s="13"/>
      <c r="B19" s="16" t="s">
        <v>19</v>
      </c>
      <c r="C19" s="13"/>
      <c r="D19" s="19">
        <f>D17</f>
        <v>172692.04</v>
      </c>
      <c r="E19" s="13"/>
    </row>
    <row r="20" spans="1:5" ht="15.75" x14ac:dyDescent="0.25">
      <c r="A20" s="13"/>
      <c r="B20" s="16"/>
      <c r="C20" s="13"/>
      <c r="D20" s="19"/>
      <c r="E20" s="1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6">
        <f>D23+D27</f>
        <v>79229.040000000008</v>
      </c>
      <c r="E22" s="26">
        <f>E23</f>
        <v>20069.422699999999</v>
      </c>
    </row>
    <row r="23" spans="1:5" x14ac:dyDescent="0.25">
      <c r="A23" s="20">
        <v>1</v>
      </c>
      <c r="B23" s="22" t="s">
        <v>24</v>
      </c>
      <c r="C23" s="27" t="s">
        <v>15</v>
      </c>
      <c r="D23" s="26">
        <f>D24+D25+D26</f>
        <v>76600.850000000006</v>
      </c>
      <c r="E23" s="26">
        <f>E24+E25+E26</f>
        <v>20069.422699999999</v>
      </c>
    </row>
    <row r="24" spans="1:5" x14ac:dyDescent="0.25">
      <c r="A24" s="20"/>
      <c r="B24" s="20" t="s">
        <v>25</v>
      </c>
      <c r="C24" s="20"/>
      <c r="D24" s="20">
        <v>25433.919999999998</v>
      </c>
      <c r="E24" s="28">
        <f>D24*26.2%</f>
        <v>6663.6870399999998</v>
      </c>
    </row>
    <row r="25" spans="1:5" x14ac:dyDescent="0.25">
      <c r="A25" s="20"/>
      <c r="B25" s="20" t="s">
        <v>26</v>
      </c>
      <c r="C25" s="20"/>
      <c r="D25" s="29">
        <v>26164.080000000002</v>
      </c>
      <c r="E25" s="28">
        <f>D25*26.2%</f>
        <v>6854.9889600000006</v>
      </c>
    </row>
    <row r="26" spans="1:5" x14ac:dyDescent="0.25">
      <c r="A26" s="20"/>
      <c r="B26" s="20" t="s">
        <v>27</v>
      </c>
      <c r="C26" s="20"/>
      <c r="D26" s="20">
        <v>25002.85</v>
      </c>
      <c r="E26" s="28">
        <f>D26*26.2%</f>
        <v>6550.7466999999997</v>
      </c>
    </row>
    <row r="27" spans="1:5" x14ac:dyDescent="0.25">
      <c r="A27" s="20">
        <v>2</v>
      </c>
      <c r="B27" s="27" t="s">
        <v>28</v>
      </c>
      <c r="C27" s="20"/>
      <c r="D27" s="20">
        <v>2628.19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47448.41</v>
      </c>
      <c r="E28" s="26">
        <f>E29</f>
        <v>10502.05516</v>
      </c>
    </row>
    <row r="29" spans="1:5" x14ac:dyDescent="0.25">
      <c r="A29" s="20">
        <v>1</v>
      </c>
      <c r="B29" s="31" t="s">
        <v>31</v>
      </c>
      <c r="C29" s="20"/>
      <c r="D29" s="31">
        <v>40084.18</v>
      </c>
      <c r="E29" s="28">
        <f>D29*26.2%</f>
        <v>10502.05516</v>
      </c>
    </row>
    <row r="30" spans="1:5" x14ac:dyDescent="0.25">
      <c r="A30" s="20">
        <v>2</v>
      </c>
      <c r="B30" s="31" t="s">
        <v>28</v>
      </c>
      <c r="C30" s="20"/>
      <c r="D30" s="31">
        <v>7364.23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</f>
        <v>21353.302</v>
      </c>
      <c r="E31" s="20"/>
    </row>
    <row r="32" spans="1:5" x14ac:dyDescent="0.25">
      <c r="A32" s="20"/>
      <c r="B32" s="20" t="s">
        <v>34</v>
      </c>
      <c r="C32" s="20"/>
      <c r="D32" s="28">
        <f>D19*5%</f>
        <v>8634.6020000000008</v>
      </c>
      <c r="E32" s="20"/>
    </row>
    <row r="33" spans="1:5" x14ac:dyDescent="0.25">
      <c r="A33" s="20"/>
      <c r="B33" s="31" t="s">
        <v>58</v>
      </c>
      <c r="C33" s="20"/>
      <c r="D33" s="20">
        <f>8*84.52</f>
        <v>676.16</v>
      </c>
      <c r="E33" s="20"/>
    </row>
    <row r="34" spans="1:5" x14ac:dyDescent="0.25">
      <c r="A34" s="20"/>
      <c r="B34" s="20" t="s">
        <v>36</v>
      </c>
      <c r="C34" s="20"/>
      <c r="D34" s="28">
        <v>7330.49</v>
      </c>
      <c r="E34" s="20"/>
    </row>
    <row r="35" spans="1:5" x14ac:dyDescent="0.25">
      <c r="A35" s="20"/>
      <c r="B35" s="27" t="s">
        <v>37</v>
      </c>
      <c r="C35" s="20"/>
      <c r="D35" s="20">
        <v>897.39</v>
      </c>
      <c r="E35" s="20"/>
    </row>
    <row r="36" spans="1:5" x14ac:dyDescent="0.25">
      <c r="A36" s="20"/>
      <c r="B36" s="27" t="s">
        <v>38</v>
      </c>
      <c r="C36" s="20"/>
      <c r="D36" s="20">
        <v>1229.96</v>
      </c>
      <c r="E36" s="20"/>
    </row>
    <row r="37" spans="1:5" x14ac:dyDescent="0.25">
      <c r="A37" s="20"/>
      <c r="B37" s="20" t="s">
        <v>41</v>
      </c>
      <c r="C37" s="20"/>
      <c r="D37" s="20">
        <v>2584.6999999999998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22524.18</v>
      </c>
      <c r="E38" s="26">
        <f>E39</f>
        <v>4843.0700000000006</v>
      </c>
    </row>
    <row r="39" spans="1:5" x14ac:dyDescent="0.25">
      <c r="A39" s="20"/>
      <c r="B39" s="31" t="s">
        <v>43</v>
      </c>
      <c r="C39" s="31"/>
      <c r="D39" s="33">
        <v>18485</v>
      </c>
      <c r="E39" s="28">
        <f>D39*26.2%</f>
        <v>4843.0700000000006</v>
      </c>
    </row>
    <row r="40" spans="1:5" x14ac:dyDescent="0.25">
      <c r="A40" s="20"/>
      <c r="B40" s="20" t="s">
        <v>44</v>
      </c>
      <c r="C40" s="20"/>
      <c r="D40" s="33">
        <v>4039.18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D22+E22+D28+E28+D31+D38+E38</f>
        <v>205969.47985999999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D19*6%</f>
        <v>10361.5224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216331.00225999998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D19-D43</f>
        <v>-43638.962259999971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D11+D45</f>
        <v>-193890.32225999996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G21" sqref="G21"/>
    </sheetView>
  </sheetViews>
  <sheetFormatPr defaultRowHeight="15" x14ac:dyDescent="0.25"/>
  <cols>
    <col min="2" max="2" width="37.140625" customWidth="1"/>
    <col min="4" max="4" width="10.42578125" customWidth="1"/>
    <col min="5" max="5" width="9.7109375" customWidth="1"/>
  </cols>
  <sheetData>
    <row r="1" spans="1:5" ht="15.75" x14ac:dyDescent="0.25">
      <c r="A1" s="118"/>
      <c r="B1" s="119" t="s">
        <v>0</v>
      </c>
      <c r="C1" s="118"/>
      <c r="D1" s="118"/>
      <c r="E1" s="118"/>
    </row>
    <row r="2" spans="1:5" x14ac:dyDescent="0.25">
      <c r="A2" s="118"/>
      <c r="B2" s="118" t="s">
        <v>68</v>
      </c>
      <c r="C2" s="118"/>
      <c r="D2" s="118"/>
      <c r="E2" s="118"/>
    </row>
    <row r="3" spans="1:5" x14ac:dyDescent="0.25">
      <c r="A3" s="118"/>
      <c r="B3" s="120" t="s">
        <v>88</v>
      </c>
      <c r="C3" s="118"/>
      <c r="D3" s="118"/>
      <c r="E3" s="118"/>
    </row>
    <row r="4" spans="1:5" x14ac:dyDescent="0.25">
      <c r="A4" s="493"/>
      <c r="B4" s="493"/>
      <c r="C4" s="493"/>
      <c r="D4" s="121"/>
      <c r="E4" s="122"/>
    </row>
    <row r="5" spans="1:5" x14ac:dyDescent="0.25">
      <c r="A5" s="123"/>
      <c r="B5" s="123"/>
      <c r="C5" s="123"/>
      <c r="D5" s="124"/>
      <c r="E5" s="125"/>
    </row>
    <row r="6" spans="1:5" ht="15.75" x14ac:dyDescent="0.25">
      <c r="A6" s="123"/>
      <c r="B6" s="126" t="s">
        <v>4</v>
      </c>
      <c r="C6" s="127" t="s">
        <v>5</v>
      </c>
      <c r="D6" s="494" t="s">
        <v>6</v>
      </c>
      <c r="E6" s="495"/>
    </row>
    <row r="7" spans="1:5" ht="15.75" x14ac:dyDescent="0.25">
      <c r="A7" s="128"/>
      <c r="B7" s="126" t="s">
        <v>7</v>
      </c>
      <c r="C7" s="127" t="s">
        <v>8</v>
      </c>
      <c r="D7" s="496" t="s">
        <v>57</v>
      </c>
      <c r="E7" s="497"/>
    </row>
    <row r="8" spans="1:5" x14ac:dyDescent="0.25">
      <c r="A8" s="129"/>
      <c r="B8" s="129"/>
      <c r="C8" s="129"/>
      <c r="D8" s="130"/>
      <c r="E8" s="131"/>
    </row>
    <row r="9" spans="1:5" x14ac:dyDescent="0.25">
      <c r="A9" s="129"/>
      <c r="B9" s="132" t="s">
        <v>86</v>
      </c>
      <c r="C9" s="129"/>
      <c r="D9" s="130">
        <v>129501.27</v>
      </c>
      <c r="E9" s="131"/>
    </row>
    <row r="10" spans="1:5" x14ac:dyDescent="0.25">
      <c r="A10" s="133"/>
      <c r="B10" s="134" t="s">
        <v>11</v>
      </c>
      <c r="C10" s="133" t="s">
        <v>12</v>
      </c>
      <c r="D10" s="133">
        <v>4726.8</v>
      </c>
      <c r="E10" s="133"/>
    </row>
    <row r="11" spans="1:5" x14ac:dyDescent="0.25">
      <c r="A11" s="133"/>
      <c r="B11" s="134" t="s">
        <v>13</v>
      </c>
      <c r="C11" s="133" t="s">
        <v>12</v>
      </c>
      <c r="D11" s="133">
        <v>4499.26</v>
      </c>
      <c r="E11" s="133"/>
    </row>
    <row r="12" spans="1:5" x14ac:dyDescent="0.25">
      <c r="A12" s="133"/>
      <c r="B12" s="135" t="s">
        <v>14</v>
      </c>
      <c r="C12" s="133" t="s">
        <v>15</v>
      </c>
      <c r="D12" s="133">
        <f>86536.38*2</f>
        <v>173072.76</v>
      </c>
      <c r="E12" s="133"/>
    </row>
    <row r="13" spans="1:5" x14ac:dyDescent="0.25">
      <c r="A13" s="133"/>
      <c r="B13" s="133"/>
      <c r="C13" s="133"/>
      <c r="D13" s="133"/>
      <c r="E13" s="133"/>
    </row>
    <row r="14" spans="1:5" ht="15.75" x14ac:dyDescent="0.25">
      <c r="A14" s="133"/>
      <c r="B14" s="136" t="s">
        <v>16</v>
      </c>
      <c r="C14" s="133"/>
      <c r="D14" s="133"/>
      <c r="E14" s="133"/>
    </row>
    <row r="15" spans="1:5" x14ac:dyDescent="0.25">
      <c r="A15" s="133">
        <v>1</v>
      </c>
      <c r="B15" s="133" t="s">
        <v>17</v>
      </c>
      <c r="C15" s="133" t="s">
        <v>15</v>
      </c>
      <c r="D15" s="133">
        <v>179580.67</v>
      </c>
      <c r="E15" s="133"/>
    </row>
    <row r="16" spans="1:5" x14ac:dyDescent="0.25">
      <c r="A16" s="133"/>
      <c r="B16" s="133"/>
      <c r="C16" s="133"/>
      <c r="D16" s="133"/>
      <c r="E16" s="133"/>
    </row>
    <row r="17" spans="1:5" ht="15.75" x14ac:dyDescent="0.25">
      <c r="A17" s="133"/>
      <c r="B17" s="136" t="s">
        <v>19</v>
      </c>
      <c r="C17" s="133"/>
      <c r="D17" s="137">
        <f>D15</f>
        <v>179580.67</v>
      </c>
      <c r="E17" s="133"/>
    </row>
    <row r="18" spans="1:5" ht="15.75" x14ac:dyDescent="0.25">
      <c r="A18" s="133"/>
      <c r="B18" s="136"/>
      <c r="C18" s="133"/>
      <c r="D18" s="137"/>
      <c r="E18" s="133"/>
    </row>
    <row r="19" spans="1:5" ht="15.75" x14ac:dyDescent="0.25">
      <c r="A19" s="20"/>
      <c r="B19" s="21" t="s">
        <v>20</v>
      </c>
      <c r="C19" s="20"/>
      <c r="D19" s="22"/>
      <c r="E19" s="31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D21+D25</f>
        <v>19328.57</v>
      </c>
      <c r="E20" s="26">
        <f>E21</f>
        <v>4649.4336600000006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17745.93</v>
      </c>
      <c r="E21" s="26">
        <f>E22</f>
        <v>4649.4336600000006</v>
      </c>
    </row>
    <row r="22" spans="1:5" x14ac:dyDescent="0.25">
      <c r="A22" s="20"/>
      <c r="B22" s="20" t="s">
        <v>25</v>
      </c>
      <c r="C22" s="20"/>
      <c r="D22" s="20">
        <v>17745.93</v>
      </c>
      <c r="E22" s="28">
        <f>D22*26.2%</f>
        <v>4649.4336600000006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>
        <v>2</v>
      </c>
      <c r="B25" s="27" t="s">
        <v>28</v>
      </c>
      <c r="C25" s="20"/>
      <c r="D25" s="20">
        <v>1582.64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80071.39</v>
      </c>
      <c r="E26" s="26">
        <f>E27</f>
        <v>10457.798120000001</v>
      </c>
    </row>
    <row r="27" spans="1:5" x14ac:dyDescent="0.25">
      <c r="A27" s="20">
        <v>1</v>
      </c>
      <c r="B27" s="31" t="s">
        <v>31</v>
      </c>
      <c r="C27" s="20"/>
      <c r="D27" s="31">
        <v>39915.26</v>
      </c>
      <c r="E27" s="33">
        <f>D27*26.2%</f>
        <v>10457.798120000001</v>
      </c>
    </row>
    <row r="28" spans="1:5" x14ac:dyDescent="0.25">
      <c r="A28" s="20">
        <v>2</v>
      </c>
      <c r="B28" s="31" t="s">
        <v>28</v>
      </c>
      <c r="C28" s="20"/>
      <c r="D28" s="31">
        <v>40156.129999999997</v>
      </c>
      <c r="E28" s="20"/>
    </row>
    <row r="29" spans="1:5" x14ac:dyDescent="0.25">
      <c r="A29" s="20">
        <v>3</v>
      </c>
      <c r="B29" s="31" t="s">
        <v>82</v>
      </c>
      <c r="C29" s="20"/>
      <c r="D29" s="31">
        <v>0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D31+D32+D33+D34+D35+D36+D37</f>
        <v>99417.983500000002</v>
      </c>
      <c r="E30" s="20"/>
    </row>
    <row r="31" spans="1:5" x14ac:dyDescent="0.25">
      <c r="A31" s="20"/>
      <c r="B31" s="20" t="s">
        <v>34</v>
      </c>
      <c r="C31" s="20"/>
      <c r="D31" s="28">
        <f>D17*5%</f>
        <v>8979.0335000000014</v>
      </c>
      <c r="E31" s="20"/>
    </row>
    <row r="32" spans="1:5" x14ac:dyDescent="0.25">
      <c r="A32" s="20"/>
      <c r="B32" s="31" t="s">
        <v>58</v>
      </c>
      <c r="C32" s="20"/>
      <c r="D32" s="20">
        <f>4*84.52</f>
        <v>338.08</v>
      </c>
      <c r="E32" s="20"/>
    </row>
    <row r="33" spans="1:5" x14ac:dyDescent="0.25">
      <c r="A33" s="20"/>
      <c r="B33" s="27" t="s">
        <v>87</v>
      </c>
      <c r="C33" s="20"/>
      <c r="D33" s="20">
        <v>77310</v>
      </c>
      <c r="E33" s="20"/>
    </row>
    <row r="34" spans="1:5" x14ac:dyDescent="0.25">
      <c r="A34" s="20"/>
      <c r="B34" s="20" t="s">
        <v>36</v>
      </c>
      <c r="C34" s="20"/>
      <c r="D34" s="28">
        <v>8098.67</v>
      </c>
      <c r="E34" s="20"/>
    </row>
    <row r="35" spans="1:5" x14ac:dyDescent="0.25">
      <c r="A35" s="20"/>
      <c r="B35" s="27" t="s">
        <v>37</v>
      </c>
      <c r="C35" s="20"/>
      <c r="D35" s="20">
        <v>893.61</v>
      </c>
      <c r="E35" s="20"/>
    </row>
    <row r="36" spans="1:5" x14ac:dyDescent="0.25">
      <c r="A36" s="20"/>
      <c r="B36" s="27" t="s">
        <v>38</v>
      </c>
      <c r="C36" s="20"/>
      <c r="D36" s="20">
        <v>1224.78</v>
      </c>
      <c r="E36" s="20"/>
    </row>
    <row r="37" spans="1:5" x14ac:dyDescent="0.25">
      <c r="A37" s="20"/>
      <c r="B37" s="20" t="s">
        <v>41</v>
      </c>
      <c r="C37" s="20"/>
      <c r="D37" s="20">
        <v>2573.81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22429.279999999999</v>
      </c>
      <c r="E38" s="26">
        <f>E39</f>
        <v>4822.6628200000005</v>
      </c>
    </row>
    <row r="39" spans="1:5" x14ac:dyDescent="0.25">
      <c r="A39" s="20"/>
      <c r="B39" s="31" t="s">
        <v>43</v>
      </c>
      <c r="C39" s="31"/>
      <c r="D39" s="33">
        <v>18407.11</v>
      </c>
      <c r="E39" s="33">
        <f>D39*26.2%</f>
        <v>4822.6628200000005</v>
      </c>
    </row>
    <row r="40" spans="1:5" x14ac:dyDescent="0.25">
      <c r="A40" s="20"/>
      <c r="B40" s="20" t="s">
        <v>44</v>
      </c>
      <c r="C40" s="20"/>
      <c r="D40" s="33">
        <v>4022.17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D20+E20+D26+E26+D30+D38+E38</f>
        <v>241177.11810000002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D17*6%</f>
        <v>10774.840200000001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251951.95830000003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D17-D43</f>
        <v>-72371.288300000015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D9+D45</f>
        <v>57129.981699999989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118"/>
      <c r="B50" s="118" t="s">
        <v>52</v>
      </c>
      <c r="C50" s="118"/>
      <c r="D50" s="118" t="s">
        <v>53</v>
      </c>
      <c r="E50" s="118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E11" sqref="E11"/>
    </sheetView>
  </sheetViews>
  <sheetFormatPr defaultRowHeight="15" x14ac:dyDescent="0.25"/>
  <cols>
    <col min="2" max="2" width="41" customWidth="1"/>
    <col min="4" max="4" width="11" customWidth="1"/>
    <col min="5" max="5" width="11.1406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170</v>
      </c>
    </row>
    <row r="5" spans="1:5" x14ac:dyDescent="0.25">
      <c r="B5" t="s">
        <v>106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130</v>
      </c>
      <c r="E8" s="581"/>
    </row>
    <row r="9" spans="1:5" ht="15.75" x14ac:dyDescent="0.25">
      <c r="A9" s="8"/>
      <c r="B9" s="6"/>
      <c r="C9" s="7"/>
      <c r="D9" s="62"/>
      <c r="E9" s="63"/>
    </row>
    <row r="10" spans="1:5" x14ac:dyDescent="0.25">
      <c r="A10" s="13"/>
      <c r="B10" s="14" t="s">
        <v>171</v>
      </c>
      <c r="C10" s="13" t="s">
        <v>12</v>
      </c>
      <c r="D10" s="13">
        <v>-39972.43</v>
      </c>
      <c r="E10" s="13"/>
    </row>
    <row r="11" spans="1:5" x14ac:dyDescent="0.25">
      <c r="A11" s="13"/>
      <c r="B11" s="14" t="s">
        <v>11</v>
      </c>
      <c r="C11" s="13" t="s">
        <v>12</v>
      </c>
      <c r="D11" s="13">
        <v>7399.64</v>
      </c>
      <c r="E11" s="13"/>
    </row>
    <row r="12" spans="1:5" x14ac:dyDescent="0.25">
      <c r="A12" s="13"/>
      <c r="B12" s="14" t="s">
        <v>13</v>
      </c>
      <c r="C12" s="13" t="s">
        <v>12</v>
      </c>
      <c r="D12" s="17">
        <v>5164</v>
      </c>
      <c r="E12" s="13"/>
    </row>
    <row r="13" spans="1:5" x14ac:dyDescent="0.25">
      <c r="A13" s="13"/>
      <c r="B13" s="15" t="s">
        <v>14</v>
      </c>
      <c r="C13" s="13" t="s">
        <v>15</v>
      </c>
      <c r="D13" s="17">
        <f>108314.97*2</f>
        <v>216629.94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7">
        <v>249529.63</v>
      </c>
      <c r="E16" s="13"/>
    </row>
    <row r="17" spans="1:5" x14ac:dyDescent="0.25">
      <c r="A17" s="13">
        <v>2</v>
      </c>
      <c r="B17" s="13" t="s">
        <v>18</v>
      </c>
      <c r="C17" s="13"/>
      <c r="D17" s="17">
        <v>12203.38</v>
      </c>
      <c r="E17" s="13"/>
    </row>
    <row r="18" spans="1:5" ht="15.75" x14ac:dyDescent="0.25">
      <c r="A18" s="13"/>
      <c r="B18" s="16" t="s">
        <v>19</v>
      </c>
      <c r="C18" s="13"/>
      <c r="D18" s="18">
        <f>D16+D17</f>
        <v>261733.01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63592.32</v>
      </c>
      <c r="E21" s="26">
        <f>E22</f>
        <v>15998.63438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61063.49</v>
      </c>
      <c r="E22" s="26">
        <f>E23+E24+E25</f>
        <v>15998.63438</v>
      </c>
    </row>
    <row r="23" spans="1:5" x14ac:dyDescent="0.25">
      <c r="A23" s="20"/>
      <c r="B23" s="20" t="s">
        <v>25</v>
      </c>
      <c r="C23" s="20"/>
      <c r="D23" s="20">
        <v>12772.13</v>
      </c>
      <c r="E23" s="28">
        <f>D23*26.2%</f>
        <v>3346.2980600000001</v>
      </c>
    </row>
    <row r="24" spans="1:5" x14ac:dyDescent="0.25">
      <c r="A24" s="20"/>
      <c r="B24" s="20" t="s">
        <v>26</v>
      </c>
      <c r="C24" s="20"/>
      <c r="D24" s="29">
        <v>23288.51</v>
      </c>
      <c r="E24" s="28">
        <f>D24*26.2%</f>
        <v>6101.5896199999997</v>
      </c>
    </row>
    <row r="25" spans="1:5" x14ac:dyDescent="0.25">
      <c r="A25" s="20"/>
      <c r="B25" s="20" t="s">
        <v>27</v>
      </c>
      <c r="C25" s="20"/>
      <c r="D25" s="20">
        <v>25002.85</v>
      </c>
      <c r="E25" s="28">
        <f>D25*26.2%</f>
        <v>6550.7466999999997</v>
      </c>
    </row>
    <row r="26" spans="1:5" x14ac:dyDescent="0.25">
      <c r="A26" s="20">
        <v>2</v>
      </c>
      <c r="B26" s="27" t="s">
        <v>28</v>
      </c>
      <c r="C26" s="20"/>
      <c r="D26" s="20">
        <v>2528.83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52809.74</v>
      </c>
      <c r="E27" s="26">
        <f>E28</f>
        <v>12002.88024</v>
      </c>
    </row>
    <row r="28" spans="1:5" x14ac:dyDescent="0.25">
      <c r="A28" s="20">
        <v>1</v>
      </c>
      <c r="B28" s="31" t="s">
        <v>31</v>
      </c>
      <c r="C28" s="20"/>
      <c r="D28" s="31">
        <v>45812.52</v>
      </c>
      <c r="E28" s="28">
        <f>D28*26.2%</f>
        <v>12002.88024</v>
      </c>
    </row>
    <row r="29" spans="1:5" x14ac:dyDescent="0.25">
      <c r="A29" s="20">
        <v>2</v>
      </c>
      <c r="B29" s="31" t="s">
        <v>28</v>
      </c>
      <c r="C29" s="20"/>
      <c r="D29" s="31">
        <v>6997.22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D31+D32+D33+D34+D35+D37+D36</f>
        <v>30105.380499999999</v>
      </c>
      <c r="E30" s="20"/>
    </row>
    <row r="31" spans="1:5" x14ac:dyDescent="0.25">
      <c r="A31" s="20"/>
      <c r="B31" s="20" t="s">
        <v>34</v>
      </c>
      <c r="C31" s="20"/>
      <c r="D31" s="28">
        <f>D18*5%</f>
        <v>13086.650500000002</v>
      </c>
      <c r="E31" s="20"/>
    </row>
    <row r="32" spans="1:5" x14ac:dyDescent="0.25">
      <c r="A32" s="20"/>
      <c r="B32" s="31" t="s">
        <v>58</v>
      </c>
      <c r="C32" s="20"/>
      <c r="D32" s="20">
        <v>338.08</v>
      </c>
      <c r="E32" s="20"/>
    </row>
    <row r="33" spans="1:5" x14ac:dyDescent="0.25">
      <c r="A33" s="20"/>
      <c r="B33" s="20" t="s">
        <v>36</v>
      </c>
      <c r="C33" s="20"/>
      <c r="D33" s="28">
        <v>9295.2000000000007</v>
      </c>
      <c r="E33" s="20"/>
    </row>
    <row r="34" spans="1:5" x14ac:dyDescent="0.25">
      <c r="A34" s="20"/>
      <c r="B34" s="31" t="s">
        <v>37</v>
      </c>
      <c r="C34" s="20"/>
      <c r="D34" s="20">
        <v>1025.6400000000001</v>
      </c>
      <c r="E34" s="20"/>
    </row>
    <row r="35" spans="1:5" x14ac:dyDescent="0.25">
      <c r="A35" s="20"/>
      <c r="B35" s="27" t="s">
        <v>38</v>
      </c>
      <c r="C35" s="20"/>
      <c r="D35" s="20">
        <v>1405.73</v>
      </c>
      <c r="E35" s="20"/>
    </row>
    <row r="36" spans="1:5" x14ac:dyDescent="0.25">
      <c r="A36" s="20"/>
      <c r="B36" s="27" t="s">
        <v>84</v>
      </c>
      <c r="C36" s="20"/>
      <c r="D36" s="20">
        <v>2000</v>
      </c>
      <c r="E36" s="20"/>
    </row>
    <row r="37" spans="1:5" x14ac:dyDescent="0.25">
      <c r="A37" s="20"/>
      <c r="B37" s="31" t="s">
        <v>41</v>
      </c>
      <c r="C37" s="20"/>
      <c r="D37" s="20">
        <v>2954.08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24931.09</v>
      </c>
      <c r="E38" s="26">
        <f>E39</f>
        <v>5535.1823000000004</v>
      </c>
    </row>
    <row r="39" spans="1:5" x14ac:dyDescent="0.25">
      <c r="A39" s="20"/>
      <c r="B39" s="31" t="s">
        <v>43</v>
      </c>
      <c r="C39" s="31"/>
      <c r="D39" s="33">
        <v>21126.65</v>
      </c>
      <c r="E39" s="28">
        <f>D39*26.2%</f>
        <v>5535.1823000000004</v>
      </c>
    </row>
    <row r="40" spans="1:5" x14ac:dyDescent="0.25">
      <c r="A40" s="20"/>
      <c r="B40" s="20" t="s">
        <v>44</v>
      </c>
      <c r="C40" s="20"/>
      <c r="D40" s="33">
        <v>3804.44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D21+E21+D27+E27+D30+D38+E38</f>
        <v>204975.22742000001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D18*6%</f>
        <v>15703.980600000001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220679.20802000002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48</v>
      </c>
      <c r="C45" s="20"/>
      <c r="D45" s="26">
        <f>D16-D43</f>
        <v>28850.421979999985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D10+D45</f>
        <v>-11122.008020000016</v>
      </c>
      <c r="E46" s="20"/>
    </row>
    <row r="47" spans="1:5" x14ac:dyDescent="0.25">
      <c r="A47" s="34"/>
      <c r="B47" s="35" t="s">
        <v>18</v>
      </c>
      <c r="C47" s="34"/>
      <c r="D47" s="36">
        <v>12203.38</v>
      </c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s="475" t="s">
        <v>135</v>
      </c>
      <c r="C49" s="34"/>
      <c r="D49" s="477" t="s">
        <v>51</v>
      </c>
      <c r="E49" s="34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7" workbookViewId="0">
      <selection activeCell="G21" sqref="G21"/>
    </sheetView>
  </sheetViews>
  <sheetFormatPr defaultRowHeight="15" x14ac:dyDescent="0.25"/>
  <cols>
    <col min="2" max="2" width="35.42578125" customWidth="1"/>
    <col min="4" max="4" width="15.140625" customWidth="1"/>
    <col min="5" max="5" width="15.4257812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A4" t="s">
        <v>2</v>
      </c>
    </row>
    <row r="5" spans="1:5" x14ac:dyDescent="0.25">
      <c r="B5" t="s">
        <v>3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9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65301.919999999998</v>
      </c>
      <c r="E10" s="11"/>
    </row>
    <row r="11" spans="1:5" x14ac:dyDescent="0.25">
      <c r="A11" s="13"/>
      <c r="B11" s="14" t="s">
        <v>11</v>
      </c>
      <c r="C11" s="13" t="s">
        <v>12</v>
      </c>
      <c r="D11" s="13">
        <v>6804.5</v>
      </c>
      <c r="E11" s="13"/>
    </row>
    <row r="12" spans="1:5" x14ac:dyDescent="0.25">
      <c r="A12" s="13"/>
      <c r="B12" s="14" t="s">
        <v>13</v>
      </c>
      <c r="C12" s="13" t="s">
        <v>12</v>
      </c>
      <c r="D12" s="13">
        <v>5184.7</v>
      </c>
      <c r="E12" s="13"/>
    </row>
    <row r="13" spans="1:5" x14ac:dyDescent="0.25">
      <c r="A13" s="13"/>
      <c r="B13" s="15" t="s">
        <v>14</v>
      </c>
      <c r="C13" s="13" t="s">
        <v>15</v>
      </c>
      <c r="D13" s="13">
        <f>99355.29*2</f>
        <v>198710.58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7">
        <v>204376.35</v>
      </c>
      <c r="E16" s="13"/>
    </row>
    <row r="17" spans="1:5" x14ac:dyDescent="0.25">
      <c r="A17" s="13">
        <v>2</v>
      </c>
      <c r="B17" s="13" t="s">
        <v>18</v>
      </c>
      <c r="C17" s="13"/>
      <c r="D17" s="17">
        <v>45616.62</v>
      </c>
      <c r="E17" s="13"/>
    </row>
    <row r="18" spans="1:5" ht="15.75" x14ac:dyDescent="0.25">
      <c r="A18" s="13"/>
      <c r="B18" s="16" t="s">
        <v>19</v>
      </c>
      <c r="C18" s="13"/>
      <c r="D18" s="18">
        <f>D16+D17</f>
        <v>249992.97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28087.66</v>
      </c>
      <c r="E21" s="26">
        <f>E22</f>
        <v>6159.5125800000005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23509.59</v>
      </c>
      <c r="E22" s="26">
        <f>E23</f>
        <v>6159.5125800000005</v>
      </c>
    </row>
    <row r="23" spans="1:5" x14ac:dyDescent="0.25">
      <c r="A23" s="20"/>
      <c r="B23" s="20" t="s">
        <v>25</v>
      </c>
      <c r="C23" s="20"/>
      <c r="D23" s="20">
        <v>23509.59</v>
      </c>
      <c r="E23" s="28">
        <f>D23*26.2%</f>
        <v>6159.5125800000005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4578.07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92026.33</v>
      </c>
      <c r="E27" s="26">
        <f>E28</f>
        <v>12050.993920000001</v>
      </c>
    </row>
    <row r="28" spans="1:5" x14ac:dyDescent="0.25">
      <c r="A28" s="20">
        <v>1</v>
      </c>
      <c r="B28" s="31" t="s">
        <v>31</v>
      </c>
      <c r="C28" s="20"/>
      <c r="D28" s="31">
        <v>45996.160000000003</v>
      </c>
      <c r="E28" s="28">
        <f>D28*26.2%</f>
        <v>12050.993920000001</v>
      </c>
    </row>
    <row r="29" spans="1:5" x14ac:dyDescent="0.25">
      <c r="A29" s="20">
        <v>2</v>
      </c>
      <c r="B29" s="31" t="s">
        <v>28</v>
      </c>
      <c r="C29" s="20"/>
      <c r="D29" s="31">
        <v>46030.17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D31+D32+D33+D34+D35+D36+D38+D37</f>
        <v>121417.7485</v>
      </c>
      <c r="E30" s="20"/>
    </row>
    <row r="31" spans="1:5" x14ac:dyDescent="0.25">
      <c r="A31" s="20"/>
      <c r="B31" s="20" t="s">
        <v>34</v>
      </c>
      <c r="C31" s="20"/>
      <c r="D31" s="28">
        <f>D18*5%</f>
        <v>12499.648500000001</v>
      </c>
      <c r="E31" s="20"/>
    </row>
    <row r="32" spans="1:5" x14ac:dyDescent="0.25">
      <c r="A32" s="20"/>
      <c r="B32" s="20" t="s">
        <v>35</v>
      </c>
      <c r="C32" s="20"/>
      <c r="D32" s="20">
        <v>4471</v>
      </c>
      <c r="E32" s="20"/>
    </row>
    <row r="33" spans="1:5" x14ac:dyDescent="0.25">
      <c r="A33" s="20"/>
      <c r="B33" s="20" t="s">
        <v>36</v>
      </c>
      <c r="C33" s="20"/>
      <c r="D33" s="28">
        <v>9332.4599999999991</v>
      </c>
      <c r="E33" s="20"/>
    </row>
    <row r="34" spans="1:5" x14ac:dyDescent="0.25">
      <c r="A34" s="20"/>
      <c r="B34" s="31" t="s">
        <v>37</v>
      </c>
      <c r="C34" s="20"/>
      <c r="D34" s="20">
        <v>1029.75</v>
      </c>
      <c r="E34" s="20"/>
    </row>
    <row r="35" spans="1:5" x14ac:dyDescent="0.25">
      <c r="A35" s="20"/>
      <c r="B35" s="27" t="s">
        <v>38</v>
      </c>
      <c r="C35" s="20"/>
      <c r="D35" s="20">
        <v>1411.37</v>
      </c>
      <c r="E35" s="20"/>
    </row>
    <row r="36" spans="1:5" x14ac:dyDescent="0.25">
      <c r="A36" s="20"/>
      <c r="B36" s="31" t="s">
        <v>39</v>
      </c>
      <c r="C36" s="20"/>
      <c r="D36" s="32">
        <v>80466</v>
      </c>
      <c r="E36" s="20"/>
    </row>
    <row r="37" spans="1:5" x14ac:dyDescent="0.25">
      <c r="A37" s="20"/>
      <c r="B37" s="27" t="s">
        <v>40</v>
      </c>
      <c r="C37" s="20"/>
      <c r="D37" s="20">
        <v>9241.6</v>
      </c>
      <c r="E37" s="20"/>
    </row>
    <row r="38" spans="1:5" x14ac:dyDescent="0.25">
      <c r="A38" s="20"/>
      <c r="B38" s="20" t="s">
        <v>41</v>
      </c>
      <c r="C38" s="20"/>
      <c r="D38" s="20">
        <v>2965.92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25846.25</v>
      </c>
      <c r="E39" s="26">
        <f>E40</f>
        <v>5557.3710799999999</v>
      </c>
    </row>
    <row r="40" spans="1:5" x14ac:dyDescent="0.25">
      <c r="A40" s="20"/>
      <c r="B40" s="31" t="s">
        <v>43</v>
      </c>
      <c r="C40" s="31"/>
      <c r="D40" s="33">
        <v>21211.34</v>
      </c>
      <c r="E40" s="28">
        <f>D40*26.2%</f>
        <v>5557.3710799999999</v>
      </c>
    </row>
    <row r="41" spans="1:5" x14ac:dyDescent="0.25">
      <c r="A41" s="20"/>
      <c r="B41" s="20" t="s">
        <v>44</v>
      </c>
      <c r="C41" s="20"/>
      <c r="D41" s="33">
        <v>4634.91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D21+E21+D27+E27+D30+D39+E39</f>
        <v>291145.86608000001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D18*6%</f>
        <v>14999.5782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306145.44428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48</v>
      </c>
      <c r="C46" s="20"/>
      <c r="D46" s="26">
        <f>D16-D44</f>
        <v>-101769.09427999999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D10+D46</f>
        <v>-36467.174279999992</v>
      </c>
      <c r="E47" s="20"/>
    </row>
    <row r="48" spans="1:5" x14ac:dyDescent="0.25">
      <c r="A48" s="34"/>
      <c r="B48" s="35" t="s">
        <v>18</v>
      </c>
      <c r="C48" s="34"/>
      <c r="D48" s="36">
        <v>45616.62</v>
      </c>
      <c r="E48" s="34"/>
    </row>
    <row r="49" spans="1:4" x14ac:dyDescent="0.25">
      <c r="B49" t="s">
        <v>50</v>
      </c>
      <c r="D49" t="s">
        <v>51</v>
      </c>
    </row>
    <row r="50" spans="1:4" x14ac:dyDescent="0.25">
      <c r="B50" t="s">
        <v>52</v>
      </c>
      <c r="D50" t="s">
        <v>53</v>
      </c>
    </row>
    <row r="51" spans="1:4" x14ac:dyDescent="0.25">
      <c r="A51" s="37"/>
      <c r="B51" s="37"/>
    </row>
  </sheetData>
  <mergeCells count="2">
    <mergeCell ref="D7:E7"/>
    <mergeCell ref="D8:E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9" workbookViewId="0">
      <selection activeCell="K39" sqref="K39"/>
    </sheetView>
  </sheetViews>
  <sheetFormatPr defaultRowHeight="15" x14ac:dyDescent="0.25"/>
  <cols>
    <col min="2" max="2" width="40.140625" customWidth="1"/>
    <col min="4" max="4" width="11.7109375" customWidth="1"/>
    <col min="5" max="5" width="12.57031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172</v>
      </c>
    </row>
    <row r="4" spans="1:5" x14ac:dyDescent="0.25">
      <c r="A4" s="577"/>
      <c r="B4" s="577"/>
      <c r="C4" s="577"/>
      <c r="D4" s="61"/>
      <c r="E4" s="59"/>
    </row>
    <row r="5" spans="1:5" x14ac:dyDescent="0.25">
      <c r="A5" s="5"/>
      <c r="B5" s="5"/>
      <c r="C5" s="5"/>
      <c r="D5" s="476"/>
      <c r="E5" s="60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8</v>
      </c>
      <c r="D7" s="580" t="s">
        <v>173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108365.02</v>
      </c>
      <c r="E9" s="11"/>
    </row>
    <row r="10" spans="1:5" x14ac:dyDescent="0.25">
      <c r="A10" s="13"/>
      <c r="B10" s="14" t="s">
        <v>11</v>
      </c>
      <c r="C10" s="13" t="s">
        <v>12</v>
      </c>
      <c r="D10" s="13">
        <v>5925.2</v>
      </c>
      <c r="E10" s="13"/>
    </row>
    <row r="11" spans="1:5" x14ac:dyDescent="0.25">
      <c r="A11" s="13"/>
      <c r="B11" s="14" t="s">
        <v>13</v>
      </c>
      <c r="C11" s="13" t="s">
        <v>12</v>
      </c>
      <c r="D11" s="13">
        <v>4452.3</v>
      </c>
      <c r="E11" s="13"/>
    </row>
    <row r="12" spans="1:5" x14ac:dyDescent="0.25">
      <c r="A12" s="13"/>
      <c r="B12" s="15" t="s">
        <v>14</v>
      </c>
      <c r="C12" s="13" t="s">
        <v>15</v>
      </c>
      <c r="D12" s="13">
        <f>85416.03*2</f>
        <v>170832.06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16</v>
      </c>
      <c r="C14" s="13"/>
      <c r="D14" s="13"/>
      <c r="E14" s="13"/>
    </row>
    <row r="15" spans="1:5" x14ac:dyDescent="0.25">
      <c r="A15" s="13">
        <v>1</v>
      </c>
      <c r="B15" s="13" t="s">
        <v>17</v>
      </c>
      <c r="C15" s="13" t="s">
        <v>15</v>
      </c>
      <c r="D15" s="13">
        <v>161770.35999999999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19</v>
      </c>
      <c r="C17" s="13"/>
      <c r="D17" s="19">
        <f>D15</f>
        <v>161770.35999999999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D21+D25</f>
        <v>18256.629999999997</v>
      </c>
      <c r="E20" s="26">
        <f>E21</f>
        <v>3970.8615199999999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15155.96</v>
      </c>
      <c r="E21" s="26">
        <f>E22</f>
        <v>3970.8615199999999</v>
      </c>
    </row>
    <row r="22" spans="1:5" x14ac:dyDescent="0.25">
      <c r="A22" s="20"/>
      <c r="B22" s="20" t="s">
        <v>25</v>
      </c>
      <c r="C22" s="20"/>
      <c r="D22" s="20">
        <v>15155.96</v>
      </c>
      <c r="E22" s="28">
        <f>D22*26.2%</f>
        <v>3970.8615199999999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>
        <v>2</v>
      </c>
      <c r="B25" s="27" t="s">
        <v>28</v>
      </c>
      <c r="C25" s="20"/>
      <c r="D25" s="20">
        <v>3100.67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40642.97</v>
      </c>
      <c r="E26" s="26">
        <f>E27</f>
        <v>10348.648920000001</v>
      </c>
    </row>
    <row r="27" spans="1:5" x14ac:dyDescent="0.25">
      <c r="A27" s="20">
        <v>1</v>
      </c>
      <c r="B27" s="31" t="s">
        <v>31</v>
      </c>
      <c r="C27" s="20"/>
      <c r="D27" s="31">
        <v>39498.660000000003</v>
      </c>
      <c r="E27" s="28">
        <f>D27*26.2%</f>
        <v>10348.648920000001</v>
      </c>
    </row>
    <row r="28" spans="1:5" x14ac:dyDescent="0.25">
      <c r="A28" s="20">
        <v>2</v>
      </c>
      <c r="B28" s="31" t="s">
        <v>28</v>
      </c>
      <c r="C28" s="20"/>
      <c r="D28" s="31">
        <v>1144.31</v>
      </c>
      <c r="E28" s="20"/>
    </row>
    <row r="29" spans="1:5" x14ac:dyDescent="0.25">
      <c r="A29" s="20">
        <v>3</v>
      </c>
      <c r="B29" s="31" t="s">
        <v>146</v>
      </c>
      <c r="C29" s="20"/>
      <c r="D29" s="31">
        <v>0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D31+D32+D33+D34+D35+D36+D38+D37</f>
        <v>34650.407999999996</v>
      </c>
      <c r="E30" s="20"/>
    </row>
    <row r="31" spans="1:5" x14ac:dyDescent="0.25">
      <c r="A31" s="20"/>
      <c r="B31" s="20" t="s">
        <v>34</v>
      </c>
      <c r="C31" s="20"/>
      <c r="D31" s="28">
        <f>D17*5%</f>
        <v>8088.518</v>
      </c>
      <c r="E31" s="20"/>
    </row>
    <row r="32" spans="1:5" x14ac:dyDescent="0.25">
      <c r="A32" s="20"/>
      <c r="B32" s="20" t="s">
        <v>35</v>
      </c>
      <c r="C32" s="20"/>
      <c r="D32" s="31">
        <v>2842.8</v>
      </c>
      <c r="E32" s="20"/>
    </row>
    <row r="33" spans="1:5" x14ac:dyDescent="0.25">
      <c r="A33" s="20"/>
      <c r="B33" s="20" t="s">
        <v>36</v>
      </c>
      <c r="C33" s="20"/>
      <c r="D33" s="28">
        <v>8014.14</v>
      </c>
      <c r="E33" s="20"/>
    </row>
    <row r="34" spans="1:5" x14ac:dyDescent="0.25">
      <c r="A34" s="20"/>
      <c r="B34" s="27" t="s">
        <v>37</v>
      </c>
      <c r="C34" s="20"/>
      <c r="D34" s="20">
        <v>884.29</v>
      </c>
      <c r="E34" s="20"/>
    </row>
    <row r="35" spans="1:5" x14ac:dyDescent="0.25">
      <c r="A35" s="20"/>
      <c r="B35" s="27" t="s">
        <v>38</v>
      </c>
      <c r="C35" s="20"/>
      <c r="D35" s="20">
        <v>1212</v>
      </c>
      <c r="E35" s="20"/>
    </row>
    <row r="36" spans="1:5" x14ac:dyDescent="0.25">
      <c r="A36" s="20"/>
      <c r="B36" s="27" t="s">
        <v>84</v>
      </c>
      <c r="C36" s="20"/>
      <c r="D36" s="20">
        <v>10723.63</v>
      </c>
      <c r="E36" s="20"/>
    </row>
    <row r="37" spans="1:5" x14ac:dyDescent="0.25">
      <c r="A37" s="20"/>
      <c r="B37" s="27" t="s">
        <v>58</v>
      </c>
      <c r="C37" s="20"/>
      <c r="D37" s="20">
        <v>338.08</v>
      </c>
      <c r="E37" s="20"/>
    </row>
    <row r="38" spans="1:5" x14ac:dyDescent="0.25">
      <c r="A38" s="20"/>
      <c r="B38" s="31" t="s">
        <v>41</v>
      </c>
      <c r="C38" s="20"/>
      <c r="D38" s="20">
        <v>2546.9499999999998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22195.170000000002</v>
      </c>
      <c r="E39" s="26">
        <f>E40</f>
        <v>4772.3273800000006</v>
      </c>
    </row>
    <row r="40" spans="1:5" x14ac:dyDescent="0.25">
      <c r="A40" s="20"/>
      <c r="B40" s="31" t="s">
        <v>43</v>
      </c>
      <c r="C40" s="31"/>
      <c r="D40" s="33">
        <v>18214.990000000002</v>
      </c>
      <c r="E40" s="28">
        <f>D40*26.2%</f>
        <v>4772.3273800000006</v>
      </c>
    </row>
    <row r="41" spans="1:5" x14ac:dyDescent="0.25">
      <c r="A41" s="20"/>
      <c r="B41" s="20" t="s">
        <v>44</v>
      </c>
      <c r="C41" s="20"/>
      <c r="D41" s="33">
        <v>3980.18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D20+E20+D26+E26+D30+D39+E39</f>
        <v>134837.01582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9706.2215999999989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144543.23741999999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D17-D44</f>
        <v>17227.122579999996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125592.14258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t="s">
        <v>50</v>
      </c>
      <c r="D49" t="s">
        <v>51</v>
      </c>
      <c r="E49" s="34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27" workbookViewId="0">
      <selection activeCell="I37" sqref="I37"/>
    </sheetView>
  </sheetViews>
  <sheetFormatPr defaultRowHeight="15" x14ac:dyDescent="0.25"/>
  <cols>
    <col min="1" max="1" width="6.5703125" customWidth="1"/>
    <col min="2" max="2" width="47.28515625" customWidth="1"/>
    <col min="4" max="4" width="11.85546875" customWidth="1"/>
    <col min="5" max="5" width="11.7109375" customWidth="1"/>
  </cols>
  <sheetData>
    <row r="1" spans="1:5" ht="15.75" x14ac:dyDescent="0.25">
      <c r="A1" s="37"/>
      <c r="B1" s="64" t="s">
        <v>0</v>
      </c>
      <c r="C1" s="37"/>
      <c r="D1" s="37"/>
      <c r="E1" s="37"/>
    </row>
    <row r="2" spans="1:5" x14ac:dyDescent="0.25">
      <c r="A2" s="37"/>
      <c r="B2" s="37"/>
      <c r="C2" s="37"/>
      <c r="D2" s="37"/>
      <c r="E2" s="37"/>
    </row>
    <row r="3" spans="1:5" x14ac:dyDescent="0.25">
      <c r="A3" s="37"/>
      <c r="B3" s="37" t="s">
        <v>1</v>
      </c>
      <c r="C3" s="37"/>
      <c r="D3" s="37"/>
      <c r="E3" s="37"/>
    </row>
    <row r="4" spans="1:5" x14ac:dyDescent="0.25">
      <c r="A4" s="37"/>
      <c r="B4" s="281" t="s">
        <v>174</v>
      </c>
      <c r="C4" s="37"/>
      <c r="D4" s="37"/>
      <c r="E4" s="37"/>
    </row>
    <row r="5" spans="1:5" x14ac:dyDescent="0.25">
      <c r="A5" s="37"/>
      <c r="B5" s="37" t="s">
        <v>71</v>
      </c>
      <c r="C5" s="37"/>
      <c r="D5" s="37"/>
      <c r="E5" s="37"/>
    </row>
    <row r="6" spans="1:5" x14ac:dyDescent="0.25">
      <c r="A6" s="479"/>
      <c r="B6" s="479"/>
      <c r="C6" s="479"/>
      <c r="D6" s="66"/>
      <c r="E6" s="67"/>
    </row>
    <row r="7" spans="1:5" x14ac:dyDescent="0.25">
      <c r="A7" s="68"/>
      <c r="B7" s="68"/>
      <c r="C7" s="68"/>
      <c r="D7" s="34"/>
      <c r="E7" s="69"/>
    </row>
    <row r="8" spans="1:5" ht="15.75" x14ac:dyDescent="0.25">
      <c r="A8" s="70"/>
      <c r="B8" s="71" t="s">
        <v>4</v>
      </c>
      <c r="C8" s="72" t="s">
        <v>5</v>
      </c>
      <c r="D8" s="480" t="s">
        <v>6</v>
      </c>
      <c r="E8" s="481"/>
    </row>
    <row r="9" spans="1:5" ht="15.75" x14ac:dyDescent="0.25">
      <c r="A9" s="73"/>
      <c r="B9" s="71" t="s">
        <v>7</v>
      </c>
      <c r="C9" s="72" t="s">
        <v>8</v>
      </c>
      <c r="D9" s="482" t="s">
        <v>175</v>
      </c>
      <c r="E9" s="483"/>
    </row>
    <row r="10" spans="1:5" x14ac:dyDescent="0.25">
      <c r="A10" s="74"/>
      <c r="B10" s="74"/>
      <c r="C10" s="74"/>
      <c r="D10" s="75"/>
      <c r="E10" s="76"/>
    </row>
    <row r="11" spans="1:5" x14ac:dyDescent="0.25">
      <c r="A11" s="74"/>
      <c r="B11" s="77" t="s">
        <v>73</v>
      </c>
      <c r="C11" s="74"/>
      <c r="D11" s="20">
        <v>-8897.67</v>
      </c>
      <c r="E11" s="76"/>
    </row>
    <row r="12" spans="1:5" x14ac:dyDescent="0.25">
      <c r="A12" s="20"/>
      <c r="B12" s="78" t="s">
        <v>11</v>
      </c>
      <c r="C12" s="20" t="s">
        <v>12</v>
      </c>
      <c r="D12" s="20">
        <v>3706.7</v>
      </c>
      <c r="E12" s="20"/>
    </row>
    <row r="13" spans="1:5" x14ac:dyDescent="0.25">
      <c r="A13" s="20"/>
      <c r="B13" s="78" t="s">
        <v>13</v>
      </c>
      <c r="C13" s="20" t="s">
        <v>12</v>
      </c>
      <c r="D13" s="20">
        <v>2593.8200000000002</v>
      </c>
      <c r="E13" s="20"/>
    </row>
    <row r="14" spans="1:5" x14ac:dyDescent="0.25">
      <c r="A14" s="20"/>
      <c r="B14" s="25" t="s">
        <v>14</v>
      </c>
      <c r="C14" s="20" t="s">
        <v>15</v>
      </c>
      <c r="D14" s="22">
        <f>54609.87*2</f>
        <v>109219.74</v>
      </c>
      <c r="E14" s="20"/>
    </row>
    <row r="15" spans="1:5" x14ac:dyDescent="0.25">
      <c r="A15" s="20"/>
      <c r="B15" s="20"/>
      <c r="C15" s="20"/>
      <c r="D15" s="20"/>
      <c r="E15" s="20"/>
    </row>
    <row r="16" spans="1:5" ht="15.75" x14ac:dyDescent="0.25">
      <c r="A16" s="20"/>
      <c r="B16" s="21" t="s">
        <v>16</v>
      </c>
      <c r="C16" s="20"/>
      <c r="D16" s="20"/>
      <c r="E16" s="20"/>
    </row>
    <row r="17" spans="1:5" x14ac:dyDescent="0.25">
      <c r="A17" s="20">
        <v>1</v>
      </c>
      <c r="B17" s="20" t="s">
        <v>17</v>
      </c>
      <c r="C17" s="20" t="s">
        <v>15</v>
      </c>
      <c r="D17" s="22">
        <v>102972.16</v>
      </c>
      <c r="E17" s="20"/>
    </row>
    <row r="18" spans="1:5" x14ac:dyDescent="0.25">
      <c r="A18" s="20">
        <v>2</v>
      </c>
      <c r="B18" s="20" t="s">
        <v>18</v>
      </c>
      <c r="C18" s="20"/>
      <c r="D18" s="22">
        <v>31367.7</v>
      </c>
      <c r="E18" s="20"/>
    </row>
    <row r="19" spans="1:5" ht="15.75" x14ac:dyDescent="0.25">
      <c r="A19" s="20"/>
      <c r="B19" s="21" t="s">
        <v>19</v>
      </c>
      <c r="C19" s="20"/>
      <c r="D19" s="26">
        <f>D17+D18</f>
        <v>134339.86000000002</v>
      </c>
      <c r="E19" s="20"/>
    </row>
    <row r="20" spans="1:5" ht="15.75" x14ac:dyDescent="0.25">
      <c r="A20" s="20"/>
      <c r="B20" s="21"/>
      <c r="C20" s="20"/>
      <c r="D20" s="26"/>
      <c r="E20" s="20"/>
    </row>
    <row r="21" spans="1:5" ht="15.75" x14ac:dyDescent="0.25">
      <c r="A21" s="20"/>
      <c r="B21" s="21" t="s">
        <v>20</v>
      </c>
      <c r="C21" s="20"/>
      <c r="D21" s="22"/>
      <c r="E21" s="27" t="s">
        <v>21</v>
      </c>
    </row>
    <row r="22" spans="1:5" x14ac:dyDescent="0.25">
      <c r="A22" s="24" t="s">
        <v>22</v>
      </c>
      <c r="B22" s="25" t="s">
        <v>23</v>
      </c>
      <c r="C22" s="20"/>
      <c r="D22" s="26">
        <f>D23+D28</f>
        <v>32445.83</v>
      </c>
      <c r="E22" s="26">
        <f>E23</f>
        <v>8084.2641400000011</v>
      </c>
    </row>
    <row r="23" spans="1:5" x14ac:dyDescent="0.25">
      <c r="A23" s="20">
        <v>1</v>
      </c>
      <c r="B23" s="22" t="s">
        <v>24</v>
      </c>
      <c r="C23" s="27" t="s">
        <v>15</v>
      </c>
      <c r="D23" s="26">
        <f>D24+D25+D26</f>
        <v>30855.97</v>
      </c>
      <c r="E23" s="26">
        <f>E24+E25+E26</f>
        <v>8084.2641400000011</v>
      </c>
    </row>
    <row r="24" spans="1:5" x14ac:dyDescent="0.25">
      <c r="A24" s="20"/>
      <c r="B24" s="20" t="s">
        <v>25</v>
      </c>
      <c r="C24" s="20"/>
      <c r="D24" s="20">
        <v>6573.13</v>
      </c>
      <c r="E24" s="28">
        <f>D24*26.2%</f>
        <v>1722.1600600000002</v>
      </c>
    </row>
    <row r="25" spans="1:5" x14ac:dyDescent="0.25">
      <c r="A25" s="20"/>
      <c r="B25" s="20" t="s">
        <v>26</v>
      </c>
      <c r="C25" s="20"/>
      <c r="D25" s="29">
        <v>12376.78</v>
      </c>
      <c r="E25" s="28">
        <f>D25*26.2%</f>
        <v>3242.7163600000003</v>
      </c>
    </row>
    <row r="26" spans="1:5" x14ac:dyDescent="0.25">
      <c r="A26" s="20"/>
      <c r="B26" s="20" t="s">
        <v>27</v>
      </c>
      <c r="C26" s="20"/>
      <c r="D26" s="20">
        <v>11906.06</v>
      </c>
      <c r="E26" s="28">
        <f>D26*26.2%</f>
        <v>3119.3877200000002</v>
      </c>
    </row>
    <row r="27" spans="1:5" x14ac:dyDescent="0.25">
      <c r="A27" s="20"/>
      <c r="B27" s="20" t="s">
        <v>176</v>
      </c>
      <c r="C27" s="20"/>
      <c r="D27" s="20">
        <v>12528</v>
      </c>
      <c r="E27" s="28"/>
    </row>
    <row r="28" spans="1:5" x14ac:dyDescent="0.25">
      <c r="A28" s="20">
        <v>2</v>
      </c>
      <c r="B28" s="27" t="s">
        <v>28</v>
      </c>
      <c r="C28" s="20"/>
      <c r="D28" s="20">
        <v>1589.86</v>
      </c>
      <c r="E28" s="28"/>
    </row>
    <row r="29" spans="1:5" x14ac:dyDescent="0.25">
      <c r="A29" s="24" t="s">
        <v>29</v>
      </c>
      <c r="B29" s="30" t="s">
        <v>30</v>
      </c>
      <c r="C29" s="20"/>
      <c r="D29" s="22">
        <f>D30+D31</f>
        <v>25498.69</v>
      </c>
      <c r="E29" s="26">
        <f>E30</f>
        <v>6028.9134400000003</v>
      </c>
    </row>
    <row r="30" spans="1:5" x14ac:dyDescent="0.25">
      <c r="A30" s="20">
        <v>1</v>
      </c>
      <c r="B30" s="31" t="s">
        <v>31</v>
      </c>
      <c r="C30" s="20"/>
      <c r="D30" s="31">
        <v>23011.119999999999</v>
      </c>
      <c r="E30" s="28">
        <f>D30*26.2%</f>
        <v>6028.9134400000003</v>
      </c>
    </row>
    <row r="31" spans="1:5" x14ac:dyDescent="0.25">
      <c r="A31" s="20">
        <v>2</v>
      </c>
      <c r="B31" s="31" t="s">
        <v>28</v>
      </c>
      <c r="C31" s="20"/>
      <c r="D31" s="31">
        <v>2487.5700000000002</v>
      </c>
      <c r="E31" s="20"/>
    </row>
    <row r="32" spans="1:5" x14ac:dyDescent="0.25">
      <c r="A32" s="24" t="s">
        <v>32</v>
      </c>
      <c r="B32" s="22" t="s">
        <v>33</v>
      </c>
      <c r="C32" s="20"/>
      <c r="D32" s="26">
        <f>D33+D34+D35+D36+D37+D38</f>
        <v>13799.303</v>
      </c>
      <c r="E32" s="20"/>
    </row>
    <row r="33" spans="1:5" x14ac:dyDescent="0.25">
      <c r="A33" s="20">
        <v>1</v>
      </c>
      <c r="B33" s="20" t="s">
        <v>34</v>
      </c>
      <c r="C33" s="20"/>
      <c r="D33" s="28">
        <f>D19*5%</f>
        <v>6716.9930000000013</v>
      </c>
      <c r="E33" s="20"/>
    </row>
    <row r="34" spans="1:5" x14ac:dyDescent="0.25">
      <c r="A34" s="20">
        <v>2</v>
      </c>
      <c r="B34" s="20" t="s">
        <v>58</v>
      </c>
      <c r="C34" s="20"/>
      <c r="D34" s="20">
        <v>169.04</v>
      </c>
      <c r="E34" s="20"/>
    </row>
    <row r="35" spans="1:5" x14ac:dyDescent="0.25">
      <c r="A35" s="20">
        <v>3</v>
      </c>
      <c r="B35" s="27" t="s">
        <v>41</v>
      </c>
      <c r="C35" s="20"/>
      <c r="D35" s="20">
        <v>1483.8</v>
      </c>
      <c r="E35" s="20"/>
    </row>
    <row r="36" spans="1:5" x14ac:dyDescent="0.25">
      <c r="A36" s="20">
        <v>4</v>
      </c>
      <c r="B36" s="20" t="s">
        <v>36</v>
      </c>
      <c r="C36" s="20"/>
      <c r="D36" s="20">
        <v>4208.22</v>
      </c>
      <c r="E36" s="20"/>
    </row>
    <row r="37" spans="1:5" x14ac:dyDescent="0.25">
      <c r="A37" s="20">
        <v>5</v>
      </c>
      <c r="B37" s="27" t="s">
        <v>37</v>
      </c>
      <c r="C37" s="20"/>
      <c r="D37" s="20">
        <v>515.16999999999996</v>
      </c>
      <c r="E37" s="20"/>
    </row>
    <row r="38" spans="1:5" x14ac:dyDescent="0.25">
      <c r="A38" s="20">
        <v>6</v>
      </c>
      <c r="B38" s="27" t="s">
        <v>38</v>
      </c>
      <c r="C38" s="20"/>
      <c r="D38" s="20">
        <v>706.08</v>
      </c>
      <c r="E38" s="20"/>
    </row>
    <row r="39" spans="1:5" x14ac:dyDescent="0.25">
      <c r="A39" s="24" t="s">
        <v>177</v>
      </c>
      <c r="B39" s="22" t="s">
        <v>42</v>
      </c>
      <c r="C39" s="20"/>
      <c r="D39" s="26">
        <f>D40+D41</f>
        <v>12930.460000000001</v>
      </c>
      <c r="E39" s="26">
        <f>E40</f>
        <v>2780.2601600000003</v>
      </c>
    </row>
    <row r="40" spans="1:5" x14ac:dyDescent="0.25">
      <c r="A40" s="20">
        <v>1</v>
      </c>
      <c r="B40" s="27" t="s">
        <v>178</v>
      </c>
      <c r="C40" s="20"/>
      <c r="D40" s="20">
        <v>10611.68</v>
      </c>
      <c r="E40" s="28">
        <f>D40*26.2%</f>
        <v>2780.2601600000003</v>
      </c>
    </row>
    <row r="41" spans="1:5" x14ac:dyDescent="0.25">
      <c r="A41" s="20">
        <v>2</v>
      </c>
      <c r="B41" s="20" t="s">
        <v>44</v>
      </c>
      <c r="C41" s="20"/>
      <c r="D41" s="20">
        <v>2318.7800000000002</v>
      </c>
      <c r="E41" s="20"/>
    </row>
    <row r="42" spans="1:5" x14ac:dyDescent="0.25">
      <c r="A42" s="24" t="s">
        <v>179</v>
      </c>
      <c r="B42" s="22" t="s">
        <v>45</v>
      </c>
      <c r="C42" s="20"/>
      <c r="D42" s="26">
        <f>D22+E22+D29+E29+D32+D39+E39</f>
        <v>101567.72074000002</v>
      </c>
      <c r="E42" s="20"/>
    </row>
    <row r="43" spans="1:5" x14ac:dyDescent="0.25">
      <c r="A43" s="24" t="s">
        <v>180</v>
      </c>
      <c r="B43" s="27" t="s">
        <v>46</v>
      </c>
      <c r="C43" s="20"/>
      <c r="D43" s="33">
        <f>D19*6%</f>
        <v>8060.3916000000008</v>
      </c>
      <c r="E43" s="20"/>
    </row>
    <row r="44" spans="1:5" x14ac:dyDescent="0.25">
      <c r="A44" s="24" t="s">
        <v>181</v>
      </c>
      <c r="B44" s="22" t="s">
        <v>182</v>
      </c>
      <c r="C44" s="20"/>
      <c r="D44" s="26">
        <f>D42+D43</f>
        <v>109628.11234000002</v>
      </c>
      <c r="E44" s="20"/>
    </row>
    <row r="45" spans="1:5" x14ac:dyDescent="0.25">
      <c r="A45" s="78"/>
      <c r="B45" s="22"/>
      <c r="C45" s="20"/>
      <c r="D45" s="26"/>
      <c r="E45" s="20"/>
    </row>
    <row r="46" spans="1:5" x14ac:dyDescent="0.25">
      <c r="A46" s="24" t="s">
        <v>183</v>
      </c>
      <c r="B46" s="22" t="s">
        <v>133</v>
      </c>
      <c r="C46" s="20"/>
      <c r="D46" s="26">
        <f>D17-D44</f>
        <v>-6655.952340000018</v>
      </c>
      <c r="E46" s="20"/>
    </row>
    <row r="47" spans="1:5" x14ac:dyDescent="0.25">
      <c r="A47" s="24" t="s">
        <v>184</v>
      </c>
      <c r="B47" s="22" t="s">
        <v>134</v>
      </c>
      <c r="C47" s="20"/>
      <c r="D47" s="26">
        <f>D11+D46</f>
        <v>-15553.622340000018</v>
      </c>
      <c r="E47" s="20"/>
    </row>
    <row r="48" spans="1:5" x14ac:dyDescent="0.25">
      <c r="A48" s="34"/>
      <c r="B48" s="35" t="s">
        <v>18</v>
      </c>
      <c r="C48" s="35"/>
      <c r="D48" s="35">
        <f>D18</f>
        <v>31367.7</v>
      </c>
      <c r="E48" s="34"/>
    </row>
    <row r="49" spans="1:5" x14ac:dyDescent="0.25">
      <c r="A49" s="34"/>
      <c r="B49" s="35"/>
      <c r="C49" s="35"/>
      <c r="D49" s="35"/>
      <c r="E49" s="34"/>
    </row>
    <row r="50" spans="1:5" x14ac:dyDescent="0.25">
      <c r="A50" s="34"/>
      <c r="B50" s="37" t="s">
        <v>50</v>
      </c>
      <c r="C50" s="37"/>
      <c r="D50" s="37" t="s">
        <v>51</v>
      </c>
      <c r="E50" s="37"/>
    </row>
    <row r="51" spans="1:5" x14ac:dyDescent="0.25">
      <c r="A51" s="34"/>
      <c r="B51" s="37" t="s">
        <v>52</v>
      </c>
      <c r="C51" s="37"/>
      <c r="D51" s="37" t="s">
        <v>53</v>
      </c>
      <c r="E51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D17" sqref="D17"/>
    </sheetView>
  </sheetViews>
  <sheetFormatPr defaultRowHeight="15" x14ac:dyDescent="0.25"/>
  <cols>
    <col min="2" max="2" width="39.28515625" customWidth="1"/>
    <col min="4" max="4" width="12.140625" customWidth="1"/>
    <col min="5" max="5" width="12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185</v>
      </c>
    </row>
    <row r="5" spans="1:5" x14ac:dyDescent="0.25">
      <c r="B5" t="s">
        <v>186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4</v>
      </c>
      <c r="C7" s="7" t="s">
        <v>5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92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161180.39000000001</v>
      </c>
      <c r="E10" s="11"/>
    </row>
    <row r="11" spans="1:5" x14ac:dyDescent="0.25">
      <c r="A11" s="13"/>
      <c r="B11" s="14" t="s">
        <v>11</v>
      </c>
      <c r="C11" s="13" t="s">
        <v>12</v>
      </c>
      <c r="D11" s="17">
        <v>5523.2</v>
      </c>
      <c r="E11" s="13"/>
    </row>
    <row r="12" spans="1:5" x14ac:dyDescent="0.25">
      <c r="A12" s="13"/>
      <c r="B12" s="14" t="s">
        <v>13</v>
      </c>
      <c r="C12" s="13" t="s">
        <v>12</v>
      </c>
      <c r="D12" s="13">
        <v>4451.0200000000004</v>
      </c>
      <c r="E12" s="13"/>
    </row>
    <row r="13" spans="1:5" x14ac:dyDescent="0.25">
      <c r="A13" s="13"/>
      <c r="B13" s="15" t="s">
        <v>14</v>
      </c>
      <c r="C13" s="13" t="s">
        <v>15</v>
      </c>
      <c r="D13" s="13">
        <f>85491.36*2</f>
        <v>170982.72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7">
        <v>160206.21</v>
      </c>
      <c r="E16" s="13"/>
    </row>
    <row r="17" spans="1:5" x14ac:dyDescent="0.25">
      <c r="A17" s="13">
        <v>2</v>
      </c>
      <c r="B17" s="13" t="s">
        <v>187</v>
      </c>
      <c r="C17" s="13"/>
      <c r="D17" s="17">
        <v>210967.72</v>
      </c>
      <c r="E17" s="13"/>
    </row>
    <row r="18" spans="1:5" ht="15.75" x14ac:dyDescent="0.25">
      <c r="A18" s="13"/>
      <c r="B18" s="16" t="s">
        <v>19</v>
      </c>
      <c r="C18" s="13"/>
      <c r="D18" s="18">
        <f>D16+D17</f>
        <v>371173.93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48354.52</v>
      </c>
      <c r="E21" s="26">
        <f>E22</f>
        <v>12228.090200000001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46672.1</v>
      </c>
      <c r="E22" s="26">
        <f>E23</f>
        <v>12228.090200000001</v>
      </c>
    </row>
    <row r="23" spans="1:5" x14ac:dyDescent="0.25">
      <c r="A23" s="20"/>
      <c r="B23" s="20" t="s">
        <v>25</v>
      </c>
      <c r="C23" s="20"/>
      <c r="D23" s="20">
        <v>46672.1</v>
      </c>
      <c r="E23" s="28">
        <f>D23*26.2%</f>
        <v>12228.090200000001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1682.42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D28+D29+D30</f>
        <v>223472.32</v>
      </c>
      <c r="E27" s="26">
        <f>E28</f>
        <v>10345.672600000002</v>
      </c>
    </row>
    <row r="28" spans="1:5" x14ac:dyDescent="0.25">
      <c r="A28" s="20">
        <v>1</v>
      </c>
      <c r="B28" s="31" t="s">
        <v>31</v>
      </c>
      <c r="C28" s="20"/>
      <c r="D28" s="31">
        <v>39487.300000000003</v>
      </c>
      <c r="E28" s="28">
        <f>D28*26.2%</f>
        <v>10345.672600000002</v>
      </c>
    </row>
    <row r="29" spans="1:5" x14ac:dyDescent="0.25">
      <c r="A29" s="20">
        <v>2</v>
      </c>
      <c r="B29" s="31" t="s">
        <v>28</v>
      </c>
      <c r="C29" s="20"/>
      <c r="D29" s="31">
        <v>183985.02</v>
      </c>
      <c r="E29" s="20"/>
    </row>
    <row r="30" spans="1:5" x14ac:dyDescent="0.25">
      <c r="A30" s="20">
        <v>3</v>
      </c>
      <c r="B30" s="31" t="s">
        <v>146</v>
      </c>
      <c r="C30" s="20"/>
      <c r="D30" s="31">
        <v>0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D32+D33+D34+D35+D36+D37+D38</f>
        <v>65948.436500000011</v>
      </c>
      <c r="E31" s="20"/>
    </row>
    <row r="32" spans="1:5" x14ac:dyDescent="0.25">
      <c r="A32" s="20"/>
      <c r="B32" s="20" t="s">
        <v>34</v>
      </c>
      <c r="C32" s="20"/>
      <c r="D32" s="28">
        <f>D18*5%</f>
        <v>18558.696500000002</v>
      </c>
      <c r="E32" s="20"/>
    </row>
    <row r="33" spans="1:5" x14ac:dyDescent="0.25">
      <c r="A33" s="20"/>
      <c r="B33" s="20" t="s">
        <v>36</v>
      </c>
      <c r="C33" s="20"/>
      <c r="D33" s="28">
        <v>8011.84</v>
      </c>
      <c r="E33" s="20"/>
    </row>
    <row r="34" spans="1:5" x14ac:dyDescent="0.25">
      <c r="A34" s="20"/>
      <c r="B34" s="27" t="s">
        <v>37</v>
      </c>
      <c r="C34" s="20"/>
      <c r="D34" s="20">
        <v>884.03</v>
      </c>
      <c r="E34" s="20"/>
    </row>
    <row r="35" spans="1:5" x14ac:dyDescent="0.25">
      <c r="A35" s="31"/>
      <c r="B35" s="27" t="s">
        <v>38</v>
      </c>
      <c r="C35" s="20"/>
      <c r="D35" s="20">
        <v>1211.6500000000001</v>
      </c>
      <c r="E35" s="20"/>
    </row>
    <row r="36" spans="1:5" x14ac:dyDescent="0.25">
      <c r="A36" s="27"/>
      <c r="B36" s="27" t="s">
        <v>188</v>
      </c>
      <c r="C36" s="20"/>
      <c r="D36" s="20">
        <v>28736</v>
      </c>
      <c r="E36" s="20"/>
    </row>
    <row r="37" spans="1:5" x14ac:dyDescent="0.25">
      <c r="A37" s="20"/>
      <c r="B37" s="31" t="s">
        <v>41</v>
      </c>
      <c r="C37" s="20"/>
      <c r="D37" s="20">
        <v>2546.2199999999998</v>
      </c>
      <c r="E37" s="20"/>
    </row>
    <row r="38" spans="1:5" x14ac:dyDescent="0.25">
      <c r="A38" s="20"/>
      <c r="B38" s="27" t="s">
        <v>189</v>
      </c>
      <c r="C38" s="20"/>
      <c r="D38" s="20">
        <v>6000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22188.79</v>
      </c>
      <c r="E39" s="26">
        <f>E40</f>
        <v>4770.9544999999998</v>
      </c>
    </row>
    <row r="40" spans="1:5" x14ac:dyDescent="0.25">
      <c r="A40" s="20"/>
      <c r="B40" s="31" t="s">
        <v>43</v>
      </c>
      <c r="C40" s="31"/>
      <c r="D40" s="33">
        <v>18209.75</v>
      </c>
      <c r="E40" s="28">
        <f>D40*26.2%</f>
        <v>4770.9544999999998</v>
      </c>
    </row>
    <row r="41" spans="1:5" x14ac:dyDescent="0.25">
      <c r="A41" s="20"/>
      <c r="B41" s="20" t="s">
        <v>44</v>
      </c>
      <c r="C41" s="20"/>
      <c r="D41" s="33">
        <v>3979.04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D21+E21+D27+E27+D31+D39+E39</f>
        <v>387308.78379999998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D18*6%</f>
        <v>22270.435799999999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409579.21959999995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D18-D44</f>
        <v>-38405.28959999996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D10+D46</f>
        <v>122775.10040000005</v>
      </c>
      <c r="E47" s="20"/>
    </row>
    <row r="48" spans="1:5" x14ac:dyDescent="0.25">
      <c r="A48" s="37"/>
      <c r="B48" s="35"/>
      <c r="C48" s="34"/>
      <c r="D48" s="36"/>
      <c r="E48" s="37"/>
    </row>
    <row r="49" spans="2:4" x14ac:dyDescent="0.25">
      <c r="B49" t="s">
        <v>50</v>
      </c>
      <c r="D49" t="s">
        <v>51</v>
      </c>
    </row>
    <row r="50" spans="2:4" x14ac:dyDescent="0.25">
      <c r="B50" s="37" t="s">
        <v>52</v>
      </c>
      <c r="C50" s="37"/>
      <c r="D50" s="37" t="s">
        <v>53</v>
      </c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J38" sqref="J38"/>
    </sheetView>
  </sheetViews>
  <sheetFormatPr defaultRowHeight="15" x14ac:dyDescent="0.25"/>
  <cols>
    <col min="1" max="1" width="6.7109375" customWidth="1"/>
    <col min="2" max="2" width="43.42578125" customWidth="1"/>
    <col min="4" max="4" width="11.140625" customWidth="1"/>
    <col min="5" max="5" width="10.4257812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190</v>
      </c>
    </row>
    <row r="4" spans="1:5" x14ac:dyDescent="0.25">
      <c r="B4" t="s">
        <v>71</v>
      </c>
    </row>
    <row r="5" spans="1:5" x14ac:dyDescent="0.25">
      <c r="A5" s="2"/>
      <c r="B5" s="2"/>
      <c r="C5" s="2"/>
      <c r="D5" s="3"/>
      <c r="E5" s="4"/>
    </row>
    <row r="6" spans="1:5" ht="15.75" x14ac:dyDescent="0.25">
      <c r="A6" s="5"/>
      <c r="B6" s="6" t="s">
        <v>4</v>
      </c>
      <c r="C6" s="7" t="s">
        <v>5</v>
      </c>
      <c r="D6" s="578" t="s">
        <v>6</v>
      </c>
      <c r="E6" s="579"/>
    </row>
    <row r="7" spans="1:5" ht="15.75" x14ac:dyDescent="0.25">
      <c r="A7" s="8"/>
      <c r="B7" s="6" t="s">
        <v>7</v>
      </c>
      <c r="C7" s="7" t="s">
        <v>8</v>
      </c>
      <c r="D7" s="580" t="s">
        <v>9</v>
      </c>
      <c r="E7" s="581"/>
    </row>
    <row r="8" spans="1:5" x14ac:dyDescent="0.25">
      <c r="A8" s="9"/>
      <c r="B8" s="9"/>
      <c r="C8" s="9"/>
      <c r="D8" s="10"/>
      <c r="E8" s="11"/>
    </row>
    <row r="9" spans="1:5" x14ac:dyDescent="0.25">
      <c r="A9" s="9"/>
      <c r="B9" s="12" t="s">
        <v>10</v>
      </c>
      <c r="C9" s="9"/>
      <c r="D9" s="10">
        <v>95990.94</v>
      </c>
      <c r="E9" s="11"/>
    </row>
    <row r="10" spans="1:5" x14ac:dyDescent="0.25">
      <c r="A10" s="13"/>
      <c r="B10" s="14" t="s">
        <v>11</v>
      </c>
      <c r="C10" s="13" t="s">
        <v>12</v>
      </c>
      <c r="D10" s="13">
        <v>5531</v>
      </c>
      <c r="E10" s="13"/>
    </row>
    <row r="11" spans="1:5" x14ac:dyDescent="0.25">
      <c r="A11" s="13"/>
      <c r="B11" s="14" t="s">
        <v>13</v>
      </c>
      <c r="C11" s="13" t="s">
        <v>12</v>
      </c>
      <c r="D11" s="13">
        <v>4431.24</v>
      </c>
      <c r="E11" s="13"/>
    </row>
    <row r="12" spans="1:5" x14ac:dyDescent="0.25">
      <c r="A12" s="13"/>
      <c r="B12" s="15" t="s">
        <v>14</v>
      </c>
      <c r="C12" s="13" t="s">
        <v>15</v>
      </c>
      <c r="D12" s="13">
        <f>85214.82*2</f>
        <v>170429.64</v>
      </c>
      <c r="E12" s="13"/>
    </row>
    <row r="13" spans="1:5" x14ac:dyDescent="0.25">
      <c r="A13" s="13"/>
      <c r="B13" s="13"/>
      <c r="C13" s="13"/>
      <c r="D13" s="13"/>
      <c r="E13" s="13"/>
    </row>
    <row r="14" spans="1:5" ht="15.75" x14ac:dyDescent="0.25">
      <c r="A14" s="13"/>
      <c r="B14" s="16" t="s">
        <v>16</v>
      </c>
      <c r="C14" s="13"/>
      <c r="D14" s="13"/>
      <c r="E14" s="13"/>
    </row>
    <row r="15" spans="1:5" x14ac:dyDescent="0.25">
      <c r="A15" s="13">
        <v>1</v>
      </c>
      <c r="B15" s="13" t="s">
        <v>17</v>
      </c>
      <c r="C15" s="13" t="s">
        <v>15</v>
      </c>
      <c r="D15" s="17">
        <v>173000.32000000001</v>
      </c>
      <c r="E15" s="13"/>
    </row>
    <row r="16" spans="1:5" x14ac:dyDescent="0.25">
      <c r="A16" s="13"/>
      <c r="B16" s="13"/>
      <c r="C16" s="13"/>
      <c r="D16" s="13"/>
      <c r="E16" s="13"/>
    </row>
    <row r="17" spans="1:5" ht="15.75" x14ac:dyDescent="0.25">
      <c r="A17" s="13"/>
      <c r="B17" s="16" t="s">
        <v>19</v>
      </c>
      <c r="C17" s="13"/>
      <c r="D17" s="18">
        <f>D15</f>
        <v>173000.32000000001</v>
      </c>
      <c r="E17" s="13"/>
    </row>
    <row r="18" spans="1:5" ht="15.75" x14ac:dyDescent="0.25">
      <c r="A18" s="13"/>
      <c r="B18" s="16"/>
      <c r="C18" s="13"/>
      <c r="D18" s="19"/>
      <c r="E18" s="13"/>
    </row>
    <row r="19" spans="1:5" ht="15.75" x14ac:dyDescent="0.25">
      <c r="A19" s="20"/>
      <c r="B19" s="21" t="s">
        <v>20</v>
      </c>
      <c r="C19" s="20"/>
      <c r="D19" s="22"/>
      <c r="E19" s="2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D21+D25</f>
        <v>35878.229999999996</v>
      </c>
      <c r="E20" s="26">
        <f>E21</f>
        <v>8874.0107399999997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33870.269999999997</v>
      </c>
      <c r="E21" s="26">
        <f>E22</f>
        <v>8874.0107399999997</v>
      </c>
    </row>
    <row r="22" spans="1:5" x14ac:dyDescent="0.25">
      <c r="A22" s="20"/>
      <c r="B22" s="20" t="s">
        <v>25</v>
      </c>
      <c r="C22" s="20"/>
      <c r="D22" s="20">
        <v>33870.269999999997</v>
      </c>
      <c r="E22" s="28">
        <f>D22*26.2%</f>
        <v>8874.0107399999997</v>
      </c>
    </row>
    <row r="23" spans="1:5" x14ac:dyDescent="0.25">
      <c r="A23" s="20"/>
      <c r="B23" s="20" t="s">
        <v>26</v>
      </c>
      <c r="C23" s="20"/>
      <c r="D23" s="29"/>
      <c r="E23" s="28"/>
    </row>
    <row r="24" spans="1:5" x14ac:dyDescent="0.25">
      <c r="A24" s="20"/>
      <c r="B24" s="20" t="s">
        <v>27</v>
      </c>
      <c r="C24" s="20"/>
      <c r="D24" s="20"/>
      <c r="E24" s="28"/>
    </row>
    <row r="25" spans="1:5" x14ac:dyDescent="0.25">
      <c r="A25" s="20">
        <v>2</v>
      </c>
      <c r="B25" s="27" t="s">
        <v>28</v>
      </c>
      <c r="C25" s="20"/>
      <c r="D25" s="20">
        <v>2007.96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50803.25</v>
      </c>
      <c r="E26" s="26">
        <f>E27</f>
        <v>10299.696840000001</v>
      </c>
    </row>
    <row r="27" spans="1:5" x14ac:dyDescent="0.25">
      <c r="A27" s="20">
        <v>1</v>
      </c>
      <c r="B27" s="31" t="s">
        <v>31</v>
      </c>
      <c r="C27" s="20"/>
      <c r="D27" s="31">
        <v>39311.82</v>
      </c>
      <c r="E27" s="28">
        <f>D27*26.2%</f>
        <v>10299.696840000001</v>
      </c>
    </row>
    <row r="28" spans="1:5" x14ac:dyDescent="0.25">
      <c r="A28" s="20">
        <v>2</v>
      </c>
      <c r="B28" s="31" t="s">
        <v>28</v>
      </c>
      <c r="C28" s="20"/>
      <c r="D28" s="31">
        <v>8438.0300000000007</v>
      </c>
      <c r="E28" s="20"/>
    </row>
    <row r="29" spans="1:5" x14ac:dyDescent="0.25">
      <c r="A29" s="20">
        <v>3</v>
      </c>
      <c r="B29" s="31" t="s">
        <v>146</v>
      </c>
      <c r="C29" s="20"/>
      <c r="D29" s="31">
        <v>3053.4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D31+D32+D33+D34+D35+D36+D38+D37</f>
        <v>28528.566000000003</v>
      </c>
      <c r="E30" s="20"/>
    </row>
    <row r="31" spans="1:5" x14ac:dyDescent="0.25">
      <c r="A31" s="20"/>
      <c r="B31" s="20" t="s">
        <v>34</v>
      </c>
      <c r="C31" s="20"/>
      <c r="D31" s="28">
        <f>D17*5%</f>
        <v>8650.0160000000014</v>
      </c>
      <c r="E31" s="20"/>
    </row>
    <row r="32" spans="1:5" x14ac:dyDescent="0.25">
      <c r="A32" s="20"/>
      <c r="B32" s="20" t="s">
        <v>35</v>
      </c>
      <c r="C32" s="20"/>
      <c r="D32" s="20">
        <v>2842.8</v>
      </c>
      <c r="E32" s="20"/>
    </row>
    <row r="33" spans="1:5" x14ac:dyDescent="0.25">
      <c r="A33" s="20"/>
      <c r="B33" s="20" t="s">
        <v>36</v>
      </c>
      <c r="C33" s="20"/>
      <c r="D33" s="28">
        <v>7976.23</v>
      </c>
      <c r="E33" s="20"/>
    </row>
    <row r="34" spans="1:5" x14ac:dyDescent="0.25">
      <c r="A34" s="20"/>
      <c r="B34" s="27" t="s">
        <v>37</v>
      </c>
      <c r="C34" s="20"/>
      <c r="D34" s="20">
        <v>880.1</v>
      </c>
      <c r="E34" s="20"/>
    </row>
    <row r="35" spans="1:5" x14ac:dyDescent="0.25">
      <c r="A35" s="20"/>
      <c r="B35" s="27" t="s">
        <v>38</v>
      </c>
      <c r="C35" s="20"/>
      <c r="D35" s="20">
        <v>1206.26</v>
      </c>
      <c r="E35" s="20"/>
    </row>
    <row r="36" spans="1:5" x14ac:dyDescent="0.25">
      <c r="A36" s="20"/>
      <c r="B36" s="27" t="s">
        <v>84</v>
      </c>
      <c r="C36" s="20"/>
      <c r="D36" s="20">
        <v>4100.18</v>
      </c>
      <c r="E36" s="20"/>
    </row>
    <row r="37" spans="1:5" x14ac:dyDescent="0.25">
      <c r="A37" s="20"/>
      <c r="B37" s="27" t="s">
        <v>58</v>
      </c>
      <c r="C37" s="20"/>
      <c r="D37" s="20">
        <v>338.08</v>
      </c>
      <c r="E37" s="20"/>
    </row>
    <row r="38" spans="1:5" x14ac:dyDescent="0.25">
      <c r="A38" s="20"/>
      <c r="B38" s="31" t="s">
        <v>41</v>
      </c>
      <c r="C38" s="20"/>
      <c r="D38" s="20">
        <v>2534.9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22090.190000000002</v>
      </c>
      <c r="E39" s="26">
        <f>E40</f>
        <v>4749.7534600000008</v>
      </c>
    </row>
    <row r="40" spans="1:5" x14ac:dyDescent="0.25">
      <c r="A40" s="20"/>
      <c r="B40" s="31" t="s">
        <v>43</v>
      </c>
      <c r="C40" s="31"/>
      <c r="D40" s="33">
        <v>18128.830000000002</v>
      </c>
      <c r="E40" s="28">
        <f>D40*26.2%</f>
        <v>4749.7534600000008</v>
      </c>
    </row>
    <row r="41" spans="1:5" x14ac:dyDescent="0.25">
      <c r="A41" s="20"/>
      <c r="B41" s="20" t="s">
        <v>44</v>
      </c>
      <c r="C41" s="20"/>
      <c r="D41" s="33">
        <v>3961.36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D20+E20+D26+E26+D30+D39+E39</f>
        <v>161223.69704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10380.019200000001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171603.71624000001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D17-D44</f>
        <v>1396.6037599999981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97387.54376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4"/>
      <c r="B49" t="s">
        <v>50</v>
      </c>
      <c r="D49" t="s">
        <v>51</v>
      </c>
      <c r="E49" s="34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I39" sqref="I39"/>
    </sheetView>
  </sheetViews>
  <sheetFormatPr defaultRowHeight="15" x14ac:dyDescent="0.25"/>
  <cols>
    <col min="2" max="2" width="44.7109375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3" spans="1:5" x14ac:dyDescent="0.25">
      <c r="B3" t="s">
        <v>1</v>
      </c>
    </row>
    <row r="4" spans="1:5" x14ac:dyDescent="0.25">
      <c r="B4" t="s">
        <v>191</v>
      </c>
    </row>
    <row r="5" spans="1:5" x14ac:dyDescent="0.25">
      <c r="B5" t="s">
        <v>192</v>
      </c>
    </row>
    <row r="6" spans="1:5" x14ac:dyDescent="0.25">
      <c r="A6" s="2"/>
      <c r="B6" s="2"/>
      <c r="C6" s="2"/>
      <c r="D6" s="3"/>
      <c r="E6" s="4"/>
    </row>
    <row r="7" spans="1:5" ht="15.75" x14ac:dyDescent="0.25">
      <c r="A7" s="5"/>
      <c r="B7" s="6" t="s">
        <v>4</v>
      </c>
      <c r="C7" s="7" t="s">
        <v>193</v>
      </c>
      <c r="D7" s="578" t="s">
        <v>6</v>
      </c>
      <c r="E7" s="579"/>
    </row>
    <row r="8" spans="1:5" ht="15.75" x14ac:dyDescent="0.25">
      <c r="A8" s="8"/>
      <c r="B8" s="6" t="s">
        <v>7</v>
      </c>
      <c r="C8" s="7" t="s">
        <v>8</v>
      </c>
      <c r="D8" s="580" t="s">
        <v>92</v>
      </c>
      <c r="E8" s="581"/>
    </row>
    <row r="9" spans="1:5" x14ac:dyDescent="0.25">
      <c r="A9" s="9"/>
      <c r="B9" s="9"/>
      <c r="C9" s="9"/>
      <c r="D9" s="10"/>
      <c r="E9" s="11"/>
    </row>
    <row r="10" spans="1:5" x14ac:dyDescent="0.25">
      <c r="A10" s="9"/>
      <c r="B10" s="12" t="s">
        <v>10</v>
      </c>
      <c r="C10" s="9"/>
      <c r="D10" s="10">
        <v>39761.08</v>
      </c>
      <c r="E10" s="11"/>
    </row>
    <row r="11" spans="1:5" x14ac:dyDescent="0.25">
      <c r="A11" s="13"/>
      <c r="B11" s="14" t="s">
        <v>11</v>
      </c>
      <c r="C11" s="13" t="s">
        <v>12</v>
      </c>
      <c r="D11" s="13">
        <v>5597.1</v>
      </c>
      <c r="E11" s="13"/>
    </row>
    <row r="12" spans="1:5" x14ac:dyDescent="0.25">
      <c r="A12" s="13"/>
      <c r="B12" s="14" t="s">
        <v>13</v>
      </c>
      <c r="C12" s="13" t="s">
        <v>12</v>
      </c>
      <c r="D12" s="13">
        <v>4207.8</v>
      </c>
      <c r="E12" s="13"/>
    </row>
    <row r="13" spans="1:5" x14ac:dyDescent="0.25">
      <c r="A13" s="13"/>
      <c r="B13" s="15" t="s">
        <v>14</v>
      </c>
      <c r="C13" s="13" t="s">
        <v>15</v>
      </c>
      <c r="D13" s="13">
        <f>80962.14*2</f>
        <v>161924.28</v>
      </c>
      <c r="E13" s="13"/>
    </row>
    <row r="14" spans="1:5" x14ac:dyDescent="0.25">
      <c r="A14" s="13"/>
      <c r="B14" s="13"/>
      <c r="C14" s="13"/>
      <c r="D14" s="13"/>
      <c r="E14" s="13"/>
    </row>
    <row r="15" spans="1:5" ht="15.75" x14ac:dyDescent="0.25">
      <c r="A15" s="13"/>
      <c r="B15" s="16" t="s">
        <v>16</v>
      </c>
      <c r="C15" s="13"/>
      <c r="D15" s="13"/>
      <c r="E15" s="13"/>
    </row>
    <row r="16" spans="1:5" x14ac:dyDescent="0.25">
      <c r="A16" s="13">
        <v>1</v>
      </c>
      <c r="B16" s="13" t="s">
        <v>17</v>
      </c>
      <c r="C16" s="13" t="s">
        <v>15</v>
      </c>
      <c r="D16" s="13">
        <v>154048.32999999999</v>
      </c>
      <c r="E16" s="13"/>
    </row>
    <row r="17" spans="1:5" x14ac:dyDescent="0.25">
      <c r="A17" s="13"/>
      <c r="B17" s="13"/>
      <c r="C17" s="13"/>
      <c r="D17" s="13"/>
      <c r="E17" s="13"/>
    </row>
    <row r="18" spans="1:5" ht="15.75" x14ac:dyDescent="0.25">
      <c r="A18" s="13"/>
      <c r="B18" s="16" t="s">
        <v>19</v>
      </c>
      <c r="C18" s="13" t="s">
        <v>15</v>
      </c>
      <c r="D18" s="19">
        <f>D16</f>
        <v>154048.32999999999</v>
      </c>
      <c r="E18" s="13"/>
    </row>
    <row r="19" spans="1:5" ht="15.75" x14ac:dyDescent="0.25">
      <c r="A19" s="13"/>
      <c r="B19" s="16"/>
      <c r="C19" s="13"/>
      <c r="D19" s="19"/>
      <c r="E19" s="13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2">
        <f>D22+D26</f>
        <v>37532.47</v>
      </c>
      <c r="E21" s="26">
        <f>E22</f>
        <v>8787.5848000000005</v>
      </c>
    </row>
    <row r="22" spans="1:5" x14ac:dyDescent="0.25">
      <c r="A22" s="20">
        <v>1</v>
      </c>
      <c r="B22" s="22" t="s">
        <v>24</v>
      </c>
      <c r="C22" s="27" t="s">
        <v>15</v>
      </c>
      <c r="D22" s="22">
        <f>D23</f>
        <v>33540.400000000001</v>
      </c>
      <c r="E22" s="26">
        <f>E23</f>
        <v>8787.5848000000005</v>
      </c>
    </row>
    <row r="23" spans="1:5" x14ac:dyDescent="0.25">
      <c r="A23" s="20"/>
      <c r="B23" s="20" t="s">
        <v>25</v>
      </c>
      <c r="C23" s="20"/>
      <c r="D23" s="20">
        <v>33540.400000000001</v>
      </c>
      <c r="E23" s="28">
        <f>D23*26.2%</f>
        <v>8787.5848000000005</v>
      </c>
    </row>
    <row r="24" spans="1:5" x14ac:dyDescent="0.25">
      <c r="A24" s="20"/>
      <c r="B24" s="20" t="s">
        <v>26</v>
      </c>
      <c r="C24" s="20"/>
      <c r="D24" s="29"/>
      <c r="E24" s="28"/>
    </row>
    <row r="25" spans="1:5" x14ac:dyDescent="0.25">
      <c r="A25" s="20"/>
      <c r="B25" s="20" t="s">
        <v>27</v>
      </c>
      <c r="C25" s="20"/>
      <c r="D25" s="20"/>
      <c r="E25" s="28"/>
    </row>
    <row r="26" spans="1:5" x14ac:dyDescent="0.25">
      <c r="A26" s="20">
        <v>2</v>
      </c>
      <c r="B26" s="27" t="s">
        <v>28</v>
      </c>
      <c r="C26" s="20"/>
      <c r="D26" s="20">
        <v>3992.07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D28+D29+D30</f>
        <v>43999.42</v>
      </c>
      <c r="E27" s="26">
        <f>E28</f>
        <v>9780.3473400000003</v>
      </c>
    </row>
    <row r="28" spans="1:5" x14ac:dyDescent="0.25">
      <c r="A28" s="20">
        <v>1</v>
      </c>
      <c r="B28" s="31" t="s">
        <v>31</v>
      </c>
      <c r="C28" s="20"/>
      <c r="D28" s="31">
        <v>37329.57</v>
      </c>
      <c r="E28" s="28">
        <f>D28*26.2%</f>
        <v>9780.3473400000003</v>
      </c>
    </row>
    <row r="29" spans="1:5" x14ac:dyDescent="0.25">
      <c r="A29" s="20">
        <v>2</v>
      </c>
      <c r="B29" s="31" t="s">
        <v>28</v>
      </c>
      <c r="C29" s="20"/>
      <c r="D29" s="31">
        <v>3398.35</v>
      </c>
      <c r="E29" s="20"/>
    </row>
    <row r="30" spans="1:5" x14ac:dyDescent="0.25">
      <c r="A30" s="20">
        <v>3</v>
      </c>
      <c r="B30" s="31" t="s">
        <v>146</v>
      </c>
      <c r="C30" s="20"/>
      <c r="D30" s="31">
        <v>3271.5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D32+D33+D34+D36+D37+D38+D35</f>
        <v>25284.286499999998</v>
      </c>
      <c r="E31" s="20"/>
    </row>
    <row r="32" spans="1:5" x14ac:dyDescent="0.25">
      <c r="A32" s="20"/>
      <c r="B32" s="20" t="s">
        <v>34</v>
      </c>
      <c r="C32" s="20"/>
      <c r="D32" s="28">
        <f>D18*5%</f>
        <v>7702.4164999999994</v>
      </c>
      <c r="E32" s="20"/>
    </row>
    <row r="33" spans="1:5" x14ac:dyDescent="0.25">
      <c r="A33" s="20"/>
      <c r="B33" s="20" t="s">
        <v>35</v>
      </c>
      <c r="C33" s="20"/>
      <c r="D33" s="20">
        <v>5281.53</v>
      </c>
      <c r="E33" s="20"/>
    </row>
    <row r="34" spans="1:5" x14ac:dyDescent="0.25">
      <c r="A34" s="20"/>
      <c r="B34" s="20" t="s">
        <v>36</v>
      </c>
      <c r="C34" s="20"/>
      <c r="D34" s="28">
        <v>7574.01</v>
      </c>
      <c r="E34" s="20"/>
    </row>
    <row r="35" spans="1:5" x14ac:dyDescent="0.25">
      <c r="A35" s="20"/>
      <c r="B35" s="31" t="s">
        <v>37</v>
      </c>
      <c r="C35" s="20"/>
      <c r="D35" s="20">
        <v>835.73</v>
      </c>
      <c r="E35" s="20"/>
    </row>
    <row r="36" spans="1:5" x14ac:dyDescent="0.25">
      <c r="A36" s="20"/>
      <c r="B36" s="31" t="s">
        <v>38</v>
      </c>
      <c r="C36" s="20"/>
      <c r="D36" s="20">
        <v>1145.44</v>
      </c>
      <c r="E36" s="20"/>
    </row>
    <row r="37" spans="1:5" x14ac:dyDescent="0.25">
      <c r="A37" s="20"/>
      <c r="B37" s="31" t="s">
        <v>58</v>
      </c>
      <c r="C37" s="20"/>
      <c r="D37" s="20">
        <v>338.08</v>
      </c>
      <c r="E37" s="20"/>
    </row>
    <row r="38" spans="1:5" x14ac:dyDescent="0.25">
      <c r="A38" s="20"/>
      <c r="B38" s="31" t="s">
        <v>41</v>
      </c>
      <c r="C38" s="20"/>
      <c r="D38" s="20">
        <v>2407.08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20976.31</v>
      </c>
      <c r="E39" s="26">
        <f>E40</f>
        <v>4510.2514000000001</v>
      </c>
    </row>
    <row r="40" spans="1:5" x14ac:dyDescent="0.25">
      <c r="A40" s="20"/>
      <c r="B40" s="31" t="s">
        <v>43</v>
      </c>
      <c r="C40" s="31"/>
      <c r="D40" s="33">
        <v>17214.7</v>
      </c>
      <c r="E40" s="28">
        <f>D40*26.2%</f>
        <v>4510.2514000000001</v>
      </c>
    </row>
    <row r="41" spans="1:5" x14ac:dyDescent="0.25">
      <c r="A41" s="20"/>
      <c r="B41" s="20" t="s">
        <v>44</v>
      </c>
      <c r="C41" s="20"/>
      <c r="D41" s="33">
        <v>3761.61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D21+E21+D27+E27+D31+D39+E39</f>
        <v>150870.67004000003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D18*6%</f>
        <v>9242.8997999999992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160113.56984000001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D18-D44</f>
        <v>-6065.2398400000238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D10+D46</f>
        <v>33695.840159999978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52" workbookViewId="0">
      <selection activeCell="M37" sqref="M37"/>
    </sheetView>
  </sheetViews>
  <sheetFormatPr defaultRowHeight="15" x14ac:dyDescent="0.25"/>
  <cols>
    <col min="2" max="2" width="41" customWidth="1"/>
    <col min="4" max="4" width="11.28515625" customWidth="1"/>
    <col min="5" max="5" width="10.85546875" customWidth="1"/>
  </cols>
  <sheetData>
    <row r="1" spans="1:5" ht="15.75" x14ac:dyDescent="0.25">
      <c r="B1" s="1" t="s">
        <v>0</v>
      </c>
    </row>
    <row r="2" spans="1:5" x14ac:dyDescent="0.25">
      <c r="B2" t="s">
        <v>1</v>
      </c>
    </row>
    <row r="3" spans="1:5" x14ac:dyDescent="0.25">
      <c r="B3" t="s">
        <v>194</v>
      </c>
    </row>
    <row r="4" spans="1:5" x14ac:dyDescent="0.25">
      <c r="A4" s="2"/>
      <c r="B4" s="2"/>
      <c r="C4" s="2"/>
      <c r="D4" s="3"/>
      <c r="E4" s="4"/>
    </row>
    <row r="5" spans="1:5" ht="15.75" x14ac:dyDescent="0.25">
      <c r="A5" s="5"/>
      <c r="B5" s="6" t="s">
        <v>4</v>
      </c>
      <c r="C5" s="7" t="s">
        <v>5</v>
      </c>
      <c r="D5" s="578" t="s">
        <v>6</v>
      </c>
      <c r="E5" s="579"/>
    </row>
    <row r="6" spans="1:5" ht="15.75" x14ac:dyDescent="0.25">
      <c r="A6" s="8"/>
      <c r="B6" s="6" t="s">
        <v>7</v>
      </c>
      <c r="C6" s="7" t="s">
        <v>8</v>
      </c>
      <c r="D6" s="580" t="s">
        <v>92</v>
      </c>
      <c r="E6" s="581"/>
    </row>
    <row r="7" spans="1:5" x14ac:dyDescent="0.25">
      <c r="A7" s="9"/>
      <c r="B7" s="9"/>
      <c r="C7" s="9"/>
      <c r="D7" s="10"/>
      <c r="E7" s="11"/>
    </row>
    <row r="8" spans="1:5" x14ac:dyDescent="0.25">
      <c r="A8" s="9"/>
      <c r="B8" s="12" t="s">
        <v>10</v>
      </c>
      <c r="C8" s="9"/>
      <c r="D8" s="10">
        <v>58182.76</v>
      </c>
      <c r="E8" s="11"/>
    </row>
    <row r="9" spans="1:5" x14ac:dyDescent="0.25">
      <c r="A9" s="13"/>
      <c r="B9" s="14" t="s">
        <v>11</v>
      </c>
      <c r="C9" s="14" t="s">
        <v>12</v>
      </c>
      <c r="D9" s="17">
        <v>4619.5</v>
      </c>
      <c r="E9" s="13"/>
    </row>
    <row r="10" spans="1:5" x14ac:dyDescent="0.25">
      <c r="A10" s="13"/>
      <c r="B10" s="14" t="s">
        <v>13</v>
      </c>
      <c r="C10" s="14" t="s">
        <v>12</v>
      </c>
      <c r="D10" s="17">
        <v>3701.3</v>
      </c>
      <c r="E10" s="13"/>
    </row>
    <row r="11" spans="1:5" x14ac:dyDescent="0.25">
      <c r="A11" s="13"/>
      <c r="B11" s="15" t="s">
        <v>14</v>
      </c>
      <c r="C11" s="14" t="s">
        <v>15</v>
      </c>
      <c r="D11" s="17">
        <f>71014.44*2</f>
        <v>142028.88</v>
      </c>
      <c r="E11" s="13"/>
    </row>
    <row r="12" spans="1:5" x14ac:dyDescent="0.25">
      <c r="A12" s="13"/>
      <c r="B12" s="13"/>
      <c r="C12" s="14"/>
      <c r="D12" s="17"/>
      <c r="E12" s="13"/>
    </row>
    <row r="13" spans="1:5" ht="15.75" x14ac:dyDescent="0.25">
      <c r="A13" s="13"/>
      <c r="B13" s="16" t="s">
        <v>16</v>
      </c>
      <c r="C13" s="14"/>
      <c r="D13" s="17"/>
      <c r="E13" s="13"/>
    </row>
    <row r="14" spans="1:5" x14ac:dyDescent="0.25">
      <c r="A14" s="13">
        <v>1</v>
      </c>
      <c r="B14" s="13" t="s">
        <v>17</v>
      </c>
      <c r="C14" s="14" t="s">
        <v>15</v>
      </c>
      <c r="D14" s="17">
        <v>129585.60000000001</v>
      </c>
      <c r="E14" s="13"/>
    </row>
    <row r="15" spans="1:5" x14ac:dyDescent="0.25">
      <c r="A15" s="13">
        <v>2</v>
      </c>
      <c r="B15" s="13" t="s">
        <v>18</v>
      </c>
      <c r="C15" s="14"/>
      <c r="D15" s="17">
        <v>24840.92</v>
      </c>
      <c r="E15" s="13"/>
    </row>
    <row r="16" spans="1:5" ht="15.75" x14ac:dyDescent="0.25">
      <c r="A16" s="13"/>
      <c r="B16" s="16" t="s">
        <v>19</v>
      </c>
      <c r="C16" s="14"/>
      <c r="D16" s="18">
        <f>D14+D15</f>
        <v>154426.52000000002</v>
      </c>
      <c r="E16" s="13"/>
    </row>
    <row r="17" spans="1:5" ht="15.75" x14ac:dyDescent="0.25">
      <c r="A17" s="13"/>
      <c r="B17" s="16"/>
      <c r="C17" s="14"/>
      <c r="D17" s="19"/>
      <c r="E17" s="13"/>
    </row>
    <row r="18" spans="1:5" ht="15.75" x14ac:dyDescent="0.25">
      <c r="A18" s="20"/>
      <c r="B18" s="21" t="s">
        <v>20</v>
      </c>
      <c r="C18" s="20"/>
      <c r="D18" s="22"/>
      <c r="E18" s="23" t="s">
        <v>21</v>
      </c>
    </row>
    <row r="19" spans="1:5" x14ac:dyDescent="0.25">
      <c r="A19" s="24" t="s">
        <v>22</v>
      </c>
      <c r="B19" s="25" t="s">
        <v>23</v>
      </c>
      <c r="C19" s="20"/>
      <c r="D19" s="22">
        <f>D20+D24</f>
        <v>21094.639999999999</v>
      </c>
      <c r="E19" s="26">
        <f>E20</f>
        <v>4957.7316799999999</v>
      </c>
    </row>
    <row r="20" spans="1:5" x14ac:dyDescent="0.25">
      <c r="A20" s="20">
        <v>1</v>
      </c>
      <c r="B20" s="22" t="s">
        <v>24</v>
      </c>
      <c r="C20" s="27" t="s">
        <v>15</v>
      </c>
      <c r="D20" s="22">
        <f>D21</f>
        <v>18922.64</v>
      </c>
      <c r="E20" s="26">
        <f>E21</f>
        <v>4957.7316799999999</v>
      </c>
    </row>
    <row r="21" spans="1:5" x14ac:dyDescent="0.25">
      <c r="A21" s="20"/>
      <c r="B21" s="20" t="s">
        <v>25</v>
      </c>
      <c r="C21" s="20"/>
      <c r="D21" s="20">
        <v>18922.64</v>
      </c>
      <c r="E21" s="28">
        <f>D21*26.2%</f>
        <v>4957.7316799999999</v>
      </c>
    </row>
    <row r="22" spans="1:5" x14ac:dyDescent="0.25">
      <c r="A22" s="20"/>
      <c r="B22" s="20" t="s">
        <v>26</v>
      </c>
      <c r="C22" s="20"/>
      <c r="D22" s="29"/>
      <c r="E22" s="28"/>
    </row>
    <row r="23" spans="1:5" x14ac:dyDescent="0.25">
      <c r="A23" s="20"/>
      <c r="B23" s="20" t="s">
        <v>27</v>
      </c>
      <c r="C23" s="20"/>
      <c r="D23" s="20"/>
      <c r="E23" s="28"/>
    </row>
    <row r="24" spans="1:5" x14ac:dyDescent="0.25">
      <c r="A24" s="20">
        <v>2</v>
      </c>
      <c r="B24" s="27" t="s">
        <v>28</v>
      </c>
      <c r="C24" s="20"/>
      <c r="D24" s="20">
        <v>2172</v>
      </c>
      <c r="E24" s="28"/>
    </row>
    <row r="25" spans="1:5" x14ac:dyDescent="0.25">
      <c r="A25" s="24" t="s">
        <v>29</v>
      </c>
      <c r="B25" s="30" t="s">
        <v>30</v>
      </c>
      <c r="C25" s="20"/>
      <c r="D25" s="22">
        <f>D26+D27+D28</f>
        <v>42285.490000000005</v>
      </c>
      <c r="E25" s="26">
        <f>E26</f>
        <v>8603.0713000000014</v>
      </c>
    </row>
    <row r="26" spans="1:5" x14ac:dyDescent="0.25">
      <c r="A26" s="20">
        <v>1</v>
      </c>
      <c r="B26" s="31" t="s">
        <v>31</v>
      </c>
      <c r="C26" s="20"/>
      <c r="D26" s="31">
        <v>32836.15</v>
      </c>
      <c r="E26" s="28">
        <f>D26*26.2%</f>
        <v>8603.0713000000014</v>
      </c>
    </row>
    <row r="27" spans="1:5" x14ac:dyDescent="0.25">
      <c r="A27" s="20">
        <v>2</v>
      </c>
      <c r="B27" s="31" t="s">
        <v>28</v>
      </c>
      <c r="C27" s="20"/>
      <c r="D27" s="31">
        <v>9085.84</v>
      </c>
      <c r="E27" s="20"/>
    </row>
    <row r="28" spans="1:5" x14ac:dyDescent="0.25">
      <c r="A28" s="20">
        <v>3</v>
      </c>
      <c r="B28" s="31" t="s">
        <v>146</v>
      </c>
      <c r="C28" s="20"/>
      <c r="D28" s="31">
        <v>363.5</v>
      </c>
      <c r="E28" s="20"/>
    </row>
    <row r="29" spans="1:5" x14ac:dyDescent="0.25">
      <c r="A29" s="24" t="s">
        <v>32</v>
      </c>
      <c r="B29" s="22" t="s">
        <v>33</v>
      </c>
      <c r="C29" s="20"/>
      <c r="D29" s="26">
        <f>D30+D31+D32+D33+D34+D35+D38+D36+D37</f>
        <v>24954.026000000005</v>
      </c>
      <c r="E29" s="20"/>
    </row>
    <row r="30" spans="1:5" x14ac:dyDescent="0.25">
      <c r="A30" s="20"/>
      <c r="B30" s="20" t="s">
        <v>34</v>
      </c>
      <c r="C30" s="20"/>
      <c r="D30" s="28">
        <f>D16*5%</f>
        <v>7721.3260000000009</v>
      </c>
      <c r="E30" s="20"/>
    </row>
    <row r="31" spans="1:5" x14ac:dyDescent="0.25">
      <c r="A31" s="20"/>
      <c r="B31" s="20" t="s">
        <v>35</v>
      </c>
      <c r="C31" s="20"/>
      <c r="D31" s="20">
        <v>2032.27</v>
      </c>
      <c r="E31" s="20"/>
    </row>
    <row r="32" spans="1:5" x14ac:dyDescent="0.25">
      <c r="A32" s="20"/>
      <c r="B32" s="20" t="s">
        <v>36</v>
      </c>
      <c r="C32" s="20"/>
      <c r="D32" s="28">
        <v>6662.34</v>
      </c>
      <c r="E32" s="20"/>
    </row>
    <row r="33" spans="1:5" x14ac:dyDescent="0.25">
      <c r="A33" s="20"/>
      <c r="B33" s="27" t="s">
        <v>37</v>
      </c>
      <c r="C33" s="20"/>
      <c r="D33" s="20">
        <v>735.13</v>
      </c>
      <c r="E33" s="20"/>
    </row>
    <row r="34" spans="1:5" x14ac:dyDescent="0.25">
      <c r="A34" s="20"/>
      <c r="B34" s="27" t="s">
        <v>38</v>
      </c>
      <c r="C34" s="20"/>
      <c r="D34" s="20">
        <v>1007.56</v>
      </c>
      <c r="E34" s="20"/>
    </row>
    <row r="35" spans="1:5" x14ac:dyDescent="0.25">
      <c r="A35" s="20"/>
      <c r="B35" s="27" t="s">
        <v>84</v>
      </c>
      <c r="C35" s="20"/>
      <c r="D35" s="20">
        <v>2000</v>
      </c>
      <c r="E35" s="20"/>
    </row>
    <row r="36" spans="1:5" x14ac:dyDescent="0.25">
      <c r="A36" s="20"/>
      <c r="B36" s="27" t="s">
        <v>195</v>
      </c>
      <c r="C36" s="20"/>
      <c r="D36" s="20">
        <v>2339.98</v>
      </c>
      <c r="E36" s="20"/>
    </row>
    <row r="37" spans="1:5" x14ac:dyDescent="0.25">
      <c r="A37" s="20"/>
      <c r="B37" s="31" t="s">
        <v>58</v>
      </c>
      <c r="C37" s="20"/>
      <c r="D37" s="20">
        <v>338.08</v>
      </c>
      <c r="E37" s="20"/>
    </row>
    <row r="38" spans="1:5" x14ac:dyDescent="0.25">
      <c r="A38" s="20"/>
      <c r="B38" s="31" t="s">
        <v>41</v>
      </c>
      <c r="C38" s="20"/>
      <c r="D38" s="20">
        <v>2117.34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18451.36</v>
      </c>
      <c r="E39" s="26">
        <f>E40</f>
        <v>3967.3454800000004</v>
      </c>
    </row>
    <row r="40" spans="1:5" x14ac:dyDescent="0.25">
      <c r="A40" s="20"/>
      <c r="B40" s="31" t="s">
        <v>43</v>
      </c>
      <c r="C40" s="31"/>
      <c r="D40" s="33">
        <v>15142.54</v>
      </c>
      <c r="E40" s="28">
        <f>D40*26.2%</f>
        <v>3967.3454800000004</v>
      </c>
    </row>
    <row r="41" spans="1:5" x14ac:dyDescent="0.25">
      <c r="A41" s="20"/>
      <c r="B41" s="20" t="s">
        <v>44</v>
      </c>
      <c r="C41" s="20"/>
      <c r="D41" s="33">
        <v>3308.82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D19+E19+D25+E25+D29+D39+E39</f>
        <v>124313.66446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D16*6%</f>
        <v>9265.5912000000008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133579.25566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D14-D44</f>
        <v>-3993.6556599999894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D8+D46</f>
        <v>54189.104340000013</v>
      </c>
      <c r="E47" s="20"/>
    </row>
    <row r="48" spans="1:5" x14ac:dyDescent="0.25">
      <c r="A48" s="34"/>
      <c r="B48" s="35" t="s">
        <v>18</v>
      </c>
      <c r="C48" s="34"/>
      <c r="D48" s="36">
        <v>24840.92</v>
      </c>
      <c r="E48" s="34"/>
    </row>
    <row r="49" spans="1:5" x14ac:dyDescent="0.25">
      <c r="A49" s="34"/>
      <c r="B49" t="s">
        <v>50</v>
      </c>
      <c r="D49" t="s">
        <v>51</v>
      </c>
      <c r="E49" s="34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2"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0"/>
  <sheetViews>
    <sheetView topLeftCell="A26" workbookViewId="0">
      <selection activeCell="I40" sqref="I40"/>
    </sheetView>
  </sheetViews>
  <sheetFormatPr defaultRowHeight="15" x14ac:dyDescent="0.25"/>
  <cols>
    <col min="1" max="1" width="2.42578125" customWidth="1"/>
    <col min="2" max="2" width="6" customWidth="1"/>
    <col min="3" max="3" width="43.85546875" customWidth="1"/>
    <col min="5" max="5" width="11.85546875" customWidth="1"/>
    <col min="6" max="6" width="11.140625" customWidth="1"/>
  </cols>
  <sheetData>
    <row r="1" spans="2:6" ht="15.75" x14ac:dyDescent="0.25">
      <c r="C1" s="1" t="s">
        <v>0</v>
      </c>
    </row>
    <row r="3" spans="2:6" x14ac:dyDescent="0.25">
      <c r="C3" t="s">
        <v>90</v>
      </c>
    </row>
    <row r="4" spans="2:6" x14ac:dyDescent="0.25">
      <c r="C4" t="s">
        <v>196</v>
      </c>
    </row>
    <row r="5" spans="2:6" x14ac:dyDescent="0.25">
      <c r="C5" t="s">
        <v>79</v>
      </c>
    </row>
    <row r="6" spans="2:6" x14ac:dyDescent="0.25">
      <c r="B6" s="577"/>
      <c r="C6" s="577"/>
      <c r="D6" s="577"/>
      <c r="E6" s="61"/>
      <c r="F6" s="59"/>
    </row>
    <row r="7" spans="2:6" x14ac:dyDescent="0.25">
      <c r="B7" s="5"/>
      <c r="C7" s="5"/>
      <c r="D7" s="5"/>
      <c r="E7" s="3"/>
      <c r="F7" s="60"/>
    </row>
    <row r="8" spans="2:6" ht="15.75" x14ac:dyDescent="0.25">
      <c r="B8" s="5"/>
      <c r="C8" s="6" t="s">
        <v>4</v>
      </c>
      <c r="D8" s="7" t="s">
        <v>5</v>
      </c>
      <c r="E8" s="578" t="s">
        <v>6</v>
      </c>
      <c r="F8" s="579"/>
    </row>
    <row r="9" spans="2:6" ht="15.75" x14ac:dyDescent="0.25">
      <c r="B9" s="8"/>
      <c r="C9" s="6" t="s">
        <v>7</v>
      </c>
      <c r="D9" s="7" t="s">
        <v>8</v>
      </c>
      <c r="E9" s="580" t="s">
        <v>197</v>
      </c>
      <c r="F9" s="581"/>
    </row>
    <row r="10" spans="2:6" x14ac:dyDescent="0.25">
      <c r="B10" s="9"/>
      <c r="C10" s="9"/>
      <c r="D10" s="9"/>
      <c r="E10" s="10"/>
      <c r="F10" s="11"/>
    </row>
    <row r="11" spans="2:6" x14ac:dyDescent="0.25">
      <c r="B11" s="9"/>
      <c r="C11" s="12" t="s">
        <v>10</v>
      </c>
      <c r="D11" s="9"/>
      <c r="E11" s="10">
        <v>-57212.57</v>
      </c>
      <c r="F11" s="11"/>
    </row>
    <row r="12" spans="2:6" x14ac:dyDescent="0.25">
      <c r="B12" s="13"/>
      <c r="C12" s="14" t="s">
        <v>11</v>
      </c>
      <c r="D12" s="14" t="s">
        <v>12</v>
      </c>
      <c r="E12" s="17">
        <v>4619.5</v>
      </c>
      <c r="F12" s="13"/>
    </row>
    <row r="13" spans="2:6" x14ac:dyDescent="0.25">
      <c r="B13" s="13"/>
      <c r="C13" s="14" t="s">
        <v>13</v>
      </c>
      <c r="D13" s="14" t="s">
        <v>12</v>
      </c>
      <c r="E13" s="17">
        <v>3701.3</v>
      </c>
      <c r="F13" s="13"/>
    </row>
    <row r="14" spans="2:6" x14ac:dyDescent="0.25">
      <c r="B14" s="13"/>
      <c r="C14" s="15" t="s">
        <v>14</v>
      </c>
      <c r="D14" s="14" t="s">
        <v>15</v>
      </c>
      <c r="E14" s="17">
        <v>171172.32</v>
      </c>
      <c r="F14" s="13"/>
    </row>
    <row r="15" spans="2:6" x14ac:dyDescent="0.25">
      <c r="B15" s="13"/>
      <c r="C15" s="13"/>
      <c r="D15" s="14"/>
      <c r="E15" s="17"/>
      <c r="F15" s="13"/>
    </row>
    <row r="16" spans="2:6" ht="15.75" x14ac:dyDescent="0.25">
      <c r="B16" s="13"/>
      <c r="C16" s="16" t="s">
        <v>16</v>
      </c>
      <c r="D16" s="14"/>
      <c r="E16" s="17"/>
      <c r="F16" s="13"/>
    </row>
    <row r="17" spans="2:6" x14ac:dyDescent="0.25">
      <c r="B17" s="13">
        <v>1</v>
      </c>
      <c r="C17" s="13" t="s">
        <v>17</v>
      </c>
      <c r="D17" s="14" t="s">
        <v>15</v>
      </c>
      <c r="E17" s="17">
        <v>166875.41</v>
      </c>
      <c r="F17" s="13"/>
    </row>
    <row r="18" spans="2:6" x14ac:dyDescent="0.25">
      <c r="B18" s="13"/>
      <c r="C18" s="13"/>
      <c r="D18" s="14"/>
      <c r="E18" s="17"/>
      <c r="F18" s="13"/>
    </row>
    <row r="19" spans="2:6" ht="15.75" x14ac:dyDescent="0.25">
      <c r="B19" s="13"/>
      <c r="C19" s="16" t="s">
        <v>19</v>
      </c>
      <c r="D19" s="14"/>
      <c r="E19" s="18">
        <f>E17</f>
        <v>166875.41</v>
      </c>
      <c r="F19" s="13"/>
    </row>
    <row r="20" spans="2:6" ht="15.75" x14ac:dyDescent="0.25">
      <c r="B20" s="13"/>
      <c r="C20" s="16"/>
      <c r="D20" s="14"/>
      <c r="E20" s="19"/>
      <c r="F20" s="13"/>
    </row>
    <row r="21" spans="2:6" ht="15.75" x14ac:dyDescent="0.25">
      <c r="B21" s="20"/>
      <c r="C21" s="21" t="s">
        <v>20</v>
      </c>
      <c r="D21" s="20"/>
      <c r="E21" s="22"/>
      <c r="F21" s="23" t="s">
        <v>21</v>
      </c>
    </row>
    <row r="22" spans="2:6" x14ac:dyDescent="0.25">
      <c r="B22" s="24" t="s">
        <v>22</v>
      </c>
      <c r="C22" s="25" t="s">
        <v>23</v>
      </c>
      <c r="D22" s="20"/>
      <c r="E22" s="26">
        <f>E23+E27</f>
        <v>75828.319999999992</v>
      </c>
      <c r="F22" s="26">
        <f>F23</f>
        <v>19416.932659999999</v>
      </c>
    </row>
    <row r="23" spans="2:6" x14ac:dyDescent="0.25">
      <c r="B23" s="20">
        <v>1</v>
      </c>
      <c r="C23" s="22" t="s">
        <v>24</v>
      </c>
      <c r="D23" s="27" t="s">
        <v>15</v>
      </c>
      <c r="E23" s="26">
        <f>E24+E25+E26</f>
        <v>74110.429999999993</v>
      </c>
      <c r="F23" s="26">
        <f>F24+F25+F26</f>
        <v>19416.932659999999</v>
      </c>
    </row>
    <row r="24" spans="2:6" x14ac:dyDescent="0.25">
      <c r="B24" s="20"/>
      <c r="C24" s="20" t="s">
        <v>25</v>
      </c>
      <c r="D24" s="20"/>
      <c r="E24" s="20">
        <v>21909.18</v>
      </c>
      <c r="F24" s="28">
        <f>E24*26.2%</f>
        <v>5740.2051600000004</v>
      </c>
    </row>
    <row r="25" spans="2:6" x14ac:dyDescent="0.25">
      <c r="B25" s="20"/>
      <c r="C25" s="20" t="s">
        <v>26</v>
      </c>
      <c r="D25" s="20"/>
      <c r="E25" s="20">
        <v>23199.15</v>
      </c>
      <c r="F25" s="28">
        <f>E25*26.2%</f>
        <v>6078.1773000000003</v>
      </c>
    </row>
    <row r="26" spans="2:6" x14ac:dyDescent="0.25">
      <c r="B26" s="20"/>
      <c r="C26" s="20" t="s">
        <v>27</v>
      </c>
      <c r="D26" s="20"/>
      <c r="E26" s="20">
        <v>29002.1</v>
      </c>
      <c r="F26" s="28">
        <f>E26*26.2%</f>
        <v>7598.5501999999997</v>
      </c>
    </row>
    <row r="27" spans="2:6" x14ac:dyDescent="0.25">
      <c r="B27" s="20">
        <v>2</v>
      </c>
      <c r="C27" s="27" t="s">
        <v>28</v>
      </c>
      <c r="D27" s="20"/>
      <c r="E27" s="20">
        <v>1717.89</v>
      </c>
      <c r="F27" s="28"/>
    </row>
    <row r="28" spans="2:6" x14ac:dyDescent="0.25">
      <c r="B28" s="24" t="s">
        <v>29</v>
      </c>
      <c r="C28" s="30" t="s">
        <v>30</v>
      </c>
      <c r="D28" s="20"/>
      <c r="E28" s="22">
        <f>E29+E30</f>
        <v>46655.8</v>
      </c>
      <c r="F28" s="26">
        <f>F29</f>
        <v>11303.020600000002</v>
      </c>
    </row>
    <row r="29" spans="2:6" x14ac:dyDescent="0.25">
      <c r="B29" s="20">
        <v>1</v>
      </c>
      <c r="C29" s="31" t="s">
        <v>31</v>
      </c>
      <c r="D29" s="20"/>
      <c r="E29" s="31">
        <v>43141.3</v>
      </c>
      <c r="F29" s="28">
        <f>E29*26.2%</f>
        <v>11303.020600000002</v>
      </c>
    </row>
    <row r="30" spans="2:6" x14ac:dyDescent="0.25">
      <c r="B30" s="20">
        <v>2</v>
      </c>
      <c r="C30" s="31" t="s">
        <v>28</v>
      </c>
      <c r="D30" s="20"/>
      <c r="E30" s="31">
        <v>3514.5</v>
      </c>
      <c r="F30" s="20"/>
    </row>
    <row r="31" spans="2:6" x14ac:dyDescent="0.25">
      <c r="B31" s="24" t="s">
        <v>32</v>
      </c>
      <c r="C31" s="22" t="s">
        <v>33</v>
      </c>
      <c r="D31" s="20"/>
      <c r="E31" s="26">
        <f>E32+E33+E34+E35+E38+E36+E37</f>
        <v>21642.860500000003</v>
      </c>
      <c r="F31" s="20"/>
    </row>
    <row r="32" spans="2:6" x14ac:dyDescent="0.25">
      <c r="B32" s="20"/>
      <c r="C32" s="20" t="s">
        <v>34</v>
      </c>
      <c r="D32" s="20"/>
      <c r="E32" s="28">
        <f>E19*5%</f>
        <v>8343.7705000000005</v>
      </c>
      <c r="F32" s="20"/>
    </row>
    <row r="33" spans="2:6" x14ac:dyDescent="0.25">
      <c r="B33" s="20"/>
      <c r="C33" s="20" t="s">
        <v>74</v>
      </c>
      <c r="D33" s="20"/>
      <c r="E33" s="20">
        <v>0</v>
      </c>
      <c r="F33" s="20"/>
    </row>
    <row r="34" spans="2:6" x14ac:dyDescent="0.25">
      <c r="B34" s="20"/>
      <c r="C34" s="20" t="s">
        <v>36</v>
      </c>
      <c r="D34" s="20"/>
      <c r="E34" s="28">
        <v>7889.57</v>
      </c>
      <c r="F34" s="20"/>
    </row>
    <row r="35" spans="2:6" x14ac:dyDescent="0.25">
      <c r="B35" s="20"/>
      <c r="C35" s="27" t="s">
        <v>37</v>
      </c>
      <c r="D35" s="20"/>
      <c r="E35" s="20">
        <v>965.84</v>
      </c>
      <c r="F35" s="20"/>
    </row>
    <row r="36" spans="2:6" x14ac:dyDescent="0.25">
      <c r="B36" s="20"/>
      <c r="C36" s="27" t="s">
        <v>58</v>
      </c>
      <c r="D36" s="20"/>
      <c r="E36" s="20">
        <v>338.08</v>
      </c>
      <c r="F36" s="20"/>
    </row>
    <row r="37" spans="2:6" x14ac:dyDescent="0.25">
      <c r="B37" s="20"/>
      <c r="C37" s="20" t="s">
        <v>41</v>
      </c>
      <c r="D37" s="20"/>
      <c r="E37" s="20">
        <v>2781.83</v>
      </c>
      <c r="F37" s="20"/>
    </row>
    <row r="38" spans="2:6" x14ac:dyDescent="0.25">
      <c r="B38" s="20"/>
      <c r="C38" s="27" t="s">
        <v>38</v>
      </c>
      <c r="D38" s="20"/>
      <c r="E38" s="20">
        <v>1323.77</v>
      </c>
      <c r="F38" s="20"/>
    </row>
    <row r="39" spans="2:6" x14ac:dyDescent="0.25">
      <c r="B39" s="20">
        <v>4</v>
      </c>
      <c r="C39" s="22" t="s">
        <v>42</v>
      </c>
      <c r="D39" s="20"/>
      <c r="E39" s="26">
        <f>E40+E41</f>
        <v>24242.050000000003</v>
      </c>
      <c r="F39" s="26">
        <f>F40</f>
        <v>5212.4402200000004</v>
      </c>
    </row>
    <row r="40" spans="2:6" x14ac:dyDescent="0.25">
      <c r="B40" s="20"/>
      <c r="C40" s="31" t="s">
        <v>43</v>
      </c>
      <c r="D40" s="31"/>
      <c r="E40" s="33">
        <v>19894.810000000001</v>
      </c>
      <c r="F40" s="28">
        <f>E40*26.2%</f>
        <v>5212.4402200000004</v>
      </c>
    </row>
    <row r="41" spans="2:6" x14ac:dyDescent="0.25">
      <c r="B41" s="20"/>
      <c r="C41" s="31" t="s">
        <v>44</v>
      </c>
      <c r="D41" s="20"/>
      <c r="E41" s="33">
        <v>4347.24</v>
      </c>
      <c r="F41" s="20"/>
    </row>
    <row r="42" spans="2:6" x14ac:dyDescent="0.25">
      <c r="B42" s="20">
        <v>5</v>
      </c>
      <c r="C42" s="22" t="s">
        <v>45</v>
      </c>
      <c r="D42" s="20"/>
      <c r="E42" s="26">
        <f>E22+F22+E28+F28+E31+E39+F39</f>
        <v>204301.42397999996</v>
      </c>
      <c r="F42" s="20"/>
    </row>
    <row r="43" spans="2:6" x14ac:dyDescent="0.25">
      <c r="B43" s="20">
        <v>6</v>
      </c>
      <c r="C43" s="20" t="s">
        <v>46</v>
      </c>
      <c r="D43" s="20"/>
      <c r="E43" s="26">
        <f>E19*6%</f>
        <v>10012.524600000001</v>
      </c>
      <c r="F43" s="20"/>
    </row>
    <row r="44" spans="2:6" x14ac:dyDescent="0.25">
      <c r="B44" s="20">
        <v>7</v>
      </c>
      <c r="C44" s="22" t="s">
        <v>47</v>
      </c>
      <c r="D44" s="20"/>
      <c r="E44" s="26">
        <f>E42+E43</f>
        <v>214313.94857999997</v>
      </c>
      <c r="F44" s="20"/>
    </row>
    <row r="45" spans="2:6" x14ac:dyDescent="0.25">
      <c r="B45" s="20"/>
      <c r="C45" s="20"/>
      <c r="D45" s="20"/>
      <c r="E45" s="20"/>
      <c r="F45" s="20"/>
    </row>
    <row r="46" spans="2:6" x14ac:dyDescent="0.25">
      <c r="B46" s="20">
        <v>8</v>
      </c>
      <c r="C46" s="22" t="s">
        <v>59</v>
      </c>
      <c r="D46" s="20"/>
      <c r="E46" s="26">
        <f>E19-E44</f>
        <v>-47438.538579999964</v>
      </c>
      <c r="F46" s="20"/>
    </row>
    <row r="47" spans="2:6" x14ac:dyDescent="0.25">
      <c r="B47" s="20">
        <v>9</v>
      </c>
      <c r="C47" s="22" t="s">
        <v>49</v>
      </c>
      <c r="D47" s="20"/>
      <c r="E47" s="26">
        <f>E11+E46</f>
        <v>-104651.10857999997</v>
      </c>
      <c r="F47" s="20"/>
    </row>
    <row r="48" spans="2:6" x14ac:dyDescent="0.25">
      <c r="B48" s="37"/>
      <c r="C48" s="37"/>
      <c r="D48" s="37"/>
      <c r="E48" s="37"/>
      <c r="F48" s="478"/>
    </row>
    <row r="49" spans="3:5" x14ac:dyDescent="0.25">
      <c r="C49" t="s">
        <v>135</v>
      </c>
      <c r="E49" t="s">
        <v>51</v>
      </c>
    </row>
    <row r="50" spans="3:5" x14ac:dyDescent="0.25">
      <c r="C50" s="37" t="s">
        <v>52</v>
      </c>
      <c r="D50" s="37"/>
      <c r="E50" s="37" t="s">
        <v>53</v>
      </c>
    </row>
  </sheetData>
  <mergeCells count="3">
    <mergeCell ref="B6:D6"/>
    <mergeCell ref="E8:F8"/>
    <mergeCell ref="E9:F9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9" workbookViewId="0">
      <selection activeCell="G21" sqref="G21"/>
    </sheetView>
  </sheetViews>
  <sheetFormatPr defaultRowHeight="15" x14ac:dyDescent="0.25"/>
  <cols>
    <col min="2" max="2" width="38.28515625" customWidth="1"/>
    <col min="4" max="4" width="10.42578125" customWidth="1"/>
  </cols>
  <sheetData>
    <row r="1" spans="1:5" ht="15.75" x14ac:dyDescent="0.25">
      <c r="A1" s="118"/>
      <c r="B1" s="119" t="s">
        <v>0</v>
      </c>
      <c r="C1" s="118"/>
      <c r="D1" s="118"/>
      <c r="E1" s="118"/>
    </row>
    <row r="2" spans="1:5" x14ac:dyDescent="0.25">
      <c r="A2" s="118"/>
      <c r="B2" s="118" t="s">
        <v>90</v>
      </c>
      <c r="C2" s="118"/>
      <c r="D2" s="118"/>
      <c r="E2" s="118"/>
    </row>
    <row r="3" spans="1:5" x14ac:dyDescent="0.25">
      <c r="A3" s="118"/>
      <c r="B3" s="120" t="s">
        <v>91</v>
      </c>
      <c r="C3" s="118"/>
      <c r="D3" s="118"/>
      <c r="E3" s="118"/>
    </row>
    <row r="4" spans="1:5" x14ac:dyDescent="0.25">
      <c r="A4" s="493"/>
      <c r="B4" s="493"/>
      <c r="C4" s="493"/>
      <c r="D4" s="121"/>
      <c r="E4" s="122"/>
    </row>
    <row r="5" spans="1:5" x14ac:dyDescent="0.25">
      <c r="A5" s="123"/>
      <c r="B5" s="123"/>
      <c r="C5" s="123"/>
      <c r="D5" s="124"/>
      <c r="E5" s="125"/>
    </row>
    <row r="6" spans="1:5" ht="15.75" x14ac:dyDescent="0.25">
      <c r="A6" s="123"/>
      <c r="B6" s="126" t="s">
        <v>4</v>
      </c>
      <c r="C6" s="127" t="s">
        <v>5</v>
      </c>
      <c r="D6" s="494" t="s">
        <v>6</v>
      </c>
      <c r="E6" s="495"/>
    </row>
    <row r="7" spans="1:5" ht="15.75" x14ac:dyDescent="0.25">
      <c r="A7" s="128"/>
      <c r="B7" s="126" t="s">
        <v>7</v>
      </c>
      <c r="C7" s="127" t="s">
        <v>8</v>
      </c>
      <c r="D7" s="496" t="s">
        <v>57</v>
      </c>
      <c r="E7" s="497"/>
    </row>
    <row r="8" spans="1:5" x14ac:dyDescent="0.25">
      <c r="A8" s="129"/>
      <c r="B8" s="129"/>
      <c r="C8" s="129"/>
      <c r="D8" s="130"/>
      <c r="E8" s="131"/>
    </row>
    <row r="9" spans="1:5" x14ac:dyDescent="0.25">
      <c r="A9" s="129"/>
      <c r="B9" s="132" t="s">
        <v>10</v>
      </c>
      <c r="C9" s="129"/>
      <c r="D9" s="130">
        <v>97294.22</v>
      </c>
      <c r="E9" s="131"/>
    </row>
    <row r="10" spans="1:5" x14ac:dyDescent="0.25">
      <c r="A10" s="133"/>
      <c r="B10" s="134" t="s">
        <v>11</v>
      </c>
      <c r="C10" s="133" t="s">
        <v>12</v>
      </c>
      <c r="D10" s="133">
        <v>4428.1000000000004</v>
      </c>
      <c r="E10" s="133"/>
    </row>
    <row r="11" spans="1:5" x14ac:dyDescent="0.25">
      <c r="A11" s="133"/>
      <c r="B11" s="134" t="s">
        <v>13</v>
      </c>
      <c r="C11" s="133" t="s">
        <v>12</v>
      </c>
      <c r="D11" s="133">
        <v>3467.4</v>
      </c>
      <c r="E11" s="133"/>
    </row>
    <row r="12" spans="1:5" x14ac:dyDescent="0.25">
      <c r="A12" s="133"/>
      <c r="B12" s="135" t="s">
        <v>14</v>
      </c>
      <c r="C12" s="133" t="s">
        <v>15</v>
      </c>
      <c r="D12" s="133">
        <v>135898.85999999999</v>
      </c>
      <c r="E12" s="133"/>
    </row>
    <row r="13" spans="1:5" x14ac:dyDescent="0.25">
      <c r="A13" s="133"/>
      <c r="B13" s="133"/>
      <c r="C13" s="133"/>
      <c r="D13" s="133"/>
      <c r="E13" s="133"/>
    </row>
    <row r="14" spans="1:5" ht="15.75" x14ac:dyDescent="0.25">
      <c r="A14" s="133"/>
      <c r="B14" s="136" t="s">
        <v>16</v>
      </c>
      <c r="C14" s="133"/>
      <c r="D14" s="133"/>
      <c r="E14" s="133"/>
    </row>
    <row r="15" spans="1:5" x14ac:dyDescent="0.25">
      <c r="A15" s="133">
        <v>1</v>
      </c>
      <c r="B15" s="133" t="s">
        <v>17</v>
      </c>
      <c r="C15" s="133" t="s">
        <v>15</v>
      </c>
      <c r="D15" s="133">
        <v>133742.66</v>
      </c>
      <c r="E15" s="133"/>
    </row>
    <row r="16" spans="1:5" x14ac:dyDescent="0.25">
      <c r="A16" s="133"/>
      <c r="B16" s="133"/>
      <c r="C16" s="133"/>
      <c r="D16" s="133"/>
      <c r="E16" s="133"/>
    </row>
    <row r="17" spans="1:5" ht="15.75" x14ac:dyDescent="0.25">
      <c r="A17" s="133"/>
      <c r="B17" s="136" t="s">
        <v>19</v>
      </c>
      <c r="C17" s="133"/>
      <c r="D17" s="137">
        <f>D15</f>
        <v>133742.66</v>
      </c>
      <c r="E17" s="133"/>
    </row>
    <row r="18" spans="1:5" ht="15.75" x14ac:dyDescent="0.25">
      <c r="A18" s="133"/>
      <c r="B18" s="136"/>
      <c r="C18" s="133"/>
      <c r="D18" s="137"/>
      <c r="E18" s="133"/>
    </row>
    <row r="19" spans="1:5" ht="15.75" x14ac:dyDescent="0.25">
      <c r="A19" s="20"/>
      <c r="B19" s="21" t="s">
        <v>20</v>
      </c>
      <c r="C19" s="20"/>
      <c r="D19" s="22"/>
      <c r="E19" s="133" t="s">
        <v>21</v>
      </c>
    </row>
    <row r="20" spans="1:5" x14ac:dyDescent="0.25">
      <c r="A20" s="24" t="s">
        <v>22</v>
      </c>
      <c r="B20" s="25" t="s">
        <v>23</v>
      </c>
      <c r="C20" s="20"/>
      <c r="D20" s="22">
        <f>D21+D25</f>
        <v>17495.989999999998</v>
      </c>
      <c r="E20" s="26">
        <f>E21</f>
        <v>4296.7004399999996</v>
      </c>
    </row>
    <row r="21" spans="1:5" x14ac:dyDescent="0.25">
      <c r="A21" s="20">
        <v>1</v>
      </c>
      <c r="B21" s="22" t="s">
        <v>24</v>
      </c>
      <c r="C21" s="27" t="s">
        <v>15</v>
      </c>
      <c r="D21" s="22">
        <f>D22</f>
        <v>16399.62</v>
      </c>
      <c r="E21" s="26">
        <f>E22</f>
        <v>4296.7004399999996</v>
      </c>
    </row>
    <row r="22" spans="1:5" x14ac:dyDescent="0.25">
      <c r="A22" s="20"/>
      <c r="B22" s="20" t="s">
        <v>25</v>
      </c>
      <c r="C22" s="20"/>
      <c r="D22" s="20">
        <v>16399.62</v>
      </c>
      <c r="E22" s="28">
        <f>D22*26.2%</f>
        <v>4296.7004399999996</v>
      </c>
    </row>
    <row r="23" spans="1:5" x14ac:dyDescent="0.25">
      <c r="A23" s="20"/>
      <c r="B23" s="20" t="s">
        <v>26</v>
      </c>
      <c r="C23" s="20"/>
      <c r="D23" s="29">
        <v>0</v>
      </c>
      <c r="E23" s="28"/>
    </row>
    <row r="24" spans="1:5" x14ac:dyDescent="0.25">
      <c r="A24" s="20"/>
      <c r="B24" s="20" t="s">
        <v>27</v>
      </c>
      <c r="C24" s="20"/>
      <c r="D24" s="20">
        <v>0</v>
      </c>
      <c r="E24" s="28"/>
    </row>
    <row r="25" spans="1:5" x14ac:dyDescent="0.25">
      <c r="A25" s="20">
        <v>2</v>
      </c>
      <c r="B25" s="27" t="s">
        <v>28</v>
      </c>
      <c r="C25" s="20"/>
      <c r="D25" s="20">
        <v>1096.3699999999999</v>
      </c>
      <c r="E25" s="28"/>
    </row>
    <row r="26" spans="1:5" x14ac:dyDescent="0.25">
      <c r="A26" s="24" t="s">
        <v>29</v>
      </c>
      <c r="B26" s="30" t="s">
        <v>30</v>
      </c>
      <c r="C26" s="20"/>
      <c r="D26" s="22">
        <f>D27+D28+D29</f>
        <v>61494.22</v>
      </c>
      <c r="E26" s="26">
        <f>E27</f>
        <v>8059.4081999999999</v>
      </c>
    </row>
    <row r="27" spans="1:5" x14ac:dyDescent="0.25">
      <c r="A27" s="20">
        <v>1</v>
      </c>
      <c r="B27" s="31" t="s">
        <v>31</v>
      </c>
      <c r="C27" s="20"/>
      <c r="D27" s="31">
        <v>30761.1</v>
      </c>
      <c r="E27" s="28">
        <f>D27*26.2%</f>
        <v>8059.4081999999999</v>
      </c>
    </row>
    <row r="28" spans="1:5" x14ac:dyDescent="0.25">
      <c r="A28" s="20">
        <v>2</v>
      </c>
      <c r="B28" s="31" t="s">
        <v>28</v>
      </c>
      <c r="C28" s="20"/>
      <c r="D28" s="31">
        <v>30733.119999999999</v>
      </c>
      <c r="E28" s="20"/>
    </row>
    <row r="29" spans="1:5" x14ac:dyDescent="0.25">
      <c r="A29" s="20">
        <v>3</v>
      </c>
      <c r="B29" s="31" t="s">
        <v>89</v>
      </c>
      <c r="C29" s="20"/>
      <c r="D29" s="31">
        <v>0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D31+D32+D34+D35+D36+D37+D38+D33</f>
        <v>45301.173000000003</v>
      </c>
      <c r="E30" s="20"/>
    </row>
    <row r="31" spans="1:5" x14ac:dyDescent="0.25">
      <c r="A31" s="20"/>
      <c r="B31" s="20" t="s">
        <v>34</v>
      </c>
      <c r="C31" s="20"/>
      <c r="D31" s="28">
        <f>D17*5%</f>
        <v>6687.1330000000007</v>
      </c>
      <c r="E31" s="20"/>
    </row>
    <row r="32" spans="1:5" x14ac:dyDescent="0.25">
      <c r="A32" s="20"/>
      <c r="B32" s="20" t="s">
        <v>66</v>
      </c>
      <c r="C32" s="20"/>
      <c r="D32" s="20">
        <v>25010</v>
      </c>
      <c r="E32" s="20"/>
    </row>
    <row r="33" spans="1:5" x14ac:dyDescent="0.25">
      <c r="A33" s="20"/>
      <c r="B33" s="31" t="s">
        <v>58</v>
      </c>
      <c r="C33" s="20"/>
      <c r="D33" s="20">
        <f>84.52*2</f>
        <v>169.04</v>
      </c>
      <c r="E33" s="20"/>
    </row>
    <row r="34" spans="1:5" x14ac:dyDescent="0.25">
      <c r="A34" s="20"/>
      <c r="B34" s="20" t="s">
        <v>36</v>
      </c>
      <c r="C34" s="20"/>
      <c r="D34" s="28">
        <v>5625.51</v>
      </c>
      <c r="E34" s="20"/>
    </row>
    <row r="35" spans="1:5" x14ac:dyDescent="0.25">
      <c r="A35" s="20"/>
      <c r="B35" s="27" t="s">
        <v>37</v>
      </c>
      <c r="C35" s="20"/>
      <c r="D35" s="20">
        <v>688.67</v>
      </c>
      <c r="E35" s="20"/>
    </row>
    <row r="36" spans="1:5" x14ac:dyDescent="0.25">
      <c r="A36" s="20"/>
      <c r="B36" s="27" t="s">
        <v>38</v>
      </c>
      <c r="C36" s="20"/>
      <c r="D36" s="20">
        <v>943.89</v>
      </c>
      <c r="E36" s="20"/>
    </row>
    <row r="37" spans="1:5" x14ac:dyDescent="0.25">
      <c r="A37" s="20"/>
      <c r="B37" s="27" t="s">
        <v>84</v>
      </c>
      <c r="C37" s="20"/>
      <c r="D37" s="20">
        <v>4193.3999999999996</v>
      </c>
      <c r="E37" s="20"/>
    </row>
    <row r="38" spans="1:5" x14ac:dyDescent="0.25">
      <c r="A38" s="20"/>
      <c r="B38" s="20" t="s">
        <v>41</v>
      </c>
      <c r="C38" s="20"/>
      <c r="D38" s="20">
        <v>1983.53</v>
      </c>
      <c r="E38" s="20"/>
    </row>
    <row r="39" spans="1:5" x14ac:dyDescent="0.25">
      <c r="A39" s="20">
        <v>4</v>
      </c>
      <c r="B39" s="22" t="s">
        <v>42</v>
      </c>
      <c r="C39" s="20"/>
      <c r="D39" s="26">
        <f>D40+D41</f>
        <v>17285.34</v>
      </c>
      <c r="E39" s="26">
        <f>E40</f>
        <v>3716.6324400000003</v>
      </c>
    </row>
    <row r="40" spans="1:5" x14ac:dyDescent="0.25">
      <c r="A40" s="20"/>
      <c r="B40" s="31" t="s">
        <v>43</v>
      </c>
      <c r="C40" s="20"/>
      <c r="D40" s="33">
        <v>14185.62</v>
      </c>
      <c r="E40" s="33">
        <f>D40*26.2%</f>
        <v>3716.6324400000003</v>
      </c>
    </row>
    <row r="41" spans="1:5" x14ac:dyDescent="0.25">
      <c r="A41" s="20"/>
      <c r="B41" s="20" t="s">
        <v>44</v>
      </c>
      <c r="C41" s="20"/>
      <c r="D41" s="33">
        <v>3099.72</v>
      </c>
      <c r="E41" s="20"/>
    </row>
    <row r="42" spans="1:5" x14ac:dyDescent="0.25">
      <c r="A42" s="20">
        <v>5</v>
      </c>
      <c r="B42" s="22" t="s">
        <v>45</v>
      </c>
      <c r="C42" s="20"/>
      <c r="D42" s="26">
        <f>D20+E20+D26+E26+D30+D39+E39</f>
        <v>157649.46408000001</v>
      </c>
      <c r="E42" s="20"/>
    </row>
    <row r="43" spans="1:5" x14ac:dyDescent="0.25">
      <c r="A43" s="20">
        <v>6</v>
      </c>
      <c r="B43" s="20" t="s">
        <v>46</v>
      </c>
      <c r="C43" s="20"/>
      <c r="D43" s="26">
        <f>D17*6%</f>
        <v>8024.5595999999996</v>
      </c>
      <c r="E43" s="20"/>
    </row>
    <row r="44" spans="1:5" x14ac:dyDescent="0.25">
      <c r="A44" s="20">
        <v>7</v>
      </c>
      <c r="B44" s="22" t="s">
        <v>47</v>
      </c>
      <c r="C44" s="20"/>
      <c r="D44" s="26">
        <f>D42+D43</f>
        <v>165674.02368000001</v>
      </c>
      <c r="E44" s="20"/>
    </row>
    <row r="45" spans="1:5" x14ac:dyDescent="0.25">
      <c r="A45" s="20"/>
      <c r="B45" s="20"/>
      <c r="C45" s="20"/>
      <c r="D45" s="20"/>
      <c r="E45" s="20"/>
    </row>
    <row r="46" spans="1:5" x14ac:dyDescent="0.25">
      <c r="A46" s="20">
        <v>8</v>
      </c>
      <c r="B46" s="22" t="s">
        <v>59</v>
      </c>
      <c r="C46" s="20"/>
      <c r="D46" s="26">
        <f>D17-D44</f>
        <v>-31931.363680000009</v>
      </c>
      <c r="E46" s="20"/>
    </row>
    <row r="47" spans="1:5" x14ac:dyDescent="0.25">
      <c r="A47" s="20">
        <v>9</v>
      </c>
      <c r="B47" s="22" t="s">
        <v>49</v>
      </c>
      <c r="C47" s="20"/>
      <c r="D47" s="26">
        <f>D9+D46</f>
        <v>65362.856319999992</v>
      </c>
      <c r="E47" s="20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4:C4"/>
    <mergeCell ref="D6:E6"/>
    <mergeCell ref="D7:E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6" workbookViewId="0">
      <selection activeCell="G21" sqref="G21"/>
    </sheetView>
  </sheetViews>
  <sheetFormatPr defaultRowHeight="15" x14ac:dyDescent="0.25"/>
  <cols>
    <col min="2" max="2" width="36" customWidth="1"/>
    <col min="4" max="4" width="13.42578125" customWidth="1"/>
    <col min="5" max="5" width="11.28515625" customWidth="1"/>
  </cols>
  <sheetData>
    <row r="1" spans="1:5" ht="15.75" x14ac:dyDescent="0.25">
      <c r="A1" s="38"/>
      <c r="B1" s="39" t="s">
        <v>0</v>
      </c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 t="s">
        <v>1</v>
      </c>
      <c r="C3" s="38"/>
      <c r="D3" s="38"/>
      <c r="E3" s="38"/>
    </row>
    <row r="4" spans="1:5" x14ac:dyDescent="0.25">
      <c r="A4" s="38"/>
      <c r="B4" s="40" t="s">
        <v>54</v>
      </c>
      <c r="C4" s="38"/>
      <c r="D4" s="38"/>
      <c r="E4" s="38"/>
    </row>
    <row r="5" spans="1:5" x14ac:dyDescent="0.25">
      <c r="A5" s="38"/>
      <c r="B5" s="38" t="s">
        <v>55</v>
      </c>
      <c r="C5" s="38"/>
      <c r="D5" s="38"/>
      <c r="E5" s="38"/>
    </row>
    <row r="6" spans="1:5" x14ac:dyDescent="0.25">
      <c r="A6" s="498"/>
      <c r="B6" s="498"/>
      <c r="C6" s="498"/>
      <c r="D6" s="41"/>
      <c r="E6" s="42"/>
    </row>
    <row r="7" spans="1:5" x14ac:dyDescent="0.25">
      <c r="A7" s="43"/>
      <c r="B7" s="43"/>
      <c r="C7" s="43"/>
      <c r="D7" s="44"/>
      <c r="E7" s="45"/>
    </row>
    <row r="8" spans="1:5" ht="15.75" x14ac:dyDescent="0.25">
      <c r="A8" s="43"/>
      <c r="B8" s="46" t="s">
        <v>4</v>
      </c>
      <c r="C8" s="47" t="s">
        <v>5</v>
      </c>
      <c r="D8" s="499" t="s">
        <v>6</v>
      </c>
      <c r="E8" s="500"/>
    </row>
    <row r="9" spans="1:5" ht="15.75" x14ac:dyDescent="0.25">
      <c r="A9" s="48"/>
      <c r="B9" s="46" t="s">
        <v>7</v>
      </c>
      <c r="C9" s="47" t="s">
        <v>56</v>
      </c>
      <c r="D9" s="501" t="s">
        <v>57</v>
      </c>
      <c r="E9" s="502"/>
    </row>
    <row r="10" spans="1:5" x14ac:dyDescent="0.25">
      <c r="A10" s="49"/>
      <c r="B10" s="49"/>
      <c r="C10" s="49"/>
      <c r="D10" s="50"/>
      <c r="E10" s="51"/>
    </row>
    <row r="11" spans="1:5" x14ac:dyDescent="0.25">
      <c r="A11" s="49"/>
      <c r="B11" s="52" t="s">
        <v>10</v>
      </c>
      <c r="C11" s="49"/>
      <c r="D11" s="50">
        <v>-91671.11</v>
      </c>
      <c r="E11" s="51"/>
    </row>
    <row r="12" spans="1:5" x14ac:dyDescent="0.25">
      <c r="A12" s="53"/>
      <c r="B12" s="54" t="s">
        <v>11</v>
      </c>
      <c r="C12" s="53" t="s">
        <v>12</v>
      </c>
      <c r="D12" s="53">
        <v>3663.44</v>
      </c>
      <c r="E12" s="53"/>
    </row>
    <row r="13" spans="1:5" x14ac:dyDescent="0.25">
      <c r="A13" s="53"/>
      <c r="B13" s="54" t="s">
        <v>13</v>
      </c>
      <c r="C13" s="53" t="s">
        <v>12</v>
      </c>
      <c r="D13" s="53">
        <v>2609.8000000000002</v>
      </c>
      <c r="E13" s="53"/>
    </row>
    <row r="14" spans="1:5" x14ac:dyDescent="0.25">
      <c r="A14" s="53"/>
      <c r="B14" s="55" t="s">
        <v>14</v>
      </c>
      <c r="C14" s="53" t="s">
        <v>15</v>
      </c>
      <c r="D14" s="56">
        <f>54690.54*2</f>
        <v>109381.08</v>
      </c>
      <c r="E14" s="53"/>
    </row>
    <row r="15" spans="1:5" x14ac:dyDescent="0.25">
      <c r="A15" s="53"/>
      <c r="B15" s="53"/>
      <c r="C15" s="53"/>
      <c r="D15" s="53"/>
      <c r="E15" s="53"/>
    </row>
    <row r="16" spans="1:5" ht="15.75" x14ac:dyDescent="0.25">
      <c r="A16" s="53"/>
      <c r="B16" s="57" t="s">
        <v>16</v>
      </c>
      <c r="C16" s="53"/>
      <c r="D16" s="53"/>
      <c r="E16" s="53"/>
    </row>
    <row r="17" spans="1:5" x14ac:dyDescent="0.25">
      <c r="A17" s="53">
        <v>1</v>
      </c>
      <c r="B17" s="53" t="s">
        <v>17</v>
      </c>
      <c r="C17" s="53" t="s">
        <v>15</v>
      </c>
      <c r="D17" s="53">
        <v>87969.78</v>
      </c>
      <c r="E17" s="53"/>
    </row>
    <row r="18" spans="1:5" x14ac:dyDescent="0.25">
      <c r="A18" s="53"/>
      <c r="B18" s="53"/>
      <c r="C18" s="53"/>
      <c r="D18" s="53"/>
      <c r="E18" s="53"/>
    </row>
    <row r="19" spans="1:5" ht="15.75" x14ac:dyDescent="0.25">
      <c r="A19" s="53"/>
      <c r="B19" s="57" t="s">
        <v>19</v>
      </c>
      <c r="C19" s="53"/>
      <c r="D19" s="56">
        <f>D17</f>
        <v>87969.78</v>
      </c>
      <c r="E19" s="53"/>
    </row>
    <row r="20" spans="1:5" ht="15.75" x14ac:dyDescent="0.25">
      <c r="A20" s="53"/>
      <c r="B20" s="57"/>
      <c r="C20" s="53"/>
      <c r="D20" s="56"/>
      <c r="E20" s="53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6">
        <f>D23+D27</f>
        <v>33680.840000000004</v>
      </c>
      <c r="E22" s="26">
        <f>E23</f>
        <v>8500.2284400000008</v>
      </c>
    </row>
    <row r="23" spans="1:5" x14ac:dyDescent="0.25">
      <c r="A23" s="20">
        <v>1</v>
      </c>
      <c r="B23" s="22" t="s">
        <v>24</v>
      </c>
      <c r="C23" s="27" t="s">
        <v>15</v>
      </c>
      <c r="D23" s="26">
        <f>D24+D25+D26</f>
        <v>32443.620000000003</v>
      </c>
      <c r="E23" s="26">
        <f>E24+E25+E26</f>
        <v>8500.2284400000008</v>
      </c>
    </row>
    <row r="24" spans="1:5" x14ac:dyDescent="0.25">
      <c r="A24" s="20"/>
      <c r="B24" s="20" t="s">
        <v>25</v>
      </c>
      <c r="C24" s="20"/>
      <c r="D24" s="20">
        <v>8083.94</v>
      </c>
      <c r="E24" s="28">
        <f>D24*26.2%</f>
        <v>2117.9922799999999</v>
      </c>
    </row>
    <row r="25" spans="1:5" x14ac:dyDescent="0.25">
      <c r="A25" s="20"/>
      <c r="B25" s="20" t="s">
        <v>26</v>
      </c>
      <c r="C25" s="20"/>
      <c r="D25" s="29">
        <v>11701.69</v>
      </c>
      <c r="E25" s="28">
        <f>D25*26.2%</f>
        <v>3065.8427800000004</v>
      </c>
    </row>
    <row r="26" spans="1:5" x14ac:dyDescent="0.25">
      <c r="A26" s="20"/>
      <c r="B26" s="20" t="s">
        <v>27</v>
      </c>
      <c r="C26" s="20"/>
      <c r="D26" s="20">
        <v>12657.99</v>
      </c>
      <c r="E26" s="28">
        <f>D26*26.2%</f>
        <v>3316.39338</v>
      </c>
    </row>
    <row r="27" spans="1:5" x14ac:dyDescent="0.25">
      <c r="A27" s="20">
        <v>2</v>
      </c>
      <c r="B27" s="27" t="s">
        <v>28</v>
      </c>
      <c r="C27" s="20"/>
      <c r="D27" s="20">
        <v>1237.22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29931.22</v>
      </c>
      <c r="E28" s="26">
        <f>E29</f>
        <v>6066.0571799999998</v>
      </c>
    </row>
    <row r="29" spans="1:5" x14ac:dyDescent="0.25">
      <c r="A29" s="20">
        <v>1</v>
      </c>
      <c r="B29" s="31" t="s">
        <v>31</v>
      </c>
      <c r="C29" s="20"/>
      <c r="D29" s="31">
        <v>23152.89</v>
      </c>
      <c r="E29" s="28">
        <f>D29*26.2%</f>
        <v>6066.0571799999998</v>
      </c>
    </row>
    <row r="30" spans="1:5" x14ac:dyDescent="0.25">
      <c r="A30" s="20">
        <v>2</v>
      </c>
      <c r="B30" s="31" t="s">
        <v>28</v>
      </c>
      <c r="C30" s="20"/>
      <c r="D30" s="31">
        <v>6778.33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D32+D33+D34+D36+D37+D35</f>
        <v>11523.379000000003</v>
      </c>
      <c r="E31" s="20"/>
    </row>
    <row r="32" spans="1:5" x14ac:dyDescent="0.25">
      <c r="A32" s="20"/>
      <c r="B32" s="20" t="s">
        <v>34</v>
      </c>
      <c r="C32" s="20"/>
      <c r="D32" s="28">
        <f>D19*5%</f>
        <v>4398.4890000000005</v>
      </c>
      <c r="E32" s="20"/>
    </row>
    <row r="33" spans="1:5" x14ac:dyDescent="0.25">
      <c r="A33" s="20"/>
      <c r="B33" s="31" t="s">
        <v>58</v>
      </c>
      <c r="C33" s="20"/>
      <c r="D33" s="20">
        <f>2*84.52</f>
        <v>169.04</v>
      </c>
      <c r="E33" s="20"/>
    </row>
    <row r="34" spans="1:5" x14ac:dyDescent="0.25">
      <c r="A34" s="20"/>
      <c r="B34" s="20" t="s">
        <v>36</v>
      </c>
      <c r="C34" s="20"/>
      <c r="D34" s="28">
        <v>4234.1400000000003</v>
      </c>
      <c r="E34" s="20"/>
    </row>
    <row r="35" spans="1:5" x14ac:dyDescent="0.25">
      <c r="A35" s="20"/>
      <c r="B35" s="20" t="s">
        <v>37</v>
      </c>
      <c r="C35" s="20"/>
      <c r="D35" s="28">
        <v>518.34</v>
      </c>
      <c r="E35" s="20"/>
    </row>
    <row r="36" spans="1:5" x14ac:dyDescent="0.25">
      <c r="A36" s="20"/>
      <c r="B36" s="27" t="s">
        <v>38</v>
      </c>
      <c r="C36" s="20"/>
      <c r="D36" s="20">
        <v>710.43</v>
      </c>
      <c r="E36" s="20"/>
    </row>
    <row r="37" spans="1:5" x14ac:dyDescent="0.25">
      <c r="A37" s="20"/>
      <c r="B37" s="20" t="s">
        <v>41</v>
      </c>
      <c r="C37" s="20"/>
      <c r="D37" s="20">
        <v>1492.94</v>
      </c>
      <c r="E37" s="20"/>
    </row>
    <row r="38" spans="1:5" x14ac:dyDescent="0.25">
      <c r="A38" s="20">
        <v>4</v>
      </c>
      <c r="B38" s="22" t="s">
        <v>42</v>
      </c>
      <c r="C38" s="20"/>
      <c r="D38" s="26">
        <f>D39+D40</f>
        <v>13010.11</v>
      </c>
      <c r="E38" s="26">
        <f>E39</f>
        <v>2797.3897200000001</v>
      </c>
    </row>
    <row r="39" spans="1:5" x14ac:dyDescent="0.25">
      <c r="A39" s="20"/>
      <c r="B39" s="31" t="s">
        <v>43</v>
      </c>
      <c r="C39" s="31"/>
      <c r="D39" s="33">
        <v>10677.06</v>
      </c>
      <c r="E39" s="33">
        <f>D39*26.2%</f>
        <v>2797.3897200000001</v>
      </c>
    </row>
    <row r="40" spans="1:5" x14ac:dyDescent="0.25">
      <c r="A40" s="20"/>
      <c r="B40" s="31" t="s">
        <v>44</v>
      </c>
      <c r="C40" s="20"/>
      <c r="D40" s="33">
        <v>2333.0500000000002</v>
      </c>
      <c r="E40" s="20"/>
    </row>
    <row r="41" spans="1:5" x14ac:dyDescent="0.25">
      <c r="A41" s="20">
        <v>5</v>
      </c>
      <c r="B41" s="22" t="s">
        <v>45</v>
      </c>
      <c r="C41" s="20"/>
      <c r="D41" s="26">
        <f>D22+E22+D28+E28+D31+D38+E38</f>
        <v>105509.22434000002</v>
      </c>
      <c r="E41" s="20"/>
    </row>
    <row r="42" spans="1:5" x14ac:dyDescent="0.25">
      <c r="A42" s="20">
        <v>6</v>
      </c>
      <c r="B42" s="20" t="s">
        <v>46</v>
      </c>
      <c r="C42" s="20"/>
      <c r="D42" s="26">
        <f>D19*14.2%</f>
        <v>12491.70876</v>
      </c>
      <c r="E42" s="20"/>
    </row>
    <row r="43" spans="1:5" x14ac:dyDescent="0.25">
      <c r="A43" s="20">
        <v>7</v>
      </c>
      <c r="B43" s="22" t="s">
        <v>47</v>
      </c>
      <c r="C43" s="20"/>
      <c r="D43" s="26">
        <f>D41+D42</f>
        <v>118000.93310000001</v>
      </c>
      <c r="E43" s="20"/>
    </row>
    <row r="44" spans="1:5" x14ac:dyDescent="0.25">
      <c r="A44" s="20"/>
      <c r="B44" s="20"/>
      <c r="C44" s="20"/>
      <c r="D44" s="20"/>
      <c r="E44" s="20"/>
    </row>
    <row r="45" spans="1:5" x14ac:dyDescent="0.25">
      <c r="A45" s="20">
        <v>8</v>
      </c>
      <c r="B45" s="22" t="s">
        <v>59</v>
      </c>
      <c r="C45" s="20"/>
      <c r="D45" s="26">
        <f>D19-D43</f>
        <v>-30031.15310000001</v>
      </c>
      <c r="E45" s="20"/>
    </row>
    <row r="46" spans="1:5" x14ac:dyDescent="0.25">
      <c r="A46" s="20">
        <v>9</v>
      </c>
      <c r="B46" s="22" t="s">
        <v>49</v>
      </c>
      <c r="C46" s="20"/>
      <c r="D46" s="26">
        <f>D11+D45</f>
        <v>-121702.26310000001</v>
      </c>
      <c r="E46" s="20"/>
    </row>
    <row r="47" spans="1:5" x14ac:dyDescent="0.25">
      <c r="A47" s="34"/>
      <c r="B47" s="35"/>
      <c r="C47" s="34"/>
      <c r="D47" s="36"/>
      <c r="E47" s="34"/>
    </row>
    <row r="48" spans="1:5" x14ac:dyDescent="0.25">
      <c r="A48" s="34"/>
      <c r="B48" s="35"/>
      <c r="C48" s="34"/>
      <c r="D48" s="36"/>
      <c r="E48" s="34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5" workbookViewId="0">
      <selection activeCell="K44" sqref="K44"/>
    </sheetView>
  </sheetViews>
  <sheetFormatPr defaultRowHeight="15" x14ac:dyDescent="0.25"/>
  <cols>
    <col min="2" max="2" width="40" customWidth="1"/>
    <col min="4" max="4" width="10.140625" customWidth="1"/>
    <col min="5" max="5" width="11.140625" customWidth="1"/>
  </cols>
  <sheetData>
    <row r="1" spans="1:5" ht="15.75" x14ac:dyDescent="0.25">
      <c r="A1" s="138"/>
      <c r="B1" s="139" t="s">
        <v>0</v>
      </c>
      <c r="C1" s="138"/>
      <c r="D1" s="138"/>
      <c r="E1" s="138"/>
    </row>
    <row r="2" spans="1:5" x14ac:dyDescent="0.25">
      <c r="A2" s="138"/>
      <c r="B2" s="138"/>
      <c r="C2" s="138"/>
      <c r="D2" s="138"/>
      <c r="E2" s="138"/>
    </row>
    <row r="3" spans="1:5" x14ac:dyDescent="0.25">
      <c r="A3" s="138"/>
      <c r="B3" s="138" t="s">
        <v>93</v>
      </c>
      <c r="C3" s="138"/>
      <c r="D3" s="138"/>
      <c r="E3" s="138"/>
    </row>
    <row r="4" spans="1:5" x14ac:dyDescent="0.25">
      <c r="A4" s="138"/>
      <c r="B4" s="140" t="s">
        <v>94</v>
      </c>
      <c r="C4" s="138"/>
      <c r="D4" s="138"/>
      <c r="E4" s="138"/>
    </row>
    <row r="5" spans="1:5" x14ac:dyDescent="0.25">
      <c r="A5" s="503"/>
      <c r="B5" s="503"/>
      <c r="C5" s="503"/>
      <c r="D5" s="141"/>
      <c r="E5" s="142"/>
    </row>
    <row r="6" spans="1:5" x14ac:dyDescent="0.25">
      <c r="A6" s="143"/>
      <c r="B6" s="143"/>
      <c r="C6" s="143"/>
      <c r="D6" s="144"/>
      <c r="E6" s="145"/>
    </row>
    <row r="7" spans="1:5" ht="15.75" x14ac:dyDescent="0.25">
      <c r="A7" s="146"/>
      <c r="B7" s="147" t="s">
        <v>4</v>
      </c>
      <c r="C7" s="148" t="s">
        <v>5</v>
      </c>
      <c r="D7" s="504" t="s">
        <v>6</v>
      </c>
      <c r="E7" s="505"/>
    </row>
    <row r="8" spans="1:5" ht="15.75" x14ac:dyDescent="0.25">
      <c r="A8" s="149"/>
      <c r="B8" s="147" t="s">
        <v>7</v>
      </c>
      <c r="C8" s="148" t="s">
        <v>8</v>
      </c>
      <c r="D8" s="506" t="s">
        <v>92</v>
      </c>
      <c r="E8" s="507"/>
    </row>
    <row r="9" spans="1:5" x14ac:dyDescent="0.25">
      <c r="A9" s="150"/>
      <c r="B9" s="150"/>
      <c r="C9" s="150"/>
      <c r="D9" s="151"/>
      <c r="E9" s="152"/>
    </row>
    <row r="10" spans="1:5" x14ac:dyDescent="0.25">
      <c r="A10" s="150"/>
      <c r="B10" s="153" t="s">
        <v>10</v>
      </c>
      <c r="C10" s="150"/>
      <c r="D10" s="151">
        <v>-99027.39</v>
      </c>
      <c r="E10" s="152"/>
    </row>
    <row r="11" spans="1:5" x14ac:dyDescent="0.25">
      <c r="A11" s="154"/>
      <c r="B11" s="155" t="s">
        <v>11</v>
      </c>
      <c r="C11" s="154" t="s">
        <v>12</v>
      </c>
      <c r="D11" s="154">
        <v>5024.3100000000004</v>
      </c>
      <c r="E11" s="154"/>
    </row>
    <row r="12" spans="1:5" x14ac:dyDescent="0.25">
      <c r="A12" s="154"/>
      <c r="B12" s="155" t="s">
        <v>13</v>
      </c>
      <c r="C12" s="154" t="s">
        <v>12</v>
      </c>
      <c r="D12" s="154">
        <v>3641.7</v>
      </c>
      <c r="E12" s="154"/>
    </row>
    <row r="13" spans="1:5" x14ac:dyDescent="0.25">
      <c r="A13" s="154"/>
      <c r="B13" s="156" t="s">
        <v>14</v>
      </c>
      <c r="C13" s="154" t="s">
        <v>15</v>
      </c>
      <c r="D13" s="154">
        <f>75402.93*2</f>
        <v>150805.85999999999</v>
      </c>
      <c r="E13" s="154"/>
    </row>
    <row r="14" spans="1:5" x14ac:dyDescent="0.25">
      <c r="A14" s="154"/>
      <c r="B14" s="154"/>
      <c r="C14" s="154"/>
      <c r="D14" s="154"/>
      <c r="E14" s="154"/>
    </row>
    <row r="15" spans="1:5" ht="15.75" x14ac:dyDescent="0.25">
      <c r="A15" s="154"/>
      <c r="B15" s="157" t="s">
        <v>16</v>
      </c>
      <c r="C15" s="154"/>
      <c r="D15" s="154"/>
      <c r="E15" s="154"/>
    </row>
    <row r="16" spans="1:5" x14ac:dyDescent="0.25">
      <c r="A16" s="154">
        <v>1</v>
      </c>
      <c r="B16" s="154" t="s">
        <v>17</v>
      </c>
      <c r="C16" s="154" t="s">
        <v>15</v>
      </c>
      <c r="D16" s="154">
        <v>142776.89000000001</v>
      </c>
      <c r="E16" s="154"/>
    </row>
    <row r="17" spans="1:5" x14ac:dyDescent="0.25">
      <c r="A17" s="154"/>
      <c r="B17" s="154"/>
      <c r="C17" s="154"/>
      <c r="D17" s="154"/>
      <c r="E17" s="154"/>
    </row>
    <row r="18" spans="1:5" ht="15.75" x14ac:dyDescent="0.25">
      <c r="A18" s="154"/>
      <c r="B18" s="157" t="s">
        <v>19</v>
      </c>
      <c r="C18" s="154"/>
      <c r="D18" s="158">
        <f>D16</f>
        <v>142776.89000000001</v>
      </c>
      <c r="E18" s="154"/>
    </row>
    <row r="19" spans="1:5" ht="15.75" x14ac:dyDescent="0.25">
      <c r="A19" s="154"/>
      <c r="B19" s="157"/>
      <c r="C19" s="154"/>
      <c r="D19" s="158"/>
      <c r="E19" s="154"/>
    </row>
    <row r="20" spans="1:5" ht="15.75" x14ac:dyDescent="0.25">
      <c r="A20" s="20"/>
      <c r="B20" s="21" t="s">
        <v>20</v>
      </c>
      <c r="C20" s="20"/>
      <c r="D20" s="22"/>
      <c r="E20" s="23" t="s">
        <v>21</v>
      </c>
    </row>
    <row r="21" spans="1:5" x14ac:dyDescent="0.25">
      <c r="A21" s="24" t="s">
        <v>22</v>
      </c>
      <c r="B21" s="25" t="s">
        <v>23</v>
      </c>
      <c r="C21" s="20"/>
      <c r="D21" s="26">
        <f>D22+D26</f>
        <v>58247.040000000001</v>
      </c>
      <c r="E21" s="26">
        <f>E22</f>
        <v>14717.75568</v>
      </c>
    </row>
    <row r="22" spans="1:5" x14ac:dyDescent="0.25">
      <c r="A22" s="20">
        <v>1</v>
      </c>
      <c r="B22" s="22" t="s">
        <v>24</v>
      </c>
      <c r="C22" s="27" t="s">
        <v>15</v>
      </c>
      <c r="D22" s="26">
        <f>D23+D24+D25</f>
        <v>56174.64</v>
      </c>
      <c r="E22" s="26">
        <f>E23+E24+E25</f>
        <v>14717.75568</v>
      </c>
    </row>
    <row r="23" spans="1:5" x14ac:dyDescent="0.25">
      <c r="A23" s="20"/>
      <c r="B23" s="20" t="s">
        <v>25</v>
      </c>
      <c r="C23" s="20"/>
      <c r="D23" s="20">
        <v>15355.49</v>
      </c>
      <c r="E23" s="28">
        <f>D23*26.2%</f>
        <v>4023.1383800000003</v>
      </c>
    </row>
    <row r="24" spans="1:5" x14ac:dyDescent="0.25">
      <c r="A24" s="20"/>
      <c r="B24" s="20" t="s">
        <v>26</v>
      </c>
      <c r="C24" s="20"/>
      <c r="D24" s="29">
        <v>24575.25</v>
      </c>
      <c r="E24" s="28">
        <f>D24*26.2%</f>
        <v>6438.7155000000002</v>
      </c>
    </row>
    <row r="25" spans="1:5" x14ac:dyDescent="0.25">
      <c r="A25" s="20"/>
      <c r="B25" s="20" t="s">
        <v>27</v>
      </c>
      <c r="C25" s="20"/>
      <c r="D25" s="20">
        <v>16243.9</v>
      </c>
      <c r="E25" s="28">
        <f>D25*26.2%</f>
        <v>4255.9017999999996</v>
      </c>
    </row>
    <row r="26" spans="1:5" x14ac:dyDescent="0.25">
      <c r="A26" s="20">
        <v>2</v>
      </c>
      <c r="B26" s="27" t="s">
        <v>28</v>
      </c>
      <c r="C26" s="20"/>
      <c r="D26" s="20">
        <v>2072.4</v>
      </c>
      <c r="E26" s="28"/>
    </row>
    <row r="27" spans="1:5" x14ac:dyDescent="0.25">
      <c r="A27" s="24" t="s">
        <v>29</v>
      </c>
      <c r="B27" s="30" t="s">
        <v>30</v>
      </c>
      <c r="C27" s="20"/>
      <c r="D27" s="22">
        <f>D28+D29</f>
        <v>34849.68</v>
      </c>
      <c r="E27" s="26">
        <f>E28</f>
        <v>8464.5414199999996</v>
      </c>
    </row>
    <row r="28" spans="1:5" x14ac:dyDescent="0.25">
      <c r="A28" s="20">
        <v>1</v>
      </c>
      <c r="B28" s="31" t="s">
        <v>31</v>
      </c>
      <c r="C28" s="20"/>
      <c r="D28" s="31">
        <v>32307.41</v>
      </c>
      <c r="E28" s="28">
        <f>D28*26.2%</f>
        <v>8464.5414199999996</v>
      </c>
    </row>
    <row r="29" spans="1:5" x14ac:dyDescent="0.25">
      <c r="A29" s="20">
        <v>2</v>
      </c>
      <c r="B29" s="31" t="s">
        <v>28</v>
      </c>
      <c r="C29" s="20"/>
      <c r="D29" s="31">
        <v>2542.27</v>
      </c>
      <c r="E29" s="20"/>
    </row>
    <row r="30" spans="1:5" x14ac:dyDescent="0.25">
      <c r="A30" s="24" t="s">
        <v>32</v>
      </c>
      <c r="B30" s="22" t="s">
        <v>33</v>
      </c>
      <c r="C30" s="20"/>
      <c r="D30" s="26">
        <f>D31+D32+D33+D34+D35+D36</f>
        <v>17829.854500000001</v>
      </c>
      <c r="E30" s="20"/>
    </row>
    <row r="31" spans="1:5" x14ac:dyDescent="0.25">
      <c r="A31" s="20"/>
      <c r="B31" s="20" t="s">
        <v>34</v>
      </c>
      <c r="C31" s="20"/>
      <c r="D31" s="28">
        <f>D18*5%</f>
        <v>7138.8445000000011</v>
      </c>
      <c r="E31" s="20"/>
    </row>
    <row r="32" spans="1:5" x14ac:dyDescent="0.25">
      <c r="A32" s="20"/>
      <c r="B32" s="31" t="s">
        <v>58</v>
      </c>
      <c r="C32" s="20"/>
      <c r="D32" s="20">
        <f>4*84.52</f>
        <v>338.08</v>
      </c>
      <c r="E32" s="20"/>
    </row>
    <row r="33" spans="1:11" x14ac:dyDescent="0.25">
      <c r="A33" s="20"/>
      <c r="B33" s="20" t="s">
        <v>36</v>
      </c>
      <c r="C33" s="20"/>
      <c r="D33" s="28">
        <v>6555.06</v>
      </c>
      <c r="E33" s="20"/>
    </row>
    <row r="34" spans="1:11" x14ac:dyDescent="0.25">
      <c r="A34" s="20"/>
      <c r="B34" s="27" t="s">
        <v>38</v>
      </c>
      <c r="C34" s="20"/>
      <c r="D34" s="20">
        <v>991.34</v>
      </c>
      <c r="E34" s="20"/>
    </row>
    <row r="35" spans="1:11" x14ac:dyDescent="0.25">
      <c r="A35" s="20"/>
      <c r="B35" s="27" t="s">
        <v>37</v>
      </c>
      <c r="C35" s="20"/>
      <c r="D35" s="20">
        <v>723.29</v>
      </c>
      <c r="E35" s="20"/>
    </row>
    <row r="36" spans="1:11" x14ac:dyDescent="0.25">
      <c r="A36" s="20"/>
      <c r="B36" s="20" t="s">
        <v>41</v>
      </c>
      <c r="C36" s="20"/>
      <c r="D36" s="20">
        <v>2083.2399999999998</v>
      </c>
      <c r="E36" s="20"/>
    </row>
    <row r="37" spans="1:11" x14ac:dyDescent="0.25">
      <c r="A37" s="20">
        <v>4</v>
      </c>
      <c r="B37" s="22" t="s">
        <v>42</v>
      </c>
      <c r="C37" s="20"/>
      <c r="D37" s="26">
        <f>D38+D39</f>
        <v>18154.25</v>
      </c>
      <c r="E37" s="26">
        <f>E38</f>
        <v>3903.4620199999999</v>
      </c>
    </row>
    <row r="38" spans="1:11" x14ac:dyDescent="0.25">
      <c r="A38" s="20"/>
      <c r="B38" s="31" t="s">
        <v>78</v>
      </c>
      <c r="C38" s="31"/>
      <c r="D38" s="33">
        <v>14898.71</v>
      </c>
      <c r="E38" s="33">
        <f>D38*26.2%</f>
        <v>3903.4620199999999</v>
      </c>
    </row>
    <row r="39" spans="1:11" x14ac:dyDescent="0.25">
      <c r="A39" s="20"/>
      <c r="B39" s="27" t="s">
        <v>44</v>
      </c>
      <c r="C39" s="20"/>
      <c r="D39" s="33">
        <v>3255.54</v>
      </c>
      <c r="E39" s="20"/>
    </row>
    <row r="40" spans="1:11" x14ac:dyDescent="0.25">
      <c r="A40" s="20">
        <v>5</v>
      </c>
      <c r="B40" s="22" t="s">
        <v>45</v>
      </c>
      <c r="C40" s="20"/>
      <c r="D40" s="26">
        <f>D21+E21+D27+E27+D30+D37+E37</f>
        <v>156166.58362000002</v>
      </c>
      <c r="E40" s="20"/>
    </row>
    <row r="41" spans="1:11" x14ac:dyDescent="0.25">
      <c r="A41" s="20">
        <v>6</v>
      </c>
      <c r="B41" s="20" t="s">
        <v>46</v>
      </c>
      <c r="C41" s="20"/>
      <c r="D41" s="26">
        <f>D18*6%</f>
        <v>8566.6134000000002</v>
      </c>
      <c r="E41" s="20"/>
    </row>
    <row r="42" spans="1:11" x14ac:dyDescent="0.25">
      <c r="A42" s="20">
        <v>7</v>
      </c>
      <c r="B42" s="22" t="s">
        <v>47</v>
      </c>
      <c r="C42" s="20"/>
      <c r="D42" s="26">
        <f>D40+D41</f>
        <v>164733.19702000002</v>
      </c>
      <c r="E42" s="20"/>
    </row>
    <row r="43" spans="1:11" x14ac:dyDescent="0.25">
      <c r="A43" s="20"/>
      <c r="B43" s="20"/>
      <c r="C43" s="20"/>
      <c r="D43" s="20"/>
      <c r="E43" s="20"/>
    </row>
    <row r="44" spans="1:11" x14ac:dyDescent="0.25">
      <c r="A44" s="20">
        <v>8</v>
      </c>
      <c r="B44" s="22" t="s">
        <v>59</v>
      </c>
      <c r="C44" s="20"/>
      <c r="D44" s="26">
        <f>D18-D42</f>
        <v>-21956.307020000007</v>
      </c>
      <c r="E44" s="20"/>
      <c r="K44" t="s">
        <v>198</v>
      </c>
    </row>
    <row r="45" spans="1:11" x14ac:dyDescent="0.25">
      <c r="A45" s="20">
        <v>9</v>
      </c>
      <c r="B45" s="22" t="s">
        <v>49</v>
      </c>
      <c r="C45" s="20"/>
      <c r="D45" s="26">
        <f>D10+D44</f>
        <v>-120983.69702000001</v>
      </c>
      <c r="E45" s="20"/>
    </row>
    <row r="46" spans="1:11" x14ac:dyDescent="0.25">
      <c r="A46" s="37"/>
      <c r="B46" s="37" t="s">
        <v>50</v>
      </c>
      <c r="C46" s="37"/>
      <c r="D46" s="37" t="s">
        <v>51</v>
      </c>
      <c r="E46" s="37"/>
    </row>
    <row r="47" spans="1:11" x14ac:dyDescent="0.25">
      <c r="A47" s="37"/>
      <c r="B47" s="37" t="s">
        <v>52</v>
      </c>
      <c r="C47" s="37"/>
      <c r="D47" s="37" t="s">
        <v>53</v>
      </c>
      <c r="E47" s="37"/>
    </row>
  </sheetData>
  <mergeCells count="3">
    <mergeCell ref="A5:C5"/>
    <mergeCell ref="D7:E7"/>
    <mergeCell ref="D8:E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workbookViewId="0">
      <selection activeCell="G28" sqref="G28"/>
    </sheetView>
  </sheetViews>
  <sheetFormatPr defaultRowHeight="15" x14ac:dyDescent="0.25"/>
  <cols>
    <col min="1" max="1" width="6.85546875" customWidth="1"/>
    <col min="2" max="2" width="43.5703125" customWidth="1"/>
    <col min="4" max="5" width="10.85546875" customWidth="1"/>
  </cols>
  <sheetData>
    <row r="1" spans="1:5" ht="15.75" x14ac:dyDescent="0.25">
      <c r="A1" s="159"/>
      <c r="B1" s="160" t="s">
        <v>0</v>
      </c>
      <c r="C1" s="159"/>
      <c r="D1" s="159"/>
      <c r="E1" s="159"/>
    </row>
    <row r="2" spans="1:5" x14ac:dyDescent="0.25">
      <c r="A2" s="159"/>
      <c r="B2" s="159"/>
      <c r="C2" s="159"/>
      <c r="D2" s="159"/>
      <c r="E2" s="159"/>
    </row>
    <row r="3" spans="1:5" x14ac:dyDescent="0.25">
      <c r="A3" s="159"/>
      <c r="B3" s="159" t="s">
        <v>1</v>
      </c>
      <c r="C3" s="159"/>
      <c r="D3" s="159"/>
      <c r="E3" s="159"/>
    </row>
    <row r="4" spans="1:5" x14ac:dyDescent="0.25">
      <c r="A4" s="159"/>
      <c r="B4" s="161" t="s">
        <v>95</v>
      </c>
      <c r="C4" s="159"/>
      <c r="D4" s="159"/>
      <c r="E4" s="159"/>
    </row>
    <row r="5" spans="1:5" x14ac:dyDescent="0.25">
      <c r="A5" s="159"/>
      <c r="B5" s="159" t="s">
        <v>96</v>
      </c>
      <c r="C5" s="159"/>
      <c r="D5" s="159"/>
      <c r="E5" s="159"/>
    </row>
    <row r="6" spans="1:5" x14ac:dyDescent="0.25">
      <c r="A6" s="508"/>
      <c r="B6" s="508"/>
      <c r="C6" s="508"/>
      <c r="D6" s="162"/>
      <c r="E6" s="163"/>
    </row>
    <row r="7" spans="1:5" x14ac:dyDescent="0.25">
      <c r="A7" s="164"/>
      <c r="B7" s="164"/>
      <c r="C7" s="164"/>
      <c r="D7" s="165"/>
      <c r="E7" s="166"/>
    </row>
    <row r="8" spans="1:5" ht="15.75" x14ac:dyDescent="0.25">
      <c r="A8" s="164"/>
      <c r="B8" s="167" t="s">
        <v>4</v>
      </c>
      <c r="C8" s="168" t="s">
        <v>5</v>
      </c>
      <c r="D8" s="509" t="s">
        <v>6</v>
      </c>
      <c r="E8" s="510"/>
    </row>
    <row r="9" spans="1:5" ht="15.75" x14ac:dyDescent="0.25">
      <c r="A9" s="169"/>
      <c r="B9" s="167" t="s">
        <v>7</v>
      </c>
      <c r="C9" s="168" t="s">
        <v>8</v>
      </c>
      <c r="D9" s="511" t="s">
        <v>92</v>
      </c>
      <c r="E9" s="512"/>
    </row>
    <row r="10" spans="1:5" x14ac:dyDescent="0.25">
      <c r="A10" s="170"/>
      <c r="B10" s="170"/>
      <c r="C10" s="170"/>
      <c r="D10" s="171"/>
      <c r="E10" s="172"/>
    </row>
    <row r="11" spans="1:5" x14ac:dyDescent="0.25">
      <c r="A11" s="170"/>
      <c r="B11" s="173" t="s">
        <v>10</v>
      </c>
      <c r="C11" s="170"/>
      <c r="D11" s="171">
        <v>-91468.96</v>
      </c>
      <c r="E11" s="172"/>
    </row>
    <row r="12" spans="1:5" x14ac:dyDescent="0.25">
      <c r="A12" s="174"/>
      <c r="B12" s="175" t="s">
        <v>11</v>
      </c>
      <c r="C12" s="174" t="s">
        <v>12</v>
      </c>
      <c r="D12" s="174">
        <v>7865.6</v>
      </c>
      <c r="E12" s="174"/>
    </row>
    <row r="13" spans="1:5" x14ac:dyDescent="0.25">
      <c r="A13" s="174"/>
      <c r="B13" s="175" t="s">
        <v>13</v>
      </c>
      <c r="C13" s="174" t="s">
        <v>12</v>
      </c>
      <c r="D13" s="174">
        <v>5669.08</v>
      </c>
      <c r="E13" s="174"/>
    </row>
    <row r="14" spans="1:5" x14ac:dyDescent="0.25">
      <c r="A14" s="174"/>
      <c r="B14" s="176" t="s">
        <v>14</v>
      </c>
      <c r="C14" s="174" t="s">
        <v>63</v>
      </c>
      <c r="D14" s="174">
        <f>116888.94*2</f>
        <v>233777.88</v>
      </c>
      <c r="E14" s="174"/>
    </row>
    <row r="15" spans="1:5" x14ac:dyDescent="0.25">
      <c r="A15" s="174"/>
      <c r="B15" s="174"/>
      <c r="C15" s="174"/>
      <c r="D15" s="174"/>
      <c r="E15" s="174"/>
    </row>
    <row r="16" spans="1:5" ht="15.75" x14ac:dyDescent="0.25">
      <c r="A16" s="174"/>
      <c r="B16" s="177" t="s">
        <v>16</v>
      </c>
      <c r="C16" s="174"/>
      <c r="D16" s="174"/>
      <c r="E16" s="174"/>
    </row>
    <row r="17" spans="1:5" x14ac:dyDescent="0.25">
      <c r="A17" s="174">
        <v>1</v>
      </c>
      <c r="B17" s="174" t="s">
        <v>17</v>
      </c>
      <c r="C17" s="174" t="s">
        <v>15</v>
      </c>
      <c r="D17" s="174">
        <v>232505.87</v>
      </c>
      <c r="E17" s="174"/>
    </row>
    <row r="18" spans="1:5" x14ac:dyDescent="0.25">
      <c r="A18" s="174"/>
      <c r="B18" s="174"/>
      <c r="C18" s="174"/>
      <c r="D18" s="174"/>
      <c r="E18" s="174"/>
    </row>
    <row r="19" spans="1:5" ht="15.75" x14ac:dyDescent="0.25">
      <c r="A19" s="174"/>
      <c r="B19" s="177" t="s">
        <v>19</v>
      </c>
      <c r="C19" s="174"/>
      <c r="D19" s="178">
        <f>D17</f>
        <v>232505.87</v>
      </c>
      <c r="E19" s="174"/>
    </row>
    <row r="20" spans="1:5" ht="15.75" x14ac:dyDescent="0.25">
      <c r="A20" s="174"/>
      <c r="B20" s="177"/>
      <c r="C20" s="174"/>
      <c r="D20" s="178"/>
      <c r="E20" s="174"/>
    </row>
    <row r="21" spans="1:5" ht="15.75" x14ac:dyDescent="0.25">
      <c r="A21" s="20"/>
      <c r="B21" s="21" t="s">
        <v>20</v>
      </c>
      <c r="C21" s="20"/>
      <c r="D21" s="22"/>
      <c r="E21" s="23" t="s">
        <v>21</v>
      </c>
    </row>
    <row r="22" spans="1:5" x14ac:dyDescent="0.25">
      <c r="A22" s="24" t="s">
        <v>22</v>
      </c>
      <c r="B22" s="25" t="s">
        <v>23</v>
      </c>
      <c r="C22" s="20"/>
      <c r="D22" s="26">
        <f>D23+D27</f>
        <v>70903.759999999995</v>
      </c>
      <c r="E22" s="26">
        <f>E23</f>
        <v>17914.698020000003</v>
      </c>
    </row>
    <row r="23" spans="1:5" x14ac:dyDescent="0.25">
      <c r="A23" s="20">
        <v>1</v>
      </c>
      <c r="B23" s="22" t="s">
        <v>24</v>
      </c>
      <c r="C23" s="27" t="s">
        <v>15</v>
      </c>
      <c r="D23" s="26">
        <f>D24+D25+D26</f>
        <v>68376.709999999992</v>
      </c>
      <c r="E23" s="26">
        <f>E24+E25+E26</f>
        <v>17914.698020000003</v>
      </c>
    </row>
    <row r="24" spans="1:5" x14ac:dyDescent="0.25">
      <c r="A24" s="20"/>
      <c r="B24" s="20" t="s">
        <v>25</v>
      </c>
      <c r="C24" s="20"/>
      <c r="D24" s="20">
        <v>13581.03</v>
      </c>
      <c r="E24" s="28">
        <f>D24*26.2%</f>
        <v>3558.2298600000004</v>
      </c>
    </row>
    <row r="25" spans="1:5" x14ac:dyDescent="0.25">
      <c r="A25" s="20"/>
      <c r="B25" s="20" t="s">
        <v>26</v>
      </c>
      <c r="C25" s="20"/>
      <c r="D25" s="29">
        <v>31411.75</v>
      </c>
      <c r="E25" s="28">
        <f>D25*26.2%</f>
        <v>8229.8785000000007</v>
      </c>
    </row>
    <row r="26" spans="1:5" x14ac:dyDescent="0.25">
      <c r="A26" s="20"/>
      <c r="B26" s="20" t="s">
        <v>27</v>
      </c>
      <c r="C26" s="20"/>
      <c r="D26" s="20">
        <v>23383.93</v>
      </c>
      <c r="E26" s="28">
        <f>D26*26.2%</f>
        <v>6126.5896600000005</v>
      </c>
    </row>
    <row r="27" spans="1:5" x14ac:dyDescent="0.25">
      <c r="A27" s="20">
        <v>2</v>
      </c>
      <c r="B27" s="27" t="s">
        <v>28</v>
      </c>
      <c r="C27" s="20"/>
      <c r="D27" s="20">
        <v>2527.0500000000002</v>
      </c>
      <c r="E27" s="28"/>
    </row>
    <row r="28" spans="1:5" x14ac:dyDescent="0.25">
      <c r="A28" s="24" t="s">
        <v>29</v>
      </c>
      <c r="B28" s="30" t="s">
        <v>30</v>
      </c>
      <c r="C28" s="20"/>
      <c r="D28" s="22">
        <f>D29+D30</f>
        <v>52310.82</v>
      </c>
      <c r="E28" s="26">
        <f>E29</f>
        <v>13176.855079999999</v>
      </c>
    </row>
    <row r="29" spans="1:5" x14ac:dyDescent="0.25">
      <c r="A29" s="20">
        <v>1</v>
      </c>
      <c r="B29" s="31" t="s">
        <v>31</v>
      </c>
      <c r="C29" s="20"/>
      <c r="D29" s="31">
        <v>50293.34</v>
      </c>
      <c r="E29" s="33">
        <f>D29*26.2%</f>
        <v>13176.855079999999</v>
      </c>
    </row>
    <row r="30" spans="1:5" x14ac:dyDescent="0.25">
      <c r="A30" s="20">
        <v>2</v>
      </c>
      <c r="B30" s="31" t="s">
        <v>28</v>
      </c>
      <c r="C30" s="20"/>
      <c r="D30" s="31">
        <v>2017.48</v>
      </c>
      <c r="E30" s="20"/>
    </row>
    <row r="31" spans="1:5" x14ac:dyDescent="0.25">
      <c r="A31" s="24" t="s">
        <v>32</v>
      </c>
      <c r="B31" s="22" t="s">
        <v>33</v>
      </c>
      <c r="C31" s="20"/>
      <c r="D31" s="26">
        <f>D32+D34+D36+D37+D38+D39+D35</f>
        <v>53201.683499999999</v>
      </c>
      <c r="E31" s="20"/>
    </row>
    <row r="32" spans="1:5" x14ac:dyDescent="0.25">
      <c r="A32" s="20"/>
      <c r="B32" s="20" t="s">
        <v>34</v>
      </c>
      <c r="C32" s="20"/>
      <c r="D32" s="28">
        <f>D19*5%</f>
        <v>11625.2935</v>
      </c>
      <c r="E32" s="20"/>
    </row>
    <row r="33" spans="1:5" x14ac:dyDescent="0.25">
      <c r="A33" s="20"/>
      <c r="B33" s="31" t="s">
        <v>58</v>
      </c>
      <c r="C33" s="20"/>
      <c r="D33" s="28">
        <f>2*84.52</f>
        <v>169.04</v>
      </c>
      <c r="E33" s="20"/>
    </row>
    <row r="34" spans="1:5" x14ac:dyDescent="0.25">
      <c r="A34" s="20"/>
      <c r="B34" s="20" t="s">
        <v>35</v>
      </c>
      <c r="C34" s="20"/>
      <c r="D34" s="28">
        <v>2472</v>
      </c>
      <c r="E34" s="20"/>
    </row>
    <row r="35" spans="1:5" x14ac:dyDescent="0.25">
      <c r="A35" s="20"/>
      <c r="B35" s="174" t="s">
        <v>97</v>
      </c>
      <c r="C35" s="20"/>
      <c r="D35" s="20">
        <v>23994.68</v>
      </c>
      <c r="E35" s="20"/>
    </row>
    <row r="36" spans="1:5" x14ac:dyDescent="0.25">
      <c r="A36" s="20"/>
      <c r="B36" s="20" t="s">
        <v>36</v>
      </c>
      <c r="C36" s="20"/>
      <c r="D36" s="28">
        <v>9197.52</v>
      </c>
      <c r="E36" s="20"/>
    </row>
    <row r="37" spans="1:5" x14ac:dyDescent="0.25">
      <c r="A37" s="20"/>
      <c r="B37" s="27" t="s">
        <v>37</v>
      </c>
      <c r="C37" s="20"/>
      <c r="D37" s="20">
        <v>1125.95</v>
      </c>
      <c r="E37" s="20"/>
    </row>
    <row r="38" spans="1:5" x14ac:dyDescent="0.25">
      <c r="A38" s="20"/>
      <c r="B38" s="27" t="s">
        <v>38</v>
      </c>
      <c r="C38" s="20"/>
      <c r="D38" s="20">
        <v>1543.23</v>
      </c>
      <c r="E38" s="20"/>
    </row>
    <row r="39" spans="1:5" x14ac:dyDescent="0.25">
      <c r="A39" s="20"/>
      <c r="B39" s="20" t="s">
        <v>41</v>
      </c>
      <c r="C39" s="20"/>
      <c r="D39" s="20">
        <v>3243.01</v>
      </c>
      <c r="E39" s="20"/>
    </row>
    <row r="40" spans="1:5" x14ac:dyDescent="0.25">
      <c r="A40" s="20">
        <v>4</v>
      </c>
      <c r="B40" s="22" t="s">
        <v>42</v>
      </c>
      <c r="C40" s="20"/>
      <c r="D40" s="26">
        <f>D41+D42</f>
        <v>28260.949999999997</v>
      </c>
      <c r="E40" s="26">
        <f>E41</f>
        <v>6076.56862</v>
      </c>
    </row>
    <row r="41" spans="1:5" x14ac:dyDescent="0.25">
      <c r="A41" s="20"/>
      <c r="B41" s="31" t="s">
        <v>43</v>
      </c>
      <c r="C41" s="31"/>
      <c r="D41" s="33">
        <v>23193.01</v>
      </c>
      <c r="E41" s="28">
        <f>D41*26.2%</f>
        <v>6076.56862</v>
      </c>
    </row>
    <row r="42" spans="1:5" x14ac:dyDescent="0.25">
      <c r="A42" s="20"/>
      <c r="B42" s="27" t="s">
        <v>44</v>
      </c>
      <c r="C42" s="20"/>
      <c r="D42" s="33">
        <v>5067.9399999999996</v>
      </c>
      <c r="E42" s="20"/>
    </row>
    <row r="43" spans="1:5" x14ac:dyDescent="0.25">
      <c r="A43" s="20">
        <v>5</v>
      </c>
      <c r="B43" s="22" t="s">
        <v>45</v>
      </c>
      <c r="C43" s="20"/>
      <c r="D43" s="26">
        <f>D22+E22+D28+E28+D31+D40+E40</f>
        <v>241845.33522000004</v>
      </c>
      <c r="E43" s="20"/>
    </row>
    <row r="44" spans="1:5" x14ac:dyDescent="0.25">
      <c r="A44" s="20">
        <v>6</v>
      </c>
      <c r="B44" s="20" t="s">
        <v>46</v>
      </c>
      <c r="C44" s="20"/>
      <c r="D44" s="26">
        <f>D19*6%</f>
        <v>13950.352199999999</v>
      </c>
      <c r="E44" s="20"/>
    </row>
    <row r="45" spans="1:5" x14ac:dyDescent="0.25">
      <c r="A45" s="20">
        <v>7</v>
      </c>
      <c r="B45" s="22" t="s">
        <v>47</v>
      </c>
      <c r="C45" s="20"/>
      <c r="D45" s="26">
        <f>D43+D44</f>
        <v>255795.68742000003</v>
      </c>
      <c r="E45" s="20"/>
    </row>
    <row r="46" spans="1:5" x14ac:dyDescent="0.25">
      <c r="A46" s="20"/>
      <c r="B46" s="20"/>
      <c r="C46" s="20"/>
      <c r="D46" s="20"/>
      <c r="E46" s="20"/>
    </row>
    <row r="47" spans="1:5" x14ac:dyDescent="0.25">
      <c r="A47" s="20">
        <v>8</v>
      </c>
      <c r="B47" s="22" t="s">
        <v>59</v>
      </c>
      <c r="C47" s="20"/>
      <c r="D47" s="26">
        <f>D19-D45</f>
        <v>-23289.817420000036</v>
      </c>
      <c r="E47" s="20"/>
    </row>
    <row r="48" spans="1:5" x14ac:dyDescent="0.25">
      <c r="A48" s="20">
        <v>9</v>
      </c>
      <c r="B48" s="22" t="s">
        <v>49</v>
      </c>
      <c r="C48" s="20"/>
      <c r="D48" s="26">
        <f>D11+D47</f>
        <v>-114758.77742000004</v>
      </c>
      <c r="E48" s="20"/>
    </row>
    <row r="49" spans="1:5" x14ac:dyDescent="0.25">
      <c r="A49" s="37"/>
      <c r="B49" s="37" t="s">
        <v>50</v>
      </c>
      <c r="C49" s="37"/>
      <c r="D49" s="37" t="s">
        <v>51</v>
      </c>
      <c r="E49" s="37"/>
    </row>
    <row r="50" spans="1:5" x14ac:dyDescent="0.25">
      <c r="A50" s="37"/>
      <c r="B50" s="37" t="s">
        <v>52</v>
      </c>
      <c r="C50" s="37"/>
      <c r="D50" s="37" t="s">
        <v>53</v>
      </c>
      <c r="E50" s="37"/>
    </row>
  </sheetData>
  <mergeCells count="3">
    <mergeCell ref="A6:C6"/>
    <mergeCell ref="D8:E8"/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А18</vt:lpstr>
      <vt:lpstr>А25</vt:lpstr>
      <vt:lpstr>В4</vt:lpstr>
      <vt:lpstr>В10</vt:lpstr>
      <vt:lpstr>В12</vt:lpstr>
      <vt:lpstr>В13</vt:lpstr>
      <vt:lpstr>В15</vt:lpstr>
      <vt:lpstr>В17</vt:lpstr>
      <vt:lpstr>В18</vt:lpstr>
      <vt:lpstr>В19</vt:lpstr>
      <vt:lpstr>В20</vt:lpstr>
      <vt:lpstr>В21</vt:lpstr>
      <vt:lpstr>В22</vt:lpstr>
      <vt:lpstr>В23</vt:lpstr>
      <vt:lpstr>В24</vt:lpstr>
      <vt:lpstr>В25</vt:lpstr>
      <vt:lpstr>В26</vt:lpstr>
      <vt:lpstr>В27</vt:lpstr>
      <vt:lpstr>В28</vt:lpstr>
      <vt:lpstr>В30</vt:lpstr>
      <vt:lpstr>В32</vt:lpstr>
      <vt:lpstr>В34</vt:lpstr>
      <vt:lpstr>В36</vt:lpstr>
      <vt:lpstr>М1</vt:lpstr>
      <vt:lpstr>М19</vt:lpstr>
      <vt:lpstr>М28</vt:lpstr>
      <vt:lpstr>М30</vt:lpstr>
      <vt:lpstr>М39</vt:lpstr>
      <vt:lpstr>М41</vt:lpstr>
      <vt:lpstr>М43</vt:lpstr>
      <vt:lpstr>М45</vt:lpstr>
      <vt:lpstr>М47</vt:lpstr>
      <vt:lpstr>Т3</vt:lpstr>
      <vt:lpstr>Т4</vt:lpstr>
      <vt:lpstr>Т7</vt:lpstr>
      <vt:lpstr>Т8</vt:lpstr>
      <vt:lpstr>Т9</vt:lpstr>
      <vt:lpstr>Т10</vt:lpstr>
      <vt:lpstr>Т12</vt:lpstr>
      <vt:lpstr>Т13</vt:lpstr>
      <vt:lpstr>Т14</vt:lpstr>
      <vt:lpstr>Т15</vt:lpstr>
      <vt:lpstr>Т16</vt:lpstr>
      <vt:lpstr>Т171</vt:lpstr>
      <vt:lpstr>Т172</vt:lpstr>
      <vt:lpstr>т18</vt:lpstr>
      <vt:lpstr>Т21</vt:lpstr>
      <vt:lpstr>Т23</vt:lpstr>
      <vt:lpstr>Т27</vt:lpstr>
      <vt:lpstr>П100</vt:lpstr>
      <vt:lpstr>П179а</vt:lpstr>
      <vt:lpstr>П181</vt:lpstr>
      <vt:lpstr>П181а</vt:lpstr>
      <vt:lpstr>П183</vt:lpstr>
      <vt:lpstr>П185</vt:lpstr>
      <vt:lpstr>П187</vt:lpstr>
      <vt:lpstr>П191</vt:lpstr>
      <vt:lpstr>ВЛКСМ10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2011-08-23T07:08:04Z</dcterms:modified>
</cp:coreProperties>
</file>