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1" activeTab="28"/>
  </bookViews>
  <sheets>
    <sheet name="А18" sheetId="6" r:id="rId1"/>
    <sheet name="А25" sheetId="9" r:id="rId2"/>
    <sheet name="В4" sheetId="8" r:id="rId3"/>
    <sheet name="В10" sheetId="11" r:id="rId4"/>
    <sheet name="В12" sheetId="12" r:id="rId5"/>
    <sheet name="В13" sheetId="10" r:id="rId6"/>
    <sheet name="В15" sheetId="2" r:id="rId7"/>
    <sheet name="В17" sheetId="44" r:id="rId8"/>
    <sheet name="В18" sheetId="43" r:id="rId9"/>
    <sheet name="В19" sheetId="42" r:id="rId10"/>
    <sheet name="В20" sheetId="41" r:id="rId11"/>
    <sheet name="В21" sheetId="40" r:id="rId12"/>
    <sheet name="В22" sheetId="39" r:id="rId13"/>
    <sheet name="В23" sheetId="45" r:id="rId14"/>
    <sheet name="В24" sheetId="53" r:id="rId15"/>
    <sheet name="В25" sheetId="52" r:id="rId16"/>
    <sheet name="В26" sheetId="51" r:id="rId17"/>
    <sheet name="В27" sheetId="50" r:id="rId18"/>
    <sheet name="В28" sheetId="49" r:id="rId19"/>
    <sheet name="В30" sheetId="48" r:id="rId20"/>
    <sheet name="В32" sheetId="47" r:id="rId21"/>
    <sheet name="В34" sheetId="46" r:id="rId22"/>
    <sheet name="В36" sheetId="38" r:id="rId23"/>
    <sheet name="М1" sheetId="3" r:id="rId24"/>
    <sheet name="М19" sheetId="17" r:id="rId25"/>
    <sheet name="М28" sheetId="18" r:id="rId26"/>
    <sheet name="М30" sheetId="20" r:id="rId27"/>
    <sheet name="М39" sheetId="19" r:id="rId28"/>
    <sheet name="М41" sheetId="16" r:id="rId29"/>
    <sheet name="М43" sheetId="15" r:id="rId30"/>
    <sheet name="М45" sheetId="14" r:id="rId31"/>
    <sheet name="М47" sheetId="13" r:id="rId32"/>
    <sheet name="Т3" sheetId="4" r:id="rId33"/>
    <sheet name="Т4" sheetId="32" r:id="rId34"/>
    <sheet name="Т7" sheetId="31" r:id="rId35"/>
    <sheet name="Т8" sheetId="30" r:id="rId36"/>
    <sheet name="Т9" sheetId="29" r:id="rId37"/>
    <sheet name="Т10" sheetId="28" r:id="rId38"/>
    <sheet name="Т12" sheetId="27" r:id="rId39"/>
    <sheet name="Т13" sheetId="26" r:id="rId40"/>
    <sheet name="Т14" sheetId="25" r:id="rId41"/>
    <sheet name="Т15" sheetId="24" r:id="rId42"/>
    <sheet name="Т16" sheetId="23" r:id="rId43"/>
    <sheet name="Т171" sheetId="33" r:id="rId44"/>
    <sheet name="Т172" sheetId="34" r:id="rId45"/>
    <sheet name="т18" sheetId="35" r:id="rId46"/>
    <sheet name="Т21" sheetId="37" r:id="rId47"/>
    <sheet name="Т23" sheetId="36" r:id="rId48"/>
    <sheet name="Т27" sheetId="22" r:id="rId49"/>
    <sheet name="П100" sheetId="54" r:id="rId50"/>
    <sheet name="П179а" sheetId="5" r:id="rId51"/>
    <sheet name="П181" sheetId="55" r:id="rId52"/>
    <sheet name="П181а" sheetId="56" r:id="rId53"/>
    <sheet name="П183" sheetId="57" r:id="rId54"/>
    <sheet name="П185" sheetId="58" r:id="rId55"/>
    <sheet name="П187" sheetId="60" r:id="rId56"/>
    <sheet name="П191" sheetId="61" r:id="rId57"/>
    <sheet name="ВЛКСМ10" sheetId="59" r:id="rId58"/>
  </sheets>
  <calcPr calcId="144525"/>
</workbook>
</file>

<file path=xl/calcChain.xml><?xml version="1.0" encoding="utf-8"?>
<calcChain xmlns="http://schemas.openxmlformats.org/spreadsheetml/2006/main">
  <c r="D58" i="5" l="1"/>
  <c r="E43" i="5"/>
  <c r="E42" i="5" s="1"/>
  <c r="D42" i="5"/>
  <c r="E32" i="5"/>
  <c r="E31" i="5"/>
  <c r="D31" i="5"/>
  <c r="E29" i="5"/>
  <c r="E26" i="5"/>
  <c r="D25" i="5"/>
  <c r="D24" i="5" s="1"/>
  <c r="D19" i="5"/>
  <c r="D56" i="5" s="1"/>
  <c r="D60" i="5" s="1"/>
  <c r="D18" i="5"/>
  <c r="D40" i="2"/>
  <c r="E40" i="2" s="1"/>
  <c r="E39" i="2" s="1"/>
  <c r="E30" i="2"/>
  <c r="D30" i="2"/>
  <c r="E29" i="2"/>
  <c r="D29" i="2"/>
  <c r="E27" i="2"/>
  <c r="D26" i="2"/>
  <c r="E26" i="2" s="1"/>
  <c r="D25" i="2"/>
  <c r="E25" i="2" s="1"/>
  <c r="D24" i="2"/>
  <c r="E24" i="2" s="1"/>
  <c r="D23" i="2"/>
  <c r="D22" i="2" s="1"/>
  <c r="D17" i="2"/>
  <c r="D19" i="2" s="1"/>
  <c r="F39" i="59"/>
  <c r="F38" i="59" s="1"/>
  <c r="E38" i="59"/>
  <c r="F28" i="59"/>
  <c r="F27" i="59" s="1"/>
  <c r="E27" i="59"/>
  <c r="F25" i="59"/>
  <c r="F24" i="59"/>
  <c r="F23" i="59"/>
  <c r="F22" i="59"/>
  <c r="E21" i="59"/>
  <c r="E20" i="59" s="1"/>
  <c r="E15" i="59"/>
  <c r="E17" i="59" s="1"/>
  <c r="E40" i="61"/>
  <c r="E39" i="61" s="1"/>
  <c r="D39" i="61"/>
  <c r="D28" i="61"/>
  <c r="E26" i="61"/>
  <c r="E25" i="61" s="1"/>
  <c r="D25" i="61"/>
  <c r="E23" i="61"/>
  <c r="E22" i="61"/>
  <c r="E21" i="61"/>
  <c r="E20" i="61"/>
  <c r="D20" i="61"/>
  <c r="E19" i="61"/>
  <c r="D19" i="61"/>
  <c r="D15" i="61"/>
  <c r="D48" i="61" s="1"/>
  <c r="D14" i="61"/>
  <c r="E40" i="60"/>
  <c r="E39" i="60" s="1"/>
  <c r="D39" i="60"/>
  <c r="E26" i="60"/>
  <c r="E25" i="60" s="1"/>
  <c r="D25" i="60"/>
  <c r="E23" i="60"/>
  <c r="E20" i="60"/>
  <c r="D19" i="60"/>
  <c r="D18" i="60" s="1"/>
  <c r="D13" i="60"/>
  <c r="D15" i="60" s="1"/>
  <c r="E40" i="58"/>
  <c r="E39" i="58" s="1"/>
  <c r="D39" i="58"/>
  <c r="D29" i="58"/>
  <c r="E27" i="58"/>
  <c r="E26" i="58" s="1"/>
  <c r="D26" i="58"/>
  <c r="E24" i="58"/>
  <c r="E21" i="58"/>
  <c r="D20" i="58"/>
  <c r="D19" i="58" s="1"/>
  <c r="D14" i="58"/>
  <c r="D16" i="58" s="1"/>
  <c r="E40" i="57"/>
  <c r="E39" i="57" s="1"/>
  <c r="D39" i="57"/>
  <c r="E26" i="57"/>
  <c r="E25" i="57" s="1"/>
  <c r="D25" i="57"/>
  <c r="E23" i="57"/>
  <c r="E20" i="57"/>
  <c r="E19" i="57" s="1"/>
  <c r="E18" i="57" s="1"/>
  <c r="D19" i="57"/>
  <c r="D18" i="57"/>
  <c r="D13" i="57"/>
  <c r="D15" i="57" s="1"/>
  <c r="E39" i="56"/>
  <c r="E38" i="56" s="1"/>
  <c r="D38" i="56"/>
  <c r="E27" i="56"/>
  <c r="E26" i="56" s="1"/>
  <c r="D26" i="56"/>
  <c r="E24" i="56"/>
  <c r="E23" i="56"/>
  <c r="E22" i="56"/>
  <c r="E21" i="56" s="1"/>
  <c r="E20" i="56" s="1"/>
  <c r="D21" i="56"/>
  <c r="D20" i="56"/>
  <c r="D16" i="56"/>
  <c r="D47" i="56" s="1"/>
  <c r="D15" i="56"/>
  <c r="D17" i="56" s="1"/>
  <c r="E40" i="55"/>
  <c r="E39" i="55" s="1"/>
  <c r="D39" i="55"/>
  <c r="E27" i="55"/>
  <c r="E26" i="55" s="1"/>
  <c r="D26" i="55"/>
  <c r="E24" i="55"/>
  <c r="E21" i="55"/>
  <c r="E20" i="55" s="1"/>
  <c r="E19" i="55" s="1"/>
  <c r="D20" i="55"/>
  <c r="D19" i="55" s="1"/>
  <c r="D14" i="55"/>
  <c r="D16" i="55" s="1"/>
  <c r="E40" i="54"/>
  <c r="E39" i="54" s="1"/>
  <c r="D39" i="54"/>
  <c r="E30" i="54"/>
  <c r="E29" i="54" s="1"/>
  <c r="D29" i="54"/>
  <c r="E27" i="54"/>
  <c r="E26" i="54"/>
  <c r="E25" i="54"/>
  <c r="E24" i="54"/>
  <c r="E23" i="54" s="1"/>
  <c r="E22" i="54" s="1"/>
  <c r="D23" i="54"/>
  <c r="D22" i="54"/>
  <c r="D18" i="54"/>
  <c r="D48" i="54" s="1"/>
  <c r="D17" i="54"/>
  <c r="E40" i="22"/>
  <c r="E39" i="22" s="1"/>
  <c r="D39" i="22"/>
  <c r="D33" i="22"/>
  <c r="E28" i="22"/>
  <c r="E27" i="22" s="1"/>
  <c r="D27" i="22"/>
  <c r="E25" i="22"/>
  <c r="E24" i="22"/>
  <c r="E23" i="22"/>
  <c r="E22" i="22"/>
  <c r="E21" i="22" s="1"/>
  <c r="E20" i="22" s="1"/>
  <c r="D21" i="22"/>
  <c r="D20" i="22"/>
  <c r="D15" i="22"/>
  <c r="D17" i="22" s="1"/>
  <c r="E40" i="36"/>
  <c r="E39" i="36" s="1"/>
  <c r="D39" i="36"/>
  <c r="D30" i="36"/>
  <c r="E28" i="36"/>
  <c r="E27" i="36" s="1"/>
  <c r="D27" i="36"/>
  <c r="E25" i="36"/>
  <c r="E24" i="36"/>
  <c r="E23" i="36"/>
  <c r="D22" i="36"/>
  <c r="D21" i="36" s="1"/>
  <c r="D17" i="36"/>
  <c r="D15" i="36"/>
  <c r="D18" i="36" s="1"/>
  <c r="E40" i="37"/>
  <c r="E39" i="37" s="1"/>
  <c r="D39" i="37"/>
  <c r="E28" i="37"/>
  <c r="E27" i="37" s="1"/>
  <c r="D27" i="37"/>
  <c r="E25" i="37"/>
  <c r="E24" i="37"/>
  <c r="E23" i="37"/>
  <c r="E22" i="37"/>
  <c r="D21" i="37"/>
  <c r="D20" i="37" s="1"/>
  <c r="D15" i="37"/>
  <c r="D48" i="37" s="1"/>
  <c r="D14" i="37"/>
  <c r="E38" i="35"/>
  <c r="E37" i="35" s="1"/>
  <c r="D37" i="35"/>
  <c r="E27" i="35"/>
  <c r="E26" i="35" s="1"/>
  <c r="D26" i="35"/>
  <c r="E24" i="35"/>
  <c r="E22" i="35"/>
  <c r="D21" i="35"/>
  <c r="D20" i="35" s="1"/>
  <c r="D16" i="35"/>
  <c r="D15" i="35"/>
  <c r="D46" i="35" s="1"/>
  <c r="D48" i="35" s="1"/>
  <c r="D14" i="35"/>
  <c r="E40" i="34"/>
  <c r="E39" i="34" s="1"/>
  <c r="D39" i="34"/>
  <c r="E29" i="34"/>
  <c r="E28" i="34" s="1"/>
  <c r="D28" i="34"/>
  <c r="E26" i="34"/>
  <c r="E25" i="34"/>
  <c r="E24" i="34"/>
  <c r="E23" i="34"/>
  <c r="E22" i="34"/>
  <c r="D22" i="34"/>
  <c r="E21" i="34"/>
  <c r="D21" i="34"/>
  <c r="D16" i="34"/>
  <c r="D18" i="34" s="1"/>
  <c r="E39" i="33"/>
  <c r="E38" i="33" s="1"/>
  <c r="D38" i="33"/>
  <c r="D33" i="33"/>
  <c r="E28" i="33"/>
  <c r="E27" i="33" s="1"/>
  <c r="D27" i="33"/>
  <c r="E25" i="33"/>
  <c r="E23" i="33"/>
  <c r="E22" i="33"/>
  <c r="E21" i="33" s="1"/>
  <c r="E20" i="33" s="1"/>
  <c r="D21" i="33"/>
  <c r="D20" i="33"/>
  <c r="D15" i="33"/>
  <c r="D47" i="33" s="1"/>
  <c r="D14" i="33"/>
  <c r="E38" i="23"/>
  <c r="E37" i="23" s="1"/>
  <c r="D37" i="23"/>
  <c r="E28" i="23"/>
  <c r="E27" i="23" s="1"/>
  <c r="D27" i="23"/>
  <c r="E23" i="23"/>
  <c r="E22" i="23" s="1"/>
  <c r="E21" i="23" s="1"/>
  <c r="D22" i="23"/>
  <c r="D21" i="23"/>
  <c r="D16" i="23"/>
  <c r="D18" i="23" s="1"/>
  <c r="D47" i="24"/>
  <c r="E39" i="24"/>
  <c r="E38" i="24" s="1"/>
  <c r="D38" i="24"/>
  <c r="D32" i="24"/>
  <c r="E27" i="24"/>
  <c r="E26" i="24" s="1"/>
  <c r="D26" i="24"/>
  <c r="E24" i="24"/>
  <c r="E23" i="24"/>
  <c r="E22" i="24"/>
  <c r="E21" i="24"/>
  <c r="E20" i="24" s="1"/>
  <c r="E19" i="24" s="1"/>
  <c r="D20" i="24"/>
  <c r="D19" i="24"/>
  <c r="D14" i="24"/>
  <c r="D16" i="24" s="1"/>
  <c r="E39" i="25"/>
  <c r="E38" i="25" s="1"/>
  <c r="D38" i="25"/>
  <c r="D32" i="25"/>
  <c r="E28" i="25"/>
  <c r="E27" i="25" s="1"/>
  <c r="D27" i="25"/>
  <c r="E25" i="25"/>
  <c r="E22" i="25"/>
  <c r="E21" i="25" s="1"/>
  <c r="E20" i="25" s="1"/>
  <c r="D21" i="25"/>
  <c r="D20" i="25"/>
  <c r="D16" i="25"/>
  <c r="D47" i="25" s="1"/>
  <c r="D15" i="25"/>
  <c r="D17" i="25" s="1"/>
  <c r="E39" i="26"/>
  <c r="E38" i="26" s="1"/>
  <c r="D38" i="26"/>
  <c r="D33" i="26"/>
  <c r="E29" i="26"/>
  <c r="E28" i="26" s="1"/>
  <c r="D28" i="26"/>
  <c r="E26" i="26"/>
  <c r="E23" i="26"/>
  <c r="E22" i="26" s="1"/>
  <c r="E21" i="26" s="1"/>
  <c r="D22" i="26"/>
  <c r="D21" i="26"/>
  <c r="D16" i="26"/>
  <c r="D18" i="26" s="1"/>
  <c r="E40" i="27"/>
  <c r="E39" i="27" s="1"/>
  <c r="D39" i="27"/>
  <c r="D33" i="27"/>
  <c r="E29" i="27"/>
  <c r="E28" i="27" s="1"/>
  <c r="D28" i="27"/>
  <c r="E26" i="27"/>
  <c r="E23" i="27"/>
  <c r="E22" i="27" s="1"/>
  <c r="E21" i="27" s="1"/>
  <c r="D22" i="27"/>
  <c r="D21" i="27"/>
  <c r="D16" i="27"/>
  <c r="D18" i="27" s="1"/>
  <c r="E39" i="28"/>
  <c r="E38" i="28" s="1"/>
  <c r="D38" i="28"/>
  <c r="E29" i="28"/>
  <c r="E28" i="28" s="1"/>
  <c r="D28" i="28"/>
  <c r="E26" i="28"/>
  <c r="E23" i="28"/>
  <c r="E22" i="28" s="1"/>
  <c r="E21" i="28" s="1"/>
  <c r="D22" i="28"/>
  <c r="D21" i="28"/>
  <c r="D16" i="28"/>
  <c r="D18" i="28" s="1"/>
  <c r="E39" i="29"/>
  <c r="E38" i="29" s="1"/>
  <c r="D38" i="29"/>
  <c r="D32" i="29"/>
  <c r="E28" i="29"/>
  <c r="E27" i="29" s="1"/>
  <c r="D27" i="29"/>
  <c r="E25" i="29"/>
  <c r="E24" i="29"/>
  <c r="E23" i="29"/>
  <c r="E22" i="29"/>
  <c r="E21" i="29" s="1"/>
  <c r="E20" i="29" s="1"/>
  <c r="D21" i="29"/>
  <c r="D20" i="29"/>
  <c r="D15" i="29"/>
  <c r="D17" i="29" s="1"/>
  <c r="E40" i="30"/>
  <c r="E39" i="30" s="1"/>
  <c r="D39" i="30"/>
  <c r="D34" i="30"/>
  <c r="E30" i="30"/>
  <c r="E29" i="30" s="1"/>
  <c r="D29" i="30"/>
  <c r="E27" i="30"/>
  <c r="E24" i="30"/>
  <c r="E23" i="30" s="1"/>
  <c r="E22" i="30" s="1"/>
  <c r="D23" i="30"/>
  <c r="D22" i="30"/>
  <c r="D17" i="30"/>
  <c r="D19" i="30" s="1"/>
  <c r="E39" i="31"/>
  <c r="E38" i="31" s="1"/>
  <c r="D38" i="31"/>
  <c r="D33" i="31"/>
  <c r="E29" i="31"/>
  <c r="E28" i="31" s="1"/>
  <c r="D28" i="31"/>
  <c r="E26" i="31"/>
  <c r="E25" i="31"/>
  <c r="E24" i="31"/>
  <c r="E23" i="31"/>
  <c r="E22" i="31" s="1"/>
  <c r="E21" i="31" s="1"/>
  <c r="D22" i="31"/>
  <c r="D21" i="31"/>
  <c r="D16" i="31"/>
  <c r="D18" i="31" s="1"/>
  <c r="E40" i="32"/>
  <c r="E39" i="32" s="1"/>
  <c r="D39" i="32"/>
  <c r="D33" i="32"/>
  <c r="E28" i="32"/>
  <c r="E27" i="32" s="1"/>
  <c r="D27" i="32"/>
  <c r="E25" i="32"/>
  <c r="E24" i="32"/>
  <c r="E23" i="32"/>
  <c r="E22" i="32"/>
  <c r="E21" i="32" s="1"/>
  <c r="E20" i="32" s="1"/>
  <c r="D21" i="32"/>
  <c r="D20" i="32"/>
  <c r="D15" i="32"/>
  <c r="D17" i="32" s="1"/>
  <c r="E39" i="4"/>
  <c r="E38" i="4" s="1"/>
  <c r="D38" i="4"/>
  <c r="E30" i="4"/>
  <c r="E29" i="4" s="1"/>
  <c r="D29" i="4"/>
  <c r="E27" i="4"/>
  <c r="E26" i="4"/>
  <c r="E25" i="4"/>
  <c r="E24" i="4"/>
  <c r="E23" i="4" s="1"/>
  <c r="E22" i="4" s="1"/>
  <c r="D23" i="4"/>
  <c r="D22" i="4"/>
  <c r="D17" i="4"/>
  <c r="D19" i="4" s="1"/>
  <c r="E39" i="13"/>
  <c r="E38" i="13" s="1"/>
  <c r="D38" i="13"/>
  <c r="D32" i="13"/>
  <c r="E28" i="13"/>
  <c r="E27" i="13" s="1"/>
  <c r="D27" i="13"/>
  <c r="E25" i="13"/>
  <c r="E24" i="13"/>
  <c r="E23" i="13"/>
  <c r="E22" i="13"/>
  <c r="E21" i="13" s="1"/>
  <c r="E20" i="13" s="1"/>
  <c r="D21" i="13"/>
  <c r="D20" i="13"/>
  <c r="D15" i="13"/>
  <c r="D17" i="13" s="1"/>
  <c r="E40" i="14"/>
  <c r="E39" i="14" s="1"/>
  <c r="D39" i="14"/>
  <c r="D36" i="14"/>
  <c r="D32" i="14"/>
  <c r="E28" i="14"/>
  <c r="E27" i="14" s="1"/>
  <c r="D27" i="14"/>
  <c r="E25" i="14"/>
  <c r="E22" i="14"/>
  <c r="D21" i="14"/>
  <c r="D20" i="14" s="1"/>
  <c r="D16" i="14"/>
  <c r="D48" i="14" s="1"/>
  <c r="D14" i="14"/>
  <c r="E39" i="15"/>
  <c r="E38" i="15" s="1"/>
  <c r="D38" i="15"/>
  <c r="D31" i="15"/>
  <c r="E27" i="15"/>
  <c r="E26" i="15" s="1"/>
  <c r="D26" i="15"/>
  <c r="E24" i="15"/>
  <c r="E23" i="15"/>
  <c r="E22" i="15"/>
  <c r="E21" i="15"/>
  <c r="E20" i="15" s="1"/>
  <c r="E19" i="15" s="1"/>
  <c r="D20" i="15"/>
  <c r="D19" i="15"/>
  <c r="D15" i="15"/>
  <c r="D47" i="15" s="1"/>
  <c r="D14" i="15"/>
  <c r="D16" i="15" s="1"/>
  <c r="E39" i="16"/>
  <c r="E38" i="16" s="1"/>
  <c r="D38" i="16"/>
  <c r="D32" i="16"/>
  <c r="D30" i="16" s="1"/>
  <c r="E28" i="16"/>
  <c r="E27" i="16"/>
  <c r="E26" i="16"/>
  <c r="D26" i="16"/>
  <c r="E24" i="16"/>
  <c r="E23" i="16"/>
  <c r="E22" i="16"/>
  <c r="E21" i="16"/>
  <c r="E20" i="16" s="1"/>
  <c r="E19" i="16" s="1"/>
  <c r="D20" i="16"/>
  <c r="D19" i="16"/>
  <c r="D15" i="16"/>
  <c r="D17" i="16" s="1"/>
  <c r="E39" i="19"/>
  <c r="E38" i="19" s="1"/>
  <c r="D38" i="19"/>
  <c r="D32" i="19"/>
  <c r="E28" i="19"/>
  <c r="E27" i="19" s="1"/>
  <c r="D27" i="19"/>
  <c r="E25" i="19"/>
  <c r="E24" i="19"/>
  <c r="E23" i="19"/>
  <c r="E22" i="19" s="1"/>
  <c r="E21" i="19" s="1"/>
  <c r="D22" i="19"/>
  <c r="D21" i="19"/>
  <c r="D17" i="19"/>
  <c r="D47" i="19" s="1"/>
  <c r="D16" i="19"/>
  <c r="E40" i="20"/>
  <c r="E39" i="20" s="1"/>
  <c r="D39" i="20"/>
  <c r="D32" i="20"/>
  <c r="E28" i="20"/>
  <c r="E27" i="20" s="1"/>
  <c r="D27" i="20"/>
  <c r="E25" i="20"/>
  <c r="E24" i="20"/>
  <c r="E23" i="20"/>
  <c r="E22" i="20"/>
  <c r="E21" i="20" s="1"/>
  <c r="E20" i="20" s="1"/>
  <c r="D21" i="20"/>
  <c r="D20" i="20"/>
  <c r="D15" i="20"/>
  <c r="D17" i="20" s="1"/>
  <c r="E39" i="18"/>
  <c r="E38" i="18" s="1"/>
  <c r="D38" i="18"/>
  <c r="D31" i="18"/>
  <c r="E27" i="18"/>
  <c r="E26" i="18" s="1"/>
  <c r="D26" i="18"/>
  <c r="E24" i="18"/>
  <c r="E23" i="18"/>
  <c r="E22" i="18"/>
  <c r="E21" i="18"/>
  <c r="E20" i="18" s="1"/>
  <c r="E19" i="18" s="1"/>
  <c r="D20" i="18"/>
  <c r="D19" i="18"/>
  <c r="D14" i="18"/>
  <c r="D16" i="18" s="1"/>
  <c r="E40" i="17"/>
  <c r="E39" i="17" s="1"/>
  <c r="D39" i="17"/>
  <c r="D32" i="17"/>
  <c r="E28" i="17"/>
  <c r="E27" i="17" s="1"/>
  <c r="D27" i="17"/>
  <c r="E25" i="17"/>
  <c r="E24" i="17"/>
  <c r="E23" i="17"/>
  <c r="E22" i="17"/>
  <c r="D21" i="17"/>
  <c r="D20" i="17" s="1"/>
  <c r="D15" i="17"/>
  <c r="D17" i="17" s="1"/>
  <c r="F40" i="3"/>
  <c r="F39" i="3" s="1"/>
  <c r="E39" i="3"/>
  <c r="E32" i="3"/>
  <c r="F27" i="3"/>
  <c r="F26" i="3" s="1"/>
  <c r="E26" i="3"/>
  <c r="F24" i="3"/>
  <c r="F23" i="3"/>
  <c r="F22" i="3"/>
  <c r="F21" i="3"/>
  <c r="F20" i="3" s="1"/>
  <c r="F19" i="3" s="1"/>
  <c r="E20" i="3"/>
  <c r="E19" i="3"/>
  <c r="E15" i="3"/>
  <c r="E14" i="3"/>
  <c r="E16" i="3" s="1"/>
  <c r="D56" i="38"/>
  <c r="E43" i="38"/>
  <c r="E42" i="38" s="1"/>
  <c r="D42" i="38"/>
  <c r="D35" i="38"/>
  <c r="E31" i="38"/>
  <c r="E30" i="38" s="1"/>
  <c r="D30" i="38"/>
  <c r="E28" i="38"/>
  <c r="E27" i="38"/>
  <c r="E26" i="38"/>
  <c r="E25" i="38"/>
  <c r="E24" i="38" s="1"/>
  <c r="E23" i="38" s="1"/>
  <c r="D24" i="38"/>
  <c r="D23" i="38"/>
  <c r="D18" i="38"/>
  <c r="D54" i="38" s="1"/>
  <c r="D58" i="38" s="1"/>
  <c r="D17" i="38"/>
  <c r="D20" i="38" s="1"/>
  <c r="E39" i="46"/>
  <c r="E38" i="46" s="1"/>
  <c r="D38" i="46"/>
  <c r="D32" i="46"/>
  <c r="E28" i="46"/>
  <c r="E27" i="46" s="1"/>
  <c r="D27" i="46"/>
  <c r="E25" i="46"/>
  <c r="E24" i="46"/>
  <c r="E23" i="46"/>
  <c r="E22" i="46" s="1"/>
  <c r="E21" i="46" s="1"/>
  <c r="D22" i="46"/>
  <c r="D21" i="46"/>
  <c r="D16" i="46"/>
  <c r="D47" i="46" s="1"/>
  <c r="D15" i="46"/>
  <c r="E39" i="47"/>
  <c r="E38" i="47" s="1"/>
  <c r="D38" i="47"/>
  <c r="D33" i="47"/>
  <c r="E29" i="47"/>
  <c r="E28" i="47" s="1"/>
  <c r="D28" i="47"/>
  <c r="E26" i="47"/>
  <c r="E25" i="47"/>
  <c r="E24" i="47"/>
  <c r="E23" i="47" s="1"/>
  <c r="E22" i="47" s="1"/>
  <c r="D23" i="47"/>
  <c r="D22" i="47"/>
  <c r="D19" i="47"/>
  <c r="D14" i="47"/>
  <c r="E38" i="48"/>
  <c r="E37" i="48" s="1"/>
  <c r="D37" i="48"/>
  <c r="D32" i="48"/>
  <c r="E28" i="48"/>
  <c r="E27" i="48" s="1"/>
  <c r="D27" i="48"/>
  <c r="E25" i="48"/>
  <c r="E24" i="48"/>
  <c r="E23" i="48"/>
  <c r="E22" i="48" s="1"/>
  <c r="E21" i="48" s="1"/>
  <c r="D22" i="48"/>
  <c r="D21" i="48"/>
  <c r="D16" i="48"/>
  <c r="D18" i="48" s="1"/>
  <c r="E40" i="49"/>
  <c r="E39" i="49" s="1"/>
  <c r="D39" i="49"/>
  <c r="D33" i="49"/>
  <c r="E29" i="49"/>
  <c r="E28" i="49" s="1"/>
  <c r="D28" i="49"/>
  <c r="E26" i="49"/>
  <c r="E25" i="49"/>
  <c r="E24" i="49"/>
  <c r="E23" i="49"/>
  <c r="E22" i="49" s="1"/>
  <c r="E21" i="49" s="1"/>
  <c r="D22" i="49"/>
  <c r="D21" i="49"/>
  <c r="D16" i="49"/>
  <c r="D18" i="49" s="1"/>
  <c r="E39" i="50"/>
  <c r="E38" i="50" s="1"/>
  <c r="D38" i="50"/>
  <c r="D33" i="50"/>
  <c r="E29" i="50"/>
  <c r="D29" i="50"/>
  <c r="E28" i="50"/>
  <c r="D28" i="50"/>
  <c r="E26" i="50"/>
  <c r="D25" i="50"/>
  <c r="E25" i="50" s="1"/>
  <c r="D24" i="50"/>
  <c r="E24" i="50" s="1"/>
  <c r="D23" i="50"/>
  <c r="E23" i="50" s="1"/>
  <c r="E22" i="50" s="1"/>
  <c r="E21" i="50" s="1"/>
  <c r="D22" i="50"/>
  <c r="D21" i="50"/>
  <c r="D16" i="50"/>
  <c r="D18" i="50" s="1"/>
  <c r="E40" i="51"/>
  <c r="E39" i="51" s="1"/>
  <c r="D39" i="51"/>
  <c r="D33" i="51"/>
  <c r="D29" i="51"/>
  <c r="E29" i="51" s="1"/>
  <c r="E28" i="51" s="1"/>
  <c r="D28" i="51"/>
  <c r="E26" i="51"/>
  <c r="E25" i="51"/>
  <c r="E24" i="51"/>
  <c r="D23" i="51"/>
  <c r="E23" i="51" s="1"/>
  <c r="E22" i="51" s="1"/>
  <c r="E21" i="51" s="1"/>
  <c r="D22" i="51"/>
  <c r="D21" i="51"/>
  <c r="D16" i="51"/>
  <c r="D18" i="51" s="1"/>
  <c r="E39" i="52"/>
  <c r="E38" i="52" s="1"/>
  <c r="D38" i="52"/>
  <c r="D32" i="52"/>
  <c r="D28" i="52"/>
  <c r="E28" i="52" s="1"/>
  <c r="E27" i="52" s="1"/>
  <c r="D27" i="52"/>
  <c r="E25" i="52"/>
  <c r="D24" i="52"/>
  <c r="E24" i="52" s="1"/>
  <c r="D23" i="52"/>
  <c r="E23" i="52" s="1"/>
  <c r="D22" i="52"/>
  <c r="E22" i="52" s="1"/>
  <c r="E21" i="52" s="1"/>
  <c r="E20" i="52" s="1"/>
  <c r="D21" i="52"/>
  <c r="D20" i="52"/>
  <c r="D15" i="52"/>
  <c r="D17" i="52" s="1"/>
  <c r="E40" i="53"/>
  <c r="E39" i="53" s="1"/>
  <c r="D39" i="53"/>
  <c r="D34" i="53"/>
  <c r="D33" i="53"/>
  <c r="D28" i="53"/>
  <c r="E28" i="53" s="1"/>
  <c r="E27" i="53" s="1"/>
  <c r="D25" i="53"/>
  <c r="E25" i="53" s="1"/>
  <c r="E24" i="53"/>
  <c r="E23" i="53"/>
  <c r="D22" i="53"/>
  <c r="E22" i="53" s="1"/>
  <c r="E21" i="53" s="1"/>
  <c r="E20" i="53" s="1"/>
  <c r="D16" i="53"/>
  <c r="D15" i="53"/>
  <c r="D17" i="53" s="1"/>
  <c r="E39" i="45"/>
  <c r="E38" i="45" s="1"/>
  <c r="D38" i="45"/>
  <c r="D32" i="45"/>
  <c r="E28" i="45"/>
  <c r="D28" i="45"/>
  <c r="E27" i="45"/>
  <c r="D27" i="45"/>
  <c r="D23" i="45"/>
  <c r="E23" i="45" s="1"/>
  <c r="E22" i="45" s="1"/>
  <c r="E21" i="45" s="1"/>
  <c r="D16" i="45"/>
  <c r="D18" i="45" s="1"/>
  <c r="E40" i="39"/>
  <c r="E39" i="39" s="1"/>
  <c r="D39" i="39"/>
  <c r="D34" i="39"/>
  <c r="D29" i="39"/>
  <c r="E29" i="39" s="1"/>
  <c r="E28" i="39" s="1"/>
  <c r="D28" i="39"/>
  <c r="D26" i="39"/>
  <c r="D23" i="39"/>
  <c r="E23" i="39" s="1"/>
  <c r="E22" i="39" s="1"/>
  <c r="E21" i="39" s="1"/>
  <c r="D17" i="39"/>
  <c r="D16" i="39"/>
  <c r="D18" i="39" s="1"/>
  <c r="D13" i="39"/>
  <c r="E39" i="40"/>
  <c r="E38" i="40" s="1"/>
  <c r="D38" i="40"/>
  <c r="D32" i="40"/>
  <c r="D28" i="40"/>
  <c r="E28" i="40" s="1"/>
  <c r="E27" i="40" s="1"/>
  <c r="D27" i="40"/>
  <c r="E25" i="40"/>
  <c r="E24" i="40"/>
  <c r="D23" i="40"/>
  <c r="E23" i="40" s="1"/>
  <c r="D22" i="40"/>
  <c r="E22" i="40" s="1"/>
  <c r="E21" i="40" s="1"/>
  <c r="E20" i="40" s="1"/>
  <c r="D15" i="40"/>
  <c r="D47" i="40" s="1"/>
  <c r="D14" i="40"/>
  <c r="E40" i="41"/>
  <c r="E39" i="41" s="1"/>
  <c r="D39" i="41"/>
  <c r="D33" i="41"/>
  <c r="D29" i="41"/>
  <c r="E29" i="41" s="1"/>
  <c r="E28" i="41" s="1"/>
  <c r="D28" i="41"/>
  <c r="D26" i="41"/>
  <c r="E26" i="41" s="1"/>
  <c r="D25" i="41"/>
  <c r="E25" i="41" s="1"/>
  <c r="D24" i="41"/>
  <c r="E24" i="41" s="1"/>
  <c r="E23" i="41" s="1"/>
  <c r="E22" i="41" s="1"/>
  <c r="D17" i="41"/>
  <c r="D19" i="41" s="1"/>
  <c r="E40" i="42"/>
  <c r="E39" i="42" s="1"/>
  <c r="D39" i="42"/>
  <c r="D32" i="42"/>
  <c r="D27" i="42"/>
  <c r="E27" i="42" s="1"/>
  <c r="E26" i="42" s="1"/>
  <c r="D26" i="42"/>
  <c r="D22" i="42"/>
  <c r="E22" i="42" s="1"/>
  <c r="E21" i="42" s="1"/>
  <c r="E20" i="42" s="1"/>
  <c r="D16" i="42"/>
  <c r="D15" i="42"/>
  <c r="D17" i="42" s="1"/>
  <c r="E39" i="43"/>
  <c r="E38" i="43" s="1"/>
  <c r="D38" i="43"/>
  <c r="D34" i="43"/>
  <c r="D33" i="43"/>
  <c r="D29" i="43"/>
  <c r="E29" i="43" s="1"/>
  <c r="E28" i="43" s="1"/>
  <c r="D28" i="43"/>
  <c r="D26" i="43"/>
  <c r="E26" i="43" s="1"/>
  <c r="D25" i="43"/>
  <c r="E25" i="43" s="1"/>
  <c r="D24" i="43"/>
  <c r="E24" i="43" s="1"/>
  <c r="E23" i="43" s="1"/>
  <c r="E22" i="43" s="1"/>
  <c r="D17" i="43"/>
  <c r="D19" i="43" s="1"/>
  <c r="E41" i="44"/>
  <c r="E40" i="44" s="1"/>
  <c r="D40" i="44"/>
  <c r="D32" i="44"/>
  <c r="E28" i="44"/>
  <c r="E27" i="44" s="1"/>
  <c r="D27" i="44"/>
  <c r="E25" i="44"/>
  <c r="E24" i="44"/>
  <c r="E23" i="44"/>
  <c r="E22" i="44"/>
  <c r="E21" i="44" s="1"/>
  <c r="E20" i="44" s="1"/>
  <c r="D21" i="44"/>
  <c r="D20" i="44"/>
  <c r="D16" i="44"/>
  <c r="D15" i="44"/>
  <c r="D17" i="44" s="1"/>
  <c r="D40" i="10"/>
  <c r="E40" i="10" s="1"/>
  <c r="E39" i="10" s="1"/>
  <c r="D34" i="10"/>
  <c r="D32" i="10"/>
  <c r="D27" i="10"/>
  <c r="E27" i="10" s="1"/>
  <c r="E26" i="10" s="1"/>
  <c r="E25" i="10"/>
  <c r="E24" i="10"/>
  <c r="E23" i="10"/>
  <c r="D22" i="10"/>
  <c r="E22" i="10" s="1"/>
  <c r="E21" i="10" s="1"/>
  <c r="E20" i="10" s="1"/>
  <c r="D15" i="10"/>
  <c r="D17" i="10" s="1"/>
  <c r="D41" i="12"/>
  <c r="E41" i="12" s="1"/>
  <c r="E40" i="12" s="1"/>
  <c r="D35" i="12"/>
  <c r="D33" i="12"/>
  <c r="D28" i="12"/>
  <c r="E28" i="12" s="1"/>
  <c r="E27" i="12" s="1"/>
  <c r="D25" i="12"/>
  <c r="E25" i="12" s="1"/>
  <c r="E24" i="12"/>
  <c r="E23" i="12"/>
  <c r="D22" i="12"/>
  <c r="E22" i="12" s="1"/>
  <c r="D21" i="12"/>
  <c r="D20" i="12" s="1"/>
  <c r="D15" i="12"/>
  <c r="D17" i="12" s="1"/>
  <c r="D41" i="11"/>
  <c r="E41" i="11" s="1"/>
  <c r="E40" i="11" s="1"/>
  <c r="D35" i="11"/>
  <c r="D33" i="11"/>
  <c r="D28" i="11"/>
  <c r="E28" i="11" s="1"/>
  <c r="E27" i="11" s="1"/>
  <c r="E25" i="11"/>
  <c r="E24" i="11"/>
  <c r="E23" i="11"/>
  <c r="D22" i="11"/>
  <c r="E22" i="11" s="1"/>
  <c r="E21" i="11" s="1"/>
  <c r="E20" i="11" s="1"/>
  <c r="D21" i="11"/>
  <c r="D20" i="11"/>
  <c r="D15" i="11"/>
  <c r="D17" i="11" s="1"/>
  <c r="D39" i="8"/>
  <c r="E39" i="8" s="1"/>
  <c r="E38" i="8" s="1"/>
  <c r="D38" i="8"/>
  <c r="D34" i="8"/>
  <c r="D33" i="8"/>
  <c r="D29" i="8"/>
  <c r="E29" i="8" s="1"/>
  <c r="E28" i="8" s="1"/>
  <c r="D28" i="8"/>
  <c r="E26" i="8"/>
  <c r="D25" i="8"/>
  <c r="E25" i="8" s="1"/>
  <c r="D24" i="8"/>
  <c r="E24" i="8" s="1"/>
  <c r="D23" i="8"/>
  <c r="E23" i="8" s="1"/>
  <c r="E22" i="8" s="1"/>
  <c r="E21" i="8" s="1"/>
  <c r="D22" i="8"/>
  <c r="D21" i="8"/>
  <c r="D16" i="8"/>
  <c r="D18" i="8" s="1"/>
  <c r="D39" i="9"/>
  <c r="E39" i="9" s="1"/>
  <c r="E38" i="9" s="1"/>
  <c r="D38" i="9"/>
  <c r="D28" i="9"/>
  <c r="E28" i="9" s="1"/>
  <c r="E27" i="9" s="1"/>
  <c r="D27" i="9"/>
  <c r="D25" i="9"/>
  <c r="E25" i="9" s="1"/>
  <c r="E24" i="9"/>
  <c r="E23" i="9"/>
  <c r="D22" i="9"/>
  <c r="E22" i="9" s="1"/>
  <c r="D21" i="9"/>
  <c r="D20" i="9" s="1"/>
  <c r="D16" i="9"/>
  <c r="D17" i="9" s="1"/>
  <c r="D40" i="6"/>
  <c r="E40" i="6" s="1"/>
  <c r="E39" i="6" s="1"/>
  <c r="D39" i="6"/>
  <c r="D35" i="6"/>
  <c r="D33" i="6"/>
  <c r="E29" i="6"/>
  <c r="D29" i="6"/>
  <c r="E28" i="6"/>
  <c r="D28" i="6"/>
  <c r="E26" i="6"/>
  <c r="D25" i="6"/>
  <c r="E25" i="6" s="1"/>
  <c r="D24" i="6"/>
  <c r="E24" i="6" s="1"/>
  <c r="D23" i="6"/>
  <c r="E23" i="6" s="1"/>
  <c r="D22" i="6"/>
  <c r="D21" i="6" s="1"/>
  <c r="D16" i="6"/>
  <c r="D18" i="6" s="1"/>
  <c r="E22" i="36" l="1"/>
  <c r="E21" i="36" s="1"/>
  <c r="E20" i="58"/>
  <c r="E19" i="58" s="1"/>
  <c r="E19" i="60"/>
  <c r="E18" i="60" s="1"/>
  <c r="D39" i="2"/>
  <c r="E25" i="5"/>
  <c r="E24" i="5" s="1"/>
  <c r="D23" i="43"/>
  <c r="D22" i="43" s="1"/>
  <c r="D23" i="41"/>
  <c r="D22" i="41" s="1"/>
  <c r="D22" i="45"/>
  <c r="D21" i="45" s="1"/>
  <c r="D21" i="5"/>
  <c r="F21" i="59"/>
  <c r="F20" i="59" s="1"/>
  <c r="E21" i="37"/>
  <c r="E20" i="37" s="1"/>
  <c r="E21" i="35"/>
  <c r="E20" i="35" s="1"/>
  <c r="E21" i="14"/>
  <c r="E20" i="14" s="1"/>
  <c r="D41" i="16"/>
  <c r="E21" i="17"/>
  <c r="E20" i="17" s="1"/>
  <c r="D21" i="53"/>
  <c r="D20" i="53" s="1"/>
  <c r="D27" i="53"/>
  <c r="D22" i="39"/>
  <c r="D21" i="39" s="1"/>
  <c r="D21" i="40"/>
  <c r="D20" i="40" s="1"/>
  <c r="D21" i="42"/>
  <c r="D20" i="42" s="1"/>
  <c r="D21" i="10"/>
  <c r="D20" i="10" s="1"/>
  <c r="D26" i="10"/>
  <c r="D39" i="10"/>
  <c r="D27" i="12"/>
  <c r="D40" i="12"/>
  <c r="D27" i="11"/>
  <c r="D40" i="11"/>
  <c r="D43" i="2"/>
  <c r="D33" i="2"/>
  <c r="D32" i="2" s="1"/>
  <c r="E23" i="2"/>
  <c r="E22" i="2" s="1"/>
  <c r="E31" i="59"/>
  <c r="E30" i="59" s="1"/>
  <c r="E41" i="59" s="1"/>
  <c r="E43" i="59" s="1"/>
  <c r="E45" i="59" s="1"/>
  <c r="E46" i="59" s="1"/>
  <c r="E42" i="59"/>
  <c r="D16" i="61"/>
  <c r="D43" i="60"/>
  <c r="D31" i="60"/>
  <c r="D30" i="60" s="1"/>
  <c r="D42" i="60" s="1"/>
  <c r="D44" i="60" s="1"/>
  <c r="D46" i="60" s="1"/>
  <c r="D47" i="60" s="1"/>
  <c r="D43" i="58"/>
  <c r="D32" i="58"/>
  <c r="D31" i="58" s="1"/>
  <c r="D42" i="58" s="1"/>
  <c r="D44" i="58" s="1"/>
  <c r="D46" i="58" s="1"/>
  <c r="D47" i="58" s="1"/>
  <c r="D43" i="57"/>
  <c r="D30" i="57"/>
  <c r="D29" i="57" s="1"/>
  <c r="D42" i="57" s="1"/>
  <c r="D44" i="57" s="1"/>
  <c r="D46" i="57" s="1"/>
  <c r="D47" i="57" s="1"/>
  <c r="D30" i="56"/>
  <c r="D29" i="56" s="1"/>
  <c r="D42" i="56"/>
  <c r="D41" i="56"/>
  <c r="D43" i="55"/>
  <c r="D32" i="55"/>
  <c r="D31" i="55" s="1"/>
  <c r="D42" i="55" s="1"/>
  <c r="D19" i="54"/>
  <c r="D43" i="22"/>
  <c r="D32" i="22"/>
  <c r="D31" i="22" s="1"/>
  <c r="D42" i="22" s="1"/>
  <c r="D43" i="36"/>
  <c r="D32" i="36"/>
  <c r="D31" i="36" s="1"/>
  <c r="D42" i="36" s="1"/>
  <c r="D44" i="36" s="1"/>
  <c r="D46" i="36" s="1"/>
  <c r="D47" i="36" s="1"/>
  <c r="D17" i="37"/>
  <c r="D17" i="35"/>
  <c r="D43" i="34"/>
  <c r="D33" i="34"/>
  <c r="D32" i="34" s="1"/>
  <c r="D42" i="34" s="1"/>
  <c r="D44" i="34" s="1"/>
  <c r="D46" i="34" s="1"/>
  <c r="D47" i="34" s="1"/>
  <c r="D17" i="33"/>
  <c r="D41" i="23"/>
  <c r="D31" i="23"/>
  <c r="D30" i="23" s="1"/>
  <c r="D40" i="23" s="1"/>
  <c r="D42" i="24"/>
  <c r="D31" i="24"/>
  <c r="D30" i="24" s="1"/>
  <c r="D41" i="24" s="1"/>
  <c r="D42" i="25"/>
  <c r="D31" i="25"/>
  <c r="D30" i="25" s="1"/>
  <c r="D41" i="25" s="1"/>
  <c r="D42" i="26"/>
  <c r="D32" i="26"/>
  <c r="D31" i="26" s="1"/>
  <c r="D41" i="26" s="1"/>
  <c r="D43" i="27"/>
  <c r="D32" i="27"/>
  <c r="D31" i="27" s="1"/>
  <c r="D42" i="27" s="1"/>
  <c r="D32" i="28"/>
  <c r="D31" i="28" s="1"/>
  <c r="D41" i="28" s="1"/>
  <c r="D43" i="28" s="1"/>
  <c r="D45" i="28" s="1"/>
  <c r="D46" i="28" s="1"/>
  <c r="D42" i="28"/>
  <c r="D42" i="29"/>
  <c r="D31" i="29"/>
  <c r="D30" i="29" s="1"/>
  <c r="D41" i="29" s="1"/>
  <c r="D43" i="30"/>
  <c r="D33" i="30"/>
  <c r="D32" i="30" s="1"/>
  <c r="D42" i="30" s="1"/>
  <c r="D42" i="31"/>
  <c r="D32" i="31"/>
  <c r="D31" i="31" s="1"/>
  <c r="D41" i="31" s="1"/>
  <c r="D43" i="31" s="1"/>
  <c r="D45" i="31" s="1"/>
  <c r="D46" i="31" s="1"/>
  <c r="D43" i="32"/>
  <c r="D32" i="32"/>
  <c r="D31" i="32" s="1"/>
  <c r="D42" i="32" s="1"/>
  <c r="D44" i="32" s="1"/>
  <c r="D46" i="32" s="1"/>
  <c r="D47" i="32" s="1"/>
  <c r="D33" i="4"/>
  <c r="D32" i="4" s="1"/>
  <c r="D41" i="4" s="1"/>
  <c r="D42" i="4"/>
  <c r="D42" i="13"/>
  <c r="D31" i="13"/>
  <c r="D30" i="13" s="1"/>
  <c r="D41" i="13" s="1"/>
  <c r="D43" i="13" s="1"/>
  <c r="D45" i="13" s="1"/>
  <c r="D46" i="13" s="1"/>
  <c r="D17" i="14"/>
  <c r="D42" i="15"/>
  <c r="D30" i="15"/>
  <c r="D29" i="15" s="1"/>
  <c r="D41" i="15" s="1"/>
  <c r="D42" i="16"/>
  <c r="D43" i="16" s="1"/>
  <c r="D45" i="16" s="1"/>
  <c r="D46" i="16" s="1"/>
  <c r="D18" i="19"/>
  <c r="D43" i="20"/>
  <c r="D31" i="20"/>
  <c r="D30" i="20" s="1"/>
  <c r="D42" i="20" s="1"/>
  <c r="D44" i="20" s="1"/>
  <c r="D46" i="20" s="1"/>
  <c r="D47" i="20" s="1"/>
  <c r="D42" i="18"/>
  <c r="D30" i="18"/>
  <c r="D29" i="18" s="1"/>
  <c r="D41" i="18" s="1"/>
  <c r="D43" i="18" s="1"/>
  <c r="D45" i="18" s="1"/>
  <c r="D46" i="18" s="1"/>
  <c r="D43" i="17"/>
  <c r="D31" i="17"/>
  <c r="D30" i="17" s="1"/>
  <c r="D42" i="17" s="1"/>
  <c r="D44" i="17" s="1"/>
  <c r="D46" i="17" s="1"/>
  <c r="D47" i="17" s="1"/>
  <c r="E43" i="3"/>
  <c r="E31" i="3"/>
  <c r="E30" i="3" s="1"/>
  <c r="E42" i="3" s="1"/>
  <c r="E44" i="3" s="1"/>
  <c r="E46" i="3" s="1"/>
  <c r="E47" i="3" s="1"/>
  <c r="D46" i="38"/>
  <c r="D34" i="38"/>
  <c r="D33" i="38" s="1"/>
  <c r="D45" i="38" s="1"/>
  <c r="D47" i="38" s="1"/>
  <c r="D49" i="38" s="1"/>
  <c r="D50" i="38" s="1"/>
  <c r="D18" i="46"/>
  <c r="D41" i="47"/>
  <c r="D32" i="47"/>
  <c r="D31" i="47" s="1"/>
  <c r="D42" i="47"/>
  <c r="D41" i="48"/>
  <c r="D31" i="48"/>
  <c r="D30" i="48" s="1"/>
  <c r="D40" i="48" s="1"/>
  <c r="D42" i="48" s="1"/>
  <c r="D44" i="48" s="1"/>
  <c r="D45" i="48" s="1"/>
  <c r="D43" i="49"/>
  <c r="D32" i="49"/>
  <c r="D31" i="49" s="1"/>
  <c r="D42" i="49" s="1"/>
  <c r="D44" i="49" s="1"/>
  <c r="D46" i="49" s="1"/>
  <c r="D47" i="49" s="1"/>
  <c r="D42" i="50"/>
  <c r="D32" i="50"/>
  <c r="D31" i="50" s="1"/>
  <c r="D41" i="50" s="1"/>
  <c r="D43" i="50" s="1"/>
  <c r="D45" i="50" s="1"/>
  <c r="D46" i="50" s="1"/>
  <c r="D43" i="51"/>
  <c r="D32" i="51"/>
  <c r="D31" i="51" s="1"/>
  <c r="D42" i="51" s="1"/>
  <c r="D42" i="52"/>
  <c r="D31" i="52"/>
  <c r="D30" i="52" s="1"/>
  <c r="D41" i="52" s="1"/>
  <c r="D43" i="52" s="1"/>
  <c r="D45" i="52" s="1"/>
  <c r="D46" i="52" s="1"/>
  <c r="D43" i="53"/>
  <c r="D32" i="53"/>
  <c r="D31" i="53" s="1"/>
  <c r="D42" i="53" s="1"/>
  <c r="D44" i="53" s="1"/>
  <c r="D46" i="53" s="1"/>
  <c r="D47" i="53" s="1"/>
  <c r="D42" i="45"/>
  <c r="D31" i="45"/>
  <c r="D30" i="45" s="1"/>
  <c r="D41" i="45" s="1"/>
  <c r="D43" i="45" s="1"/>
  <c r="D45" i="45" s="1"/>
  <c r="D46" i="45" s="1"/>
  <c r="D43" i="39"/>
  <c r="D33" i="39"/>
  <c r="D32" i="39" s="1"/>
  <c r="D42" i="39" s="1"/>
  <c r="D44" i="39" s="1"/>
  <c r="D46" i="39" s="1"/>
  <c r="D47" i="39" s="1"/>
  <c r="D17" i="40"/>
  <c r="D43" i="41"/>
  <c r="D32" i="41"/>
  <c r="D31" i="41" s="1"/>
  <c r="D42" i="41" s="1"/>
  <c r="D43" i="42"/>
  <c r="D31" i="42"/>
  <c r="D30" i="42" s="1"/>
  <c r="D42" i="42"/>
  <c r="D44" i="42" s="1"/>
  <c r="D46" i="42" s="1"/>
  <c r="D47" i="42" s="1"/>
  <c r="D42" i="43"/>
  <c r="D32" i="43"/>
  <c r="D31" i="43" s="1"/>
  <c r="D41" i="43" s="1"/>
  <c r="D43" i="43" s="1"/>
  <c r="D45" i="43" s="1"/>
  <c r="D46" i="43" s="1"/>
  <c r="D44" i="44"/>
  <c r="D31" i="44"/>
  <c r="D30" i="44" s="1"/>
  <c r="D43" i="44" s="1"/>
  <c r="D45" i="44" s="1"/>
  <c r="D47" i="44" s="1"/>
  <c r="D48" i="44" s="1"/>
  <c r="D43" i="10"/>
  <c r="D31" i="10"/>
  <c r="D30" i="10" s="1"/>
  <c r="D42" i="10" s="1"/>
  <c r="D44" i="10" s="1"/>
  <c r="D46" i="10" s="1"/>
  <c r="D47" i="10" s="1"/>
  <c r="D44" i="12"/>
  <c r="D32" i="12"/>
  <c r="D31" i="12" s="1"/>
  <c r="E21" i="12"/>
  <c r="E20" i="12" s="1"/>
  <c r="D44" i="11"/>
  <c r="D32" i="11"/>
  <c r="D31" i="11" s="1"/>
  <c r="D43" i="11" s="1"/>
  <c r="D42" i="8"/>
  <c r="D32" i="8"/>
  <c r="D31" i="8" s="1"/>
  <c r="D41" i="8" s="1"/>
  <c r="D42" i="9"/>
  <c r="D31" i="9"/>
  <c r="D30" i="9" s="1"/>
  <c r="E21" i="9"/>
  <c r="E20" i="9" s="1"/>
  <c r="D41" i="9" s="1"/>
  <c r="D43" i="9" s="1"/>
  <c r="D45" i="9" s="1"/>
  <c r="D46" i="9" s="1"/>
  <c r="D43" i="6"/>
  <c r="D32" i="6"/>
  <c r="D31" i="6" s="1"/>
  <c r="E22" i="6"/>
  <c r="E21" i="6" s="1"/>
  <c r="D43" i="8" l="1"/>
  <c r="D45" i="8" s="1"/>
  <c r="D46" i="8" s="1"/>
  <c r="D45" i="11"/>
  <c r="D46" i="11" s="1"/>
  <c r="D47" i="11" s="1"/>
  <c r="D44" i="41"/>
  <c r="D46" i="41" s="1"/>
  <c r="D47" i="41" s="1"/>
  <c r="D44" i="30"/>
  <c r="D46" i="30" s="1"/>
  <c r="D47" i="30" s="1"/>
  <c r="D43" i="29"/>
  <c r="D45" i="29" s="1"/>
  <c r="D46" i="29" s="1"/>
  <c r="D44" i="27"/>
  <c r="D46" i="27" s="1"/>
  <c r="D47" i="27" s="1"/>
  <c r="D43" i="26"/>
  <c r="D45" i="26" s="1"/>
  <c r="D46" i="26" s="1"/>
  <c r="D43" i="25"/>
  <c r="D45" i="25" s="1"/>
  <c r="D46" i="25" s="1"/>
  <c r="D43" i="24"/>
  <c r="D45" i="24" s="1"/>
  <c r="D46" i="24" s="1"/>
  <c r="D42" i="23"/>
  <c r="D44" i="23" s="1"/>
  <c r="D45" i="23" s="1"/>
  <c r="D44" i="55"/>
  <c r="D46" i="55" s="1"/>
  <c r="D47" i="55" s="1"/>
  <c r="D43" i="56"/>
  <c r="D45" i="56" s="1"/>
  <c r="D46" i="56" s="1"/>
  <c r="D43" i="15"/>
  <c r="D45" i="15" s="1"/>
  <c r="D46" i="15" s="1"/>
  <c r="D43" i="4"/>
  <c r="D45" i="4" s="1"/>
  <c r="D46" i="4" s="1"/>
  <c r="D35" i="5"/>
  <c r="D34" i="5" s="1"/>
  <c r="D45" i="5" s="1"/>
  <c r="D47" i="5" s="1"/>
  <c r="D49" i="5" s="1"/>
  <c r="D50" i="5" s="1"/>
  <c r="D46" i="5"/>
  <c r="D44" i="22"/>
  <c r="D46" i="22" s="1"/>
  <c r="D47" i="22" s="1"/>
  <c r="D42" i="2"/>
  <c r="D44" i="2" s="1"/>
  <c r="D46" i="2" s="1"/>
  <c r="D47" i="2" s="1"/>
  <c r="D43" i="12"/>
  <c r="D45" i="12" s="1"/>
  <c r="D46" i="12" s="1"/>
  <c r="D47" i="12" s="1"/>
  <c r="D42" i="6"/>
  <c r="D44" i="6" s="1"/>
  <c r="D46" i="6" s="1"/>
  <c r="D47" i="6" s="1"/>
  <c r="D31" i="61"/>
  <c r="D30" i="61" s="1"/>
  <c r="D42" i="61" s="1"/>
  <c r="D44" i="61" s="1"/>
  <c r="D46" i="61" s="1"/>
  <c r="D47" i="61" s="1"/>
  <c r="D43" i="61"/>
  <c r="D33" i="54"/>
  <c r="D32" i="54" s="1"/>
  <c r="D42" i="54" s="1"/>
  <c r="D44" i="54" s="1"/>
  <c r="D46" i="54" s="1"/>
  <c r="D47" i="54" s="1"/>
  <c r="D43" i="54"/>
  <c r="D32" i="37"/>
  <c r="D31" i="37" s="1"/>
  <c r="D42" i="37" s="1"/>
  <c r="D44" i="37" s="1"/>
  <c r="D46" i="37" s="1"/>
  <c r="D47" i="37" s="1"/>
  <c r="D43" i="37"/>
  <c r="D41" i="35"/>
  <c r="D30" i="35"/>
  <c r="D29" i="35" s="1"/>
  <c r="D40" i="35" s="1"/>
  <c r="D42" i="33"/>
  <c r="D32" i="33"/>
  <c r="D31" i="33" s="1"/>
  <c r="D41" i="33" s="1"/>
  <c r="D31" i="14"/>
  <c r="D30" i="14" s="1"/>
  <c r="D42" i="14" s="1"/>
  <c r="D44" i="14" s="1"/>
  <c r="D46" i="14" s="1"/>
  <c r="D47" i="14" s="1"/>
  <c r="D43" i="14"/>
  <c r="D42" i="19"/>
  <c r="D31" i="19"/>
  <c r="D30" i="19" s="1"/>
  <c r="D41" i="19" s="1"/>
  <c r="D42" i="46"/>
  <c r="D31" i="46"/>
  <c r="D30" i="46" s="1"/>
  <c r="D41" i="46" s="1"/>
  <c r="D43" i="47"/>
  <c r="D45" i="47" s="1"/>
  <c r="D46" i="47" s="1"/>
  <c r="D44" i="51"/>
  <c r="D46" i="51" s="1"/>
  <c r="D47" i="51" s="1"/>
  <c r="D42" i="40"/>
  <c r="D31" i="40"/>
  <c r="D30" i="40" s="1"/>
  <c r="D41" i="40" s="1"/>
  <c r="D43" i="40" l="1"/>
  <c r="D45" i="40" s="1"/>
  <c r="D46" i="40" s="1"/>
  <c r="D43" i="46"/>
  <c r="D45" i="46" s="1"/>
  <c r="D46" i="46" s="1"/>
  <c r="D43" i="19"/>
  <c r="D45" i="19" s="1"/>
  <c r="D46" i="19" s="1"/>
  <c r="D42" i="35"/>
  <c r="D44" i="35" s="1"/>
  <c r="D45" i="35" s="1"/>
  <c r="D43" i="33"/>
  <c r="D45" i="33" s="1"/>
  <c r="D46" i="33" s="1"/>
</calcChain>
</file>

<file path=xl/sharedStrings.xml><?xml version="1.0" encoding="utf-8"?>
<sst xmlns="http://schemas.openxmlformats.org/spreadsheetml/2006/main" count="3713" uniqueCount="215">
  <si>
    <t xml:space="preserve">                                                      АНАЛИЗ</t>
  </si>
  <si>
    <t xml:space="preserve">         расходов на содержание и обслуживание жилого фонда по ООО "ДУ-8"</t>
  </si>
  <si>
    <t xml:space="preserve">                                    </t>
  </si>
  <si>
    <t xml:space="preserve">Наименование </t>
  </si>
  <si>
    <t>Ед.</t>
  </si>
  <si>
    <t>Факт</t>
  </si>
  <si>
    <t>статей</t>
  </si>
  <si>
    <t>изм.</t>
  </si>
  <si>
    <t>Остаток средств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</si>
  <si>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</si>
  <si>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</si>
  <si>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</si>
  <si>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</si>
  <si>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</si>
  <si>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</si>
  <si>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</t>
  </si>
  <si>
    <t>Текущий ремонт</t>
  </si>
  <si>
    <t>Итого доходы:</t>
  </si>
  <si>
    <t>РАСХОДЫ:</t>
  </si>
  <si>
    <t>отчисл.</t>
  </si>
  <si>
    <t>I</t>
  </si>
  <si>
    <t>Обслуживающий персонал:</t>
  </si>
  <si>
    <t>Оплата труда :</t>
  </si>
  <si>
    <t>дворник</t>
  </si>
  <si>
    <t>уборщик лест.клеток</t>
  </si>
  <si>
    <t>уборщик мусоропров.</t>
  </si>
  <si>
    <t>Материалы</t>
  </si>
  <si>
    <t>II</t>
  </si>
  <si>
    <t>Служба эксплуатации</t>
  </si>
  <si>
    <t>оплата труда рабочих(сант.элект.плотн.)</t>
  </si>
  <si>
    <t>III</t>
  </si>
  <si>
    <t>Расходы по договорам:</t>
  </si>
  <si>
    <t>оплата услуг (Банк,почта)</t>
  </si>
  <si>
    <t>дезинсекция</t>
  </si>
  <si>
    <t>аварийная служба</t>
  </si>
  <si>
    <t>ремонт оборудования</t>
  </si>
  <si>
    <t>покупка оборудования</t>
  </si>
  <si>
    <t>тех.обслуж.приборов</t>
  </si>
  <si>
    <t>транспортные расходы</t>
  </si>
  <si>
    <t>Общеэксплуатационные расходы</t>
  </si>
  <si>
    <t>зарплата АУП</t>
  </si>
  <si>
    <t>общехозяйственные расходы</t>
  </si>
  <si>
    <t>Всего расходов по эксплуатации</t>
  </si>
  <si>
    <t>Налог 6%</t>
  </si>
  <si>
    <t>Всего расходов по себестоимости</t>
  </si>
  <si>
    <t>Финансовый результат за 2 полугодие</t>
  </si>
  <si>
    <t>Фин. результат с нарастающим итогом</t>
  </si>
  <si>
    <t>Директор ООО "ДУ-8"</t>
  </si>
  <si>
    <t>Галиулин Д.Г.</t>
  </si>
  <si>
    <t>Гл.бухгалтер</t>
  </si>
  <si>
    <t>Аганов В.М.</t>
  </si>
  <si>
    <t xml:space="preserve">                                           </t>
  </si>
  <si>
    <t>изм</t>
  </si>
  <si>
    <t>измер.</t>
  </si>
  <si>
    <t>метр2</t>
  </si>
  <si>
    <t>руб</t>
  </si>
  <si>
    <t>ремонт канализации</t>
  </si>
  <si>
    <t>зарплата  АУП</t>
  </si>
  <si>
    <t xml:space="preserve"> расходов на содержание и обслуживание жилого фонда по ООО "ДУ-8"</t>
  </si>
  <si>
    <t xml:space="preserve">                                              </t>
  </si>
  <si>
    <t xml:space="preserve">Остаток средств </t>
  </si>
  <si>
    <t>дератизация</t>
  </si>
  <si>
    <t>отчис.</t>
  </si>
  <si>
    <t>зарплпта АУП</t>
  </si>
  <si>
    <t xml:space="preserve">                                        </t>
  </si>
  <si>
    <t>Подготовка к отопительному сезону</t>
  </si>
  <si>
    <t>подряд.работы (гермет. швов)</t>
  </si>
  <si>
    <t>Остаток сроедств</t>
  </si>
  <si>
    <t>ремонт подъездов</t>
  </si>
  <si>
    <t>Подготовка к отопит.сезону</t>
  </si>
  <si>
    <t xml:space="preserve">    расходов на содержание и обслуживание жилого фонда по ООО "ДУ-8"</t>
  </si>
  <si>
    <t xml:space="preserve">                                             </t>
  </si>
  <si>
    <t>подрядн.работы (герм.швов)</t>
  </si>
  <si>
    <t>Остаток  средств</t>
  </si>
  <si>
    <t>ООО "Скартел"</t>
  </si>
  <si>
    <t>подряд.раб.(герм.швов,кровля)</t>
  </si>
  <si>
    <t>точка оплаты</t>
  </si>
  <si>
    <t xml:space="preserve">                                                </t>
  </si>
  <si>
    <t xml:space="preserve">  расходов на содержание и обслуживание жилого фонда по ООО "ДУ-8"</t>
  </si>
  <si>
    <t xml:space="preserve">                                            </t>
  </si>
  <si>
    <t>Начисление квартплаты</t>
  </si>
  <si>
    <t>покос травы</t>
  </si>
  <si>
    <t xml:space="preserve">                                               </t>
  </si>
  <si>
    <t>Фин.результат с нарастающим итогом</t>
  </si>
  <si>
    <t>Директор ООО"ДУ-8"</t>
  </si>
  <si>
    <t xml:space="preserve">                                     </t>
  </si>
  <si>
    <t>Устранение засоров</t>
  </si>
  <si>
    <t>Галиулин Д,Г,</t>
  </si>
  <si>
    <t xml:space="preserve">                                   </t>
  </si>
  <si>
    <t>IV</t>
  </si>
  <si>
    <t>V</t>
  </si>
  <si>
    <t>VI</t>
  </si>
  <si>
    <t>VII</t>
  </si>
  <si>
    <t>VIII</t>
  </si>
  <si>
    <t>IX</t>
  </si>
  <si>
    <t xml:space="preserve">                                      </t>
  </si>
  <si>
    <t>точка учета</t>
  </si>
  <si>
    <t xml:space="preserve">                                          </t>
  </si>
  <si>
    <t>Ед,</t>
  </si>
  <si>
    <t>горгаз</t>
  </si>
  <si>
    <t xml:space="preserve">                       за 2 полугодие 2011 г. жилого дома по ул.Абрикосовая, 18</t>
  </si>
  <si>
    <t>за 2 полугодие 2011г.</t>
  </si>
  <si>
    <t>Прочие доходы</t>
  </si>
  <si>
    <t xml:space="preserve">оплата труда </t>
  </si>
  <si>
    <t xml:space="preserve">              за 2 полугодие  2011 г. жилого дома по ул.Абрикосовая, 25</t>
  </si>
  <si>
    <t>оплата труда</t>
  </si>
  <si>
    <t>подряд.работы (уб.и вывоз мусора)</t>
  </si>
  <si>
    <t xml:space="preserve">   расходов на содержание и обслуживание жилого фонда по ООО "ДУ-8"</t>
  </si>
  <si>
    <t xml:space="preserve">            за 2 полугодие  2011 г. жилого дома по ул. Вишневая , 4.</t>
  </si>
  <si>
    <t xml:space="preserve">      за  2 полугодие  2011 г. жилого дома по ул. Вишневая , 10.</t>
  </si>
  <si>
    <t xml:space="preserve"> за 2 полугодие  2011г.</t>
  </si>
  <si>
    <t xml:space="preserve">           за 2 полугодие  2011 г. жилого дома по ул. Вишневая ,12. </t>
  </si>
  <si>
    <t>2 полугодие  2011г.</t>
  </si>
  <si>
    <t xml:space="preserve">                       за 2 полугодие  2011 г. жилого дома по ул. Вишневая ,13.</t>
  </si>
  <si>
    <t>2 полугодие 2011г.</t>
  </si>
  <si>
    <t xml:space="preserve">                       за 2 полугодие 2011 г. жилого дома по ул. Вишневая , 17.</t>
  </si>
  <si>
    <t xml:space="preserve"> 2 полугодие 2011г.</t>
  </si>
  <si>
    <t>уборщик  мусоропровода</t>
  </si>
  <si>
    <t>покос тарвы</t>
  </si>
  <si>
    <t>подряд.работы (ремонт)</t>
  </si>
  <si>
    <t xml:space="preserve">                       за 2 полугодие  2011 г. жилого дома по ул. Вишневая , 18.</t>
  </si>
  <si>
    <t xml:space="preserve">       расходов на содержание и обслуживание жилого фонда по ООО "ДУ-8"</t>
  </si>
  <si>
    <t xml:space="preserve">                   за 2 полугодие  2011 г. жилого дома по ул. Вишневая , 19.</t>
  </si>
  <si>
    <t xml:space="preserve">      расходов на содержание и обслуживание жилого фонда по ООО "ДУ-8"</t>
  </si>
  <si>
    <t xml:space="preserve">                  за 2 полугодие  2011 г. жилого дома по ул. Вишневая , 20.</t>
  </si>
  <si>
    <t xml:space="preserve">                       за 2 полугодие  2011 г. жилого дома по ул. Вишневая , 21.</t>
  </si>
  <si>
    <t>Остаток средств на содерж.ж.фонда</t>
  </si>
  <si>
    <t>Остаток средств на текущий ремонт</t>
  </si>
  <si>
    <t>подрядн.работы (мусорокам.)</t>
  </si>
  <si>
    <t xml:space="preserve">            за  2 полугодие 2011 г. жилого дома по ул. Вишневая , 22.</t>
  </si>
  <si>
    <t xml:space="preserve">                       за 2 полугодие 2011 г. жилого дома по ул. Вишневая , 23.</t>
  </si>
  <si>
    <t xml:space="preserve">                   за 2 полугодие  2011 г. жилого дома по ул. Вишневая , 24.</t>
  </si>
  <si>
    <t xml:space="preserve">                 за 2 полугодие 2011 г. жилого дома по ул.Вишневая , 25.</t>
  </si>
  <si>
    <t>2полугодие 2011г.</t>
  </si>
  <si>
    <t xml:space="preserve">                       за 2 полугодие  2011 г. жилого дома по ул. Вишневая , 26.</t>
  </si>
  <si>
    <t xml:space="preserve">                       за 2 полугодие 2011 г. жилого дома по ул. Вишневая , 27.</t>
  </si>
  <si>
    <t xml:space="preserve">                       за  2 полугодие 2011 г. жилого дома по ул. Вишневая , 28.</t>
  </si>
  <si>
    <t xml:space="preserve">                       за 2 полугодие  2011 г. жилого дома по ул. Вишневая , 30.</t>
  </si>
  <si>
    <t xml:space="preserve">                       за 2 полугодие  2011 г. жилого дома по ул. Вишневая , 32.</t>
  </si>
  <si>
    <t xml:space="preserve">                       за 2 полугодие  2011 г. жилого дома по ул. Вишневая , 34.</t>
  </si>
  <si>
    <t xml:space="preserve">                       за  2 полугодие 2011 г. жилого дома по ул. Вишневая , 36.</t>
  </si>
  <si>
    <t>Текущий  ремонт ( оплата)</t>
  </si>
  <si>
    <t>Расход текущего ремонта</t>
  </si>
  <si>
    <t>Остаток средств на текущего ремонта</t>
  </si>
  <si>
    <t>Прочие доходы (аренда)</t>
  </si>
  <si>
    <t>подряд.работы (уборка тер-ии)</t>
  </si>
  <si>
    <t>подряд.работы (рем.подъездов)</t>
  </si>
  <si>
    <t xml:space="preserve">                       за 2 полугодие 2011 г. жилого дома по ул.Макаренко,19</t>
  </si>
  <si>
    <t>подряд.работы (уб.тер.вывоз мусора)</t>
  </si>
  <si>
    <t xml:space="preserve">                       за 2 полугодие  2011 г. жилого дома по ул.Макаренко,28</t>
  </si>
  <si>
    <t>подряд.работы (герм.швов,крыши)</t>
  </si>
  <si>
    <t xml:space="preserve">                       за 2 полугодие  2011 г. жилого дома по ул.Макаренко,30</t>
  </si>
  <si>
    <t>подряд.работы (ремонт подъезда)</t>
  </si>
  <si>
    <t xml:space="preserve">                      за 2 полугодие 2011 г. жилого дома по ул.Макаренко,39</t>
  </si>
  <si>
    <t>подряд.работы (уборка тер.вывоз мус.)</t>
  </si>
  <si>
    <t xml:space="preserve">              за  2 полугодие  2011 г. жилого дома по ул.Макаренко,41</t>
  </si>
  <si>
    <t>РАСХОДЫ</t>
  </si>
  <si>
    <t>Обслуживающий персонал</t>
  </si>
  <si>
    <t>Ген.директор                                                                       Галиулин Д.Г.</t>
  </si>
  <si>
    <t>Гл.бухгалтер                                                                        Аганов В.М.</t>
  </si>
  <si>
    <t>Финансовый результат за  2 полугодие</t>
  </si>
  <si>
    <t xml:space="preserve">                       за 2 полугодие 2011 г. жилого дома по ул.Макаренко,45</t>
  </si>
  <si>
    <t>2 полугодие 2011 г.</t>
  </si>
  <si>
    <t>электроэнергия</t>
  </si>
  <si>
    <t xml:space="preserve">                       за 2 полугодие  2011 г. жилого дома по ул.Макаренко,47</t>
  </si>
  <si>
    <t xml:space="preserve">                       за 2 полугодие  2011 г. жилого дома по ул. Труда, 3</t>
  </si>
  <si>
    <t>Финансовый результат за 2 полугнодие</t>
  </si>
  <si>
    <t xml:space="preserve">                       за 2 полугодие 2011 г. жилого дома по ул. Труда, 4</t>
  </si>
  <si>
    <t xml:space="preserve">                       за 2 полугодие  2011 г. жилого дома по ул. Труда, 7</t>
  </si>
  <si>
    <t xml:space="preserve">                       за 2 полугодие 2011 г. жилого дома по ул. Труда, 8</t>
  </si>
  <si>
    <t xml:space="preserve">                       за 2 полугодие 2011 г. жилого дома по ул. Труда, 9</t>
  </si>
  <si>
    <t xml:space="preserve">                       за 2 полугодие 2011 г. жилого дома по ул. Труда, 10</t>
  </si>
  <si>
    <t xml:space="preserve">                       за 2 полугодие 2011 г. жилого дома по ул. Труда, 12</t>
  </si>
  <si>
    <t xml:space="preserve">                       за 2 полугодие  2011 г. жилого дома по ул. Труда, 13</t>
  </si>
  <si>
    <t xml:space="preserve">                       за 2 полугодие  2011 г. жилого дома по ул. Труда, 14</t>
  </si>
  <si>
    <t>Остаток средств на содерж.жил.дома</t>
  </si>
  <si>
    <t>Остаток средств на тек.ремонт</t>
  </si>
  <si>
    <t xml:space="preserve">                       за 2 полугодие  2011 г. жилого дома по ул. Труда, 15</t>
  </si>
  <si>
    <t xml:space="preserve">                       за 2 полугодие 2011 г. жилого дома по ул. Труда, 16</t>
  </si>
  <si>
    <t xml:space="preserve">                       за 2 полугодие 2011 г. жилого дома по ул. Труда, 17/1</t>
  </si>
  <si>
    <t xml:space="preserve">                       за 2 полугодие  2011 г. жилого дома по ул. Труда, 17/2</t>
  </si>
  <si>
    <t xml:space="preserve">                       за 2 полугодие 2011 г. жилого дома по ул. Труда, 18</t>
  </si>
  <si>
    <t>Остаток средств на содержание</t>
  </si>
  <si>
    <t>Остаток средств текущего ремонта</t>
  </si>
  <si>
    <t>Остаток текущего ремонта</t>
  </si>
  <si>
    <t xml:space="preserve">                       за 2 полугодие  2011 г. жилого дома по ул. Труда, 21</t>
  </si>
  <si>
    <t>подряд.работы (герм.швов.крыши)</t>
  </si>
  <si>
    <t xml:space="preserve">                       за 2 полугодие  2011 г. жилого дома по ул. Труда, 23</t>
  </si>
  <si>
    <t xml:space="preserve">Прочие доходы </t>
  </si>
  <si>
    <t>подрядные работы(двор.тер.)</t>
  </si>
  <si>
    <t xml:space="preserve">                       за 2 полугодие 2011 г. жилого дома по ул. Труда,27.</t>
  </si>
  <si>
    <t xml:space="preserve">                       за 2 полугодие 2011 г. жилого дома по ул. Пластунская , 100.</t>
  </si>
  <si>
    <t xml:space="preserve">  2 полугодие 2011г.</t>
  </si>
  <si>
    <t>подряд.работы (вывоз мус.)</t>
  </si>
  <si>
    <t xml:space="preserve">                       за 2 полугодие  2011 г. жилого дома по ул. Пластунская , 179А</t>
  </si>
  <si>
    <t xml:space="preserve"> Прочие доходы</t>
  </si>
  <si>
    <t>ремонт подъездов(тек.рем.)</t>
  </si>
  <si>
    <t xml:space="preserve">                       за 2 полугодие  2011 г. жилого дома по ул. Пластунская , 181.</t>
  </si>
  <si>
    <t xml:space="preserve">                       за 2 полугодие 2011 г. жилого дома по ул. Пластунская ,181а.</t>
  </si>
  <si>
    <t>Остаток средств на текущий рем.</t>
  </si>
  <si>
    <t xml:space="preserve">                       за 2 полугодие 2011 г. жилого дома по ул. Пластунская , 183.</t>
  </si>
  <si>
    <t>подряд.работы (ремонт подъездов)</t>
  </si>
  <si>
    <t xml:space="preserve">                       за 2 полугодие  2011 г. жилого дома по ул. Пластунская , 185.</t>
  </si>
  <si>
    <t xml:space="preserve">                       за 2 полугодие  2011 г. жилого дома по ул. Пластунская , 187.</t>
  </si>
  <si>
    <t xml:space="preserve">                       за 2 полугодие 2011 г. жилого дома по ул. Пластунская , 191.</t>
  </si>
  <si>
    <t>Остаток средств на содерж.</t>
  </si>
  <si>
    <t>Остаток средств тек.рем.</t>
  </si>
  <si>
    <t xml:space="preserve">                       за 2 полугодие  2011 г. жилого дома по ул. 60 лет ВЛКСМ,10</t>
  </si>
  <si>
    <t>уборка тер-ии</t>
  </si>
  <si>
    <t xml:space="preserve">                за 2 полугодие  2011 г. жилого дома по ул. Вишневая , 15.</t>
  </si>
  <si>
    <t xml:space="preserve"> 2 полугодие  2011г.</t>
  </si>
  <si>
    <t xml:space="preserve">                за  2 полугодие  2011 г. жилого дома по ул.Макаренко,1</t>
  </si>
  <si>
    <t xml:space="preserve">               за  2 полугодие 2011 г. жилого дома по ул.Макаренко,43</t>
  </si>
  <si>
    <t>Текущий ремонт  (оплата)</t>
  </si>
  <si>
    <t xml:space="preserve">VII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</si>
</sst>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0" xfId="0" applyNumberFormat="1" applyBorder="1"/>
    <xf numFmtId="2" fontId="3" fillId="0" borderId="10" xfId="0" applyNumberFormat="1" applyFont="1" applyBorder="1"/>
    <xf numFmtId="0" fontId="3" fillId="0" borderId="10" xfId="0" applyFont="1" applyBorder="1"/>
    <xf numFmtId="0" fontId="4" fillId="0" borderId="10" xfId="2" applyBorder="1"/>
    <xf numFmtId="0" fontId="2" fillId="0" borderId="10" xfId="2" applyFont="1" applyBorder="1" applyAlignment="1">
      <alignment horizontal="center"/>
    </xf>
    <xf numFmtId="0" fontId="3" fillId="0" borderId="10" xfId="2" applyFont="1" applyBorder="1"/>
    <xf numFmtId="0" fontId="4" fillId="0" borderId="10" xfId="3" applyBorder="1"/>
    <xf numFmtId="0" fontId="4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10" xfId="2" applyNumberFormat="1" applyFont="1" applyBorder="1"/>
    <xf numFmtId="0" fontId="4" fillId="0" borderId="10" xfId="2" applyFont="1" applyBorder="1"/>
    <xf numFmtId="2" fontId="4" fillId="0" borderId="10" xfId="2" applyNumberFormat="1" applyBorder="1"/>
    <xf numFmtId="2" fontId="4" fillId="0" borderId="10" xfId="1" applyNumberFormat="1" applyFont="1" applyBorder="1"/>
    <xf numFmtId="0" fontId="3" fillId="0" borderId="10" xfId="2" applyFont="1" applyBorder="1" applyAlignment="1">
      <alignment horizontal="left"/>
    </xf>
    <xf numFmtId="0" fontId="5" fillId="0" borderId="10" xfId="2" applyFont="1" applyBorder="1"/>
    <xf numFmtId="164" fontId="4" fillId="0" borderId="10" xfId="2" applyNumberFormat="1" applyBorder="1"/>
    <xf numFmtId="2" fontId="5" fillId="0" borderId="10" xfId="2" applyNumberFormat="1" applyFont="1" applyBorder="1"/>
    <xf numFmtId="0" fontId="4" fillId="0" borderId="0" xfId="2" applyBorder="1"/>
    <xf numFmtId="0" fontId="3" fillId="0" borderId="0" xfId="2" applyFont="1" applyBorder="1"/>
    <xf numFmtId="2" fontId="3" fillId="0" borderId="0" xfId="2" applyNumberFormat="1" applyFont="1" applyBorder="1"/>
    <xf numFmtId="0" fontId="4" fillId="0" borderId="0" xfId="2"/>
    <xf numFmtId="0" fontId="4" fillId="0" borderId="0" xfId="4"/>
    <xf numFmtId="0" fontId="2" fillId="0" borderId="0" xfId="4" applyFont="1"/>
    <xf numFmtId="0" fontId="4" fillId="0" borderId="0" xfId="4" applyFont="1"/>
    <xf numFmtId="0" fontId="4" fillId="0" borderId="11" xfId="4" applyBorder="1"/>
    <xf numFmtId="0" fontId="4" fillId="0" borderId="4" xfId="4" applyBorder="1"/>
    <xf numFmtId="0" fontId="4" fillId="0" borderId="2" xfId="4" applyBorder="1"/>
    <xf numFmtId="0" fontId="4" fillId="0" borderId="6" xfId="4" applyBorder="1"/>
    <xf numFmtId="0" fontId="2" fillId="0" borderId="4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4" fillId="0" borderId="4" xfId="4" applyFont="1" applyBorder="1"/>
    <xf numFmtId="0" fontId="4" fillId="0" borderId="7" xfId="4" applyBorder="1"/>
    <xf numFmtId="0" fontId="4" fillId="0" borderId="8" xfId="4" applyBorder="1"/>
    <xf numFmtId="0" fontId="4" fillId="0" borderId="9" xfId="4" applyBorder="1"/>
    <xf numFmtId="0" fontId="4" fillId="0" borderId="7" xfId="4" applyBorder="1" applyAlignment="1">
      <alignment horizontal="center"/>
    </xf>
    <xf numFmtId="0" fontId="4" fillId="0" borderId="10" xfId="4" applyBorder="1"/>
    <xf numFmtId="0" fontId="4" fillId="0" borderId="10" xfId="4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/>
    <xf numFmtId="0" fontId="2" fillId="0" borderId="10" xfId="4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2" fillId="0" borderId="0" xfId="2" applyFont="1"/>
    <xf numFmtId="0" fontId="4" fillId="0" borderId="0" xfId="2" applyFont="1"/>
    <xf numFmtId="0" fontId="4" fillId="0" borderId="11" xfId="2" applyBorder="1"/>
    <xf numFmtId="0" fontId="4" fillId="0" borderId="1" xfId="2" applyBorder="1"/>
    <xf numFmtId="0" fontId="4" fillId="0" borderId="6" xfId="2" applyBorder="1"/>
    <xf numFmtId="0" fontId="4" fillId="0" borderId="4" xfId="2" applyBorder="1"/>
    <xf numFmtId="0" fontId="2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/>
    <xf numFmtId="0" fontId="4" fillId="0" borderId="7" xfId="2" applyBorder="1"/>
    <xf numFmtId="0" fontId="4" fillId="0" borderId="8" xfId="2" applyBorder="1"/>
    <xf numFmtId="0" fontId="4" fillId="0" borderId="9" xfId="2" applyBorder="1"/>
    <xf numFmtId="0" fontId="3" fillId="0" borderId="7" xfId="2" applyFont="1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0" xfId="5"/>
    <xf numFmtId="0" fontId="2" fillId="0" borderId="0" xfId="5" applyFont="1"/>
    <xf numFmtId="0" fontId="4" fillId="0" borderId="1" xfId="5" applyBorder="1"/>
    <xf numFmtId="0" fontId="4" fillId="0" borderId="2" xfId="5" applyBorder="1"/>
    <xf numFmtId="0" fontId="4" fillId="0" borderId="3" xfId="5" applyBorder="1"/>
    <xf numFmtId="0" fontId="4" fillId="0" borderId="4" xfId="5" applyBorder="1"/>
    <xf numFmtId="0" fontId="2" fillId="0" borderId="4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4" fillId="0" borderId="4" xfId="5" applyFont="1" applyBorder="1"/>
    <xf numFmtId="0" fontId="4" fillId="0" borderId="7" xfId="5" applyBorder="1"/>
    <xf numFmtId="0" fontId="4" fillId="0" borderId="8" xfId="5" applyBorder="1"/>
    <xf numFmtId="0" fontId="4" fillId="0" borderId="9" xfId="5" applyBorder="1"/>
    <xf numFmtId="0" fontId="4" fillId="0" borderId="7" xfId="5" applyBorder="1" applyAlignment="1">
      <alignment horizontal="center"/>
    </xf>
    <xf numFmtId="0" fontId="4" fillId="0" borderId="10" xfId="5" applyBorder="1"/>
    <xf numFmtId="0" fontId="4" fillId="0" borderId="10" xfId="5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3" fillId="0" borderId="10" xfId="5" applyFont="1" applyBorder="1"/>
    <xf numFmtId="0" fontId="4" fillId="0" borderId="0" xfId="3"/>
    <xf numFmtId="0" fontId="2" fillId="0" borderId="0" xfId="3" applyFont="1"/>
    <xf numFmtId="0" fontId="5" fillId="0" borderId="0" xfId="3" applyFont="1"/>
    <xf numFmtId="0" fontId="4" fillId="0" borderId="1" xfId="3" applyBorder="1"/>
    <xf numFmtId="0" fontId="2" fillId="0" borderId="4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4" xfId="3" applyFont="1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7" xfId="3" applyBorder="1" applyAlignment="1">
      <alignment horizontal="center"/>
    </xf>
    <xf numFmtId="0" fontId="4" fillId="0" borderId="10" xfId="3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3" fillId="0" borderId="10" xfId="3" applyFont="1" applyBorder="1"/>
    <xf numFmtId="0" fontId="4" fillId="0" borderId="0" xfId="6"/>
    <xf numFmtId="0" fontId="2" fillId="0" borderId="0" xfId="6" applyFont="1"/>
    <xf numFmtId="0" fontId="4" fillId="0" borderId="0" xfId="6" applyFont="1"/>
    <xf numFmtId="0" fontId="4" fillId="0" borderId="11" xfId="6" applyBorder="1"/>
    <xf numFmtId="0" fontId="4" fillId="0" borderId="4" xfId="6" applyBorder="1"/>
    <xf numFmtId="0" fontId="2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4" fillId="0" borderId="4" xfId="6" applyFont="1" applyBorder="1"/>
    <xf numFmtId="0" fontId="4" fillId="0" borderId="7" xfId="6" applyBorder="1"/>
    <xf numFmtId="0" fontId="4" fillId="0" borderId="8" xfId="6" applyBorder="1"/>
    <xf numFmtId="0" fontId="4" fillId="0" borderId="9" xfId="6" applyBorder="1"/>
    <xf numFmtId="0" fontId="4" fillId="0" borderId="7" xfId="6" applyBorder="1" applyAlignment="1">
      <alignment horizontal="center"/>
    </xf>
    <xf numFmtId="0" fontId="4" fillId="0" borderId="10" xfId="6" applyBorder="1"/>
    <xf numFmtId="0" fontId="4" fillId="0" borderId="10" xfId="6" applyBorder="1" applyAlignment="1">
      <alignment horizontal="center"/>
    </xf>
    <xf numFmtId="0" fontId="3" fillId="0" borderId="10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3" fillId="0" borderId="10" xfId="6" applyFont="1" applyBorder="1"/>
    <xf numFmtId="0" fontId="4" fillId="0" borderId="0" xfId="7"/>
    <xf numFmtId="0" fontId="2" fillId="0" borderId="0" xfId="7" applyFont="1"/>
    <xf numFmtId="0" fontId="4" fillId="0" borderId="0" xfId="7" applyFont="1"/>
    <xf numFmtId="0" fontId="4" fillId="0" borderId="1" xfId="7" applyBorder="1"/>
    <xf numFmtId="0" fontId="2" fillId="0" borderId="4" xfId="7" applyFont="1" applyBorder="1" applyAlignment="1">
      <alignment horizontal="center"/>
    </xf>
    <xf numFmtId="0" fontId="3" fillId="0" borderId="4" xfId="7" applyFont="1" applyBorder="1" applyAlignment="1">
      <alignment horizontal="center"/>
    </xf>
    <xf numFmtId="0" fontId="4" fillId="0" borderId="4" xfId="7" applyFont="1" applyBorder="1"/>
    <xf numFmtId="0" fontId="4" fillId="0" borderId="7" xfId="7" applyBorder="1"/>
    <xf numFmtId="0" fontId="4" fillId="0" borderId="8" xfId="7" applyBorder="1"/>
    <xf numFmtId="0" fontId="4" fillId="0" borderId="9" xfId="7" applyBorder="1"/>
    <xf numFmtId="0" fontId="4" fillId="0" borderId="7" xfId="7" applyBorder="1" applyAlignment="1">
      <alignment horizontal="center"/>
    </xf>
    <xf numFmtId="0" fontId="4" fillId="0" borderId="10" xfId="7" applyBorder="1"/>
    <xf numFmtId="0" fontId="4" fillId="0" borderId="10" xfId="7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2" fillId="0" borderId="10" xfId="7" applyFont="1" applyBorder="1" applyAlignment="1">
      <alignment horizontal="center"/>
    </xf>
    <xf numFmtId="0" fontId="3" fillId="0" borderId="10" xfId="7" applyFont="1" applyBorder="1"/>
    <xf numFmtId="0" fontId="4" fillId="0" borderId="0" xfId="8"/>
    <xf numFmtId="0" fontId="2" fillId="0" borderId="0" xfId="8" applyFont="1"/>
    <xf numFmtId="0" fontId="4" fillId="0" borderId="0" xfId="8" applyFont="1"/>
    <xf numFmtId="0" fontId="4" fillId="0" borderId="11" xfId="8" applyBorder="1"/>
    <xf numFmtId="0" fontId="4" fillId="0" borderId="4" xfId="8" applyBorder="1"/>
    <xf numFmtId="0" fontId="4" fillId="0" borderId="2" xfId="8" applyBorder="1"/>
    <xf numFmtId="0" fontId="4" fillId="0" borderId="6" xfId="8" applyBorder="1"/>
    <xf numFmtId="0" fontId="2" fillId="0" borderId="4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4" fillId="0" borderId="4" xfId="8" applyFont="1" applyBorder="1"/>
    <xf numFmtId="0" fontId="4" fillId="0" borderId="7" xfId="8" applyBorder="1"/>
    <xf numFmtId="0" fontId="4" fillId="0" borderId="8" xfId="8" applyBorder="1"/>
    <xf numFmtId="0" fontId="4" fillId="0" borderId="9" xfId="8" applyBorder="1"/>
    <xf numFmtId="0" fontId="4" fillId="0" borderId="7" xfId="8" applyBorder="1" applyAlignment="1">
      <alignment horizontal="center"/>
    </xf>
    <xf numFmtId="0" fontId="4" fillId="0" borderId="10" xfId="8" applyBorder="1"/>
    <xf numFmtId="0" fontId="4" fillId="0" borderId="10" xfId="8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2" fillId="0" borderId="10" xfId="8" applyFont="1" applyBorder="1" applyAlignment="1">
      <alignment horizontal="center"/>
    </xf>
    <xf numFmtId="0" fontId="3" fillId="0" borderId="10" xfId="8" applyFont="1" applyBorder="1"/>
    <xf numFmtId="0" fontId="4" fillId="0" borderId="0" xfId="9"/>
    <xf numFmtId="0" fontId="2" fillId="0" borderId="0" xfId="9" applyFont="1"/>
    <xf numFmtId="0" fontId="4" fillId="0" borderId="0" xfId="9" applyFont="1"/>
    <xf numFmtId="0" fontId="4" fillId="0" borderId="11" xfId="9" applyBorder="1"/>
    <xf numFmtId="0" fontId="4" fillId="0" borderId="4" xfId="9" applyBorder="1"/>
    <xf numFmtId="0" fontId="2" fillId="0" borderId="4" xfId="9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4" fillId="0" borderId="4" xfId="9" applyFont="1" applyBorder="1"/>
    <xf numFmtId="0" fontId="4" fillId="0" borderId="7" xfId="9" applyBorder="1"/>
    <xf numFmtId="0" fontId="4" fillId="0" borderId="8" xfId="9" applyBorder="1"/>
    <xf numFmtId="0" fontId="4" fillId="0" borderId="9" xfId="9" applyBorder="1"/>
    <xf numFmtId="0" fontId="4" fillId="0" borderId="7" xfId="9" applyBorder="1" applyAlignment="1">
      <alignment horizontal="center"/>
    </xf>
    <xf numFmtId="0" fontId="4" fillId="0" borderId="10" xfId="9" applyBorder="1"/>
    <xf numFmtId="0" fontId="4" fillId="0" borderId="10" xfId="9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2" fillId="0" borderId="10" xfId="9" applyFont="1" applyBorder="1" applyAlignment="1">
      <alignment horizontal="center"/>
    </xf>
    <xf numFmtId="2" fontId="3" fillId="0" borderId="10" xfId="9" applyNumberFormat="1" applyFont="1" applyBorder="1"/>
    <xf numFmtId="0" fontId="3" fillId="0" borderId="10" xfId="9" applyFont="1" applyBorder="1"/>
    <xf numFmtId="0" fontId="4" fillId="0" borderId="0" xfId="10"/>
    <xf numFmtId="0" fontId="2" fillId="0" borderId="0" xfId="10" applyFont="1"/>
    <xf numFmtId="0" fontId="4" fillId="0" borderId="0" xfId="10" applyFont="1"/>
    <xf numFmtId="0" fontId="4" fillId="0" borderId="11" xfId="10" applyBorder="1"/>
    <xf numFmtId="0" fontId="4" fillId="0" borderId="4" xfId="10" applyBorder="1"/>
    <xf numFmtId="0" fontId="4" fillId="0" borderId="2" xfId="10" applyBorder="1"/>
    <xf numFmtId="0" fontId="4" fillId="0" borderId="6" xfId="10" applyBorder="1"/>
    <xf numFmtId="0" fontId="2" fillId="0" borderId="4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4" fillId="0" borderId="4" xfId="10" applyFont="1" applyBorder="1"/>
    <xf numFmtId="0" fontId="4" fillId="0" borderId="7" xfId="10" applyBorder="1"/>
    <xf numFmtId="0" fontId="4" fillId="0" borderId="8" xfId="10" applyBorder="1"/>
    <xf numFmtId="0" fontId="4" fillId="0" borderId="9" xfId="10" applyBorder="1"/>
    <xf numFmtId="0" fontId="4" fillId="0" borderId="7" xfId="10" applyBorder="1" applyAlignment="1">
      <alignment horizontal="center"/>
    </xf>
    <xf numFmtId="0" fontId="4" fillId="0" borderId="10" xfId="10" applyBorder="1"/>
    <xf numFmtId="0" fontId="4" fillId="0" borderId="10" xfId="10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2" fillId="0" borderId="10" xfId="10" applyFont="1" applyBorder="1" applyAlignment="1">
      <alignment horizontal="center"/>
    </xf>
    <xf numFmtId="0" fontId="3" fillId="0" borderId="10" xfId="10" applyFont="1" applyBorder="1"/>
    <xf numFmtId="0" fontId="4" fillId="0" borderId="0" xfId="11"/>
    <xf numFmtId="0" fontId="2" fillId="0" borderId="0" xfId="11" applyFont="1"/>
    <xf numFmtId="0" fontId="4" fillId="0" borderId="0" xfId="11" applyBorder="1"/>
    <xf numFmtId="0" fontId="4" fillId="0" borderId="1" xfId="11" applyBorder="1"/>
    <xf numFmtId="0" fontId="2" fillId="0" borderId="4" xfId="11" applyFont="1" applyBorder="1" applyAlignment="1">
      <alignment horizontal="center"/>
    </xf>
    <xf numFmtId="0" fontId="3" fillId="0" borderId="4" xfId="11" applyFont="1" applyBorder="1" applyAlignment="1">
      <alignment horizontal="center"/>
    </xf>
    <xf numFmtId="0" fontId="4" fillId="0" borderId="4" xfId="11" applyFont="1" applyBorder="1"/>
    <xf numFmtId="0" fontId="4" fillId="0" borderId="7" xfId="11" applyBorder="1"/>
    <xf numFmtId="0" fontId="4" fillId="0" borderId="8" xfId="11" applyBorder="1"/>
    <xf numFmtId="0" fontId="4" fillId="0" borderId="9" xfId="11" applyBorder="1"/>
    <xf numFmtId="0" fontId="4" fillId="0" borderId="10" xfId="11" applyBorder="1"/>
    <xf numFmtId="0" fontId="4" fillId="0" borderId="10" xfId="11" applyBorder="1" applyAlignment="1">
      <alignment horizontal="center"/>
    </xf>
    <xf numFmtId="2" fontId="4" fillId="0" borderId="10" xfId="11" applyNumberFormat="1" applyBorder="1"/>
    <xf numFmtId="0" fontId="3" fillId="0" borderId="10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2" fontId="3" fillId="0" borderId="10" xfId="11" applyNumberFormat="1" applyFont="1" applyBorder="1"/>
    <xf numFmtId="0" fontId="3" fillId="0" borderId="10" xfId="11" applyFont="1" applyBorder="1"/>
    <xf numFmtId="0" fontId="4" fillId="0" borderId="0" xfId="12"/>
    <xf numFmtId="0" fontId="2" fillId="0" borderId="0" xfId="12" applyFont="1"/>
    <xf numFmtId="0" fontId="4" fillId="0" borderId="0" xfId="12" applyFont="1"/>
    <xf numFmtId="0" fontId="4" fillId="0" borderId="1" xfId="12" applyBorder="1"/>
    <xf numFmtId="0" fontId="4" fillId="0" borderId="2" xfId="12" applyBorder="1"/>
    <xf numFmtId="0" fontId="4" fillId="0" borderId="3" xfId="12" applyBorder="1"/>
    <xf numFmtId="0" fontId="4" fillId="0" borderId="4" xfId="12" applyBorder="1"/>
    <xf numFmtId="0" fontId="2" fillId="0" borderId="4" xfId="12" applyFont="1" applyBorder="1" applyAlignment="1">
      <alignment horizontal="center"/>
    </xf>
    <xf numFmtId="0" fontId="3" fillId="0" borderId="4" xfId="12" applyFont="1" applyBorder="1" applyAlignment="1">
      <alignment horizontal="center"/>
    </xf>
    <xf numFmtId="0" fontId="4" fillId="0" borderId="4" xfId="12" applyFont="1" applyBorder="1"/>
    <xf numFmtId="0" fontId="4" fillId="0" borderId="7" xfId="12" applyBorder="1"/>
    <xf numFmtId="0" fontId="4" fillId="0" borderId="8" xfId="12" applyBorder="1"/>
    <xf numFmtId="0" fontId="4" fillId="0" borderId="9" xfId="12" applyBorder="1"/>
    <xf numFmtId="0" fontId="4" fillId="0" borderId="7" xfId="12" applyBorder="1" applyAlignment="1">
      <alignment horizontal="center"/>
    </xf>
    <xf numFmtId="0" fontId="4" fillId="0" borderId="10" xfId="12" applyBorder="1"/>
    <xf numFmtId="0" fontId="4" fillId="0" borderId="10" xfId="12" applyBorder="1" applyAlignment="1">
      <alignment horizontal="center"/>
    </xf>
    <xf numFmtId="0" fontId="3" fillId="0" borderId="10" xfId="12" applyFont="1" applyBorder="1" applyAlignment="1">
      <alignment horizontal="center"/>
    </xf>
    <xf numFmtId="0" fontId="2" fillId="0" borderId="10" xfId="12" applyFont="1" applyBorder="1" applyAlignment="1">
      <alignment horizontal="center"/>
    </xf>
    <xf numFmtId="0" fontId="3" fillId="0" borderId="10" xfId="12" applyFont="1" applyBorder="1"/>
    <xf numFmtId="0" fontId="4" fillId="0" borderId="0" xfId="13"/>
    <xf numFmtId="0" fontId="2" fillId="0" borderId="0" xfId="13" applyFont="1"/>
    <xf numFmtId="0" fontId="4" fillId="0" borderId="1" xfId="13" applyBorder="1"/>
    <xf numFmtId="0" fontId="4" fillId="0" borderId="2" xfId="13" applyBorder="1"/>
    <xf numFmtId="0" fontId="4" fillId="0" borderId="3" xfId="13" applyBorder="1"/>
    <xf numFmtId="0" fontId="4" fillId="0" borderId="4" xfId="13" applyBorder="1"/>
    <xf numFmtId="0" fontId="2" fillId="0" borderId="4" xfId="13" applyFont="1" applyBorder="1" applyAlignment="1">
      <alignment horizontal="center"/>
    </xf>
    <xf numFmtId="0" fontId="3" fillId="0" borderId="4" xfId="13" applyFont="1" applyBorder="1" applyAlignment="1">
      <alignment horizontal="center"/>
    </xf>
    <xf numFmtId="0" fontId="4" fillId="0" borderId="4" xfId="13" applyFont="1" applyBorder="1"/>
    <xf numFmtId="0" fontId="4" fillId="0" borderId="7" xfId="13" applyBorder="1"/>
    <xf numFmtId="0" fontId="4" fillId="0" borderId="8" xfId="13" applyBorder="1"/>
    <xf numFmtId="0" fontId="4" fillId="0" borderId="9" xfId="13" applyBorder="1"/>
    <xf numFmtId="0" fontId="4" fillId="0" borderId="7" xfId="13" applyBorder="1" applyAlignment="1">
      <alignment horizontal="center"/>
    </xf>
    <xf numFmtId="0" fontId="4" fillId="0" borderId="10" xfId="13" applyBorder="1"/>
    <xf numFmtId="0" fontId="4" fillId="0" borderId="10" xfId="13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2" fillId="0" borderId="10" xfId="13" applyFont="1" applyBorder="1" applyAlignment="1">
      <alignment horizontal="center"/>
    </xf>
    <xf numFmtId="0" fontId="3" fillId="0" borderId="10" xfId="13" applyFont="1" applyBorder="1"/>
    <xf numFmtId="0" fontId="5" fillId="0" borderId="0" xfId="2" applyFont="1"/>
    <xf numFmtId="0" fontId="4" fillId="0" borderId="0" xfId="14"/>
    <xf numFmtId="0" fontId="2" fillId="0" borderId="0" xfId="14" applyFont="1"/>
    <xf numFmtId="0" fontId="4" fillId="0" borderId="1" xfId="14" applyBorder="1"/>
    <xf numFmtId="0" fontId="2" fillId="0" borderId="4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4" fillId="0" borderId="4" xfId="14" applyFont="1" applyBorder="1"/>
    <xf numFmtId="0" fontId="4" fillId="0" borderId="7" xfId="14" applyBorder="1"/>
    <xf numFmtId="0" fontId="4" fillId="0" borderId="8" xfId="14" applyBorder="1"/>
    <xf numFmtId="0" fontId="4" fillId="0" borderId="9" xfId="14" applyBorder="1"/>
    <xf numFmtId="0" fontId="4" fillId="0" borderId="7" xfId="14" applyBorder="1" applyAlignment="1">
      <alignment horizontal="center"/>
    </xf>
    <xf numFmtId="0" fontId="4" fillId="0" borderId="10" xfId="14" applyBorder="1"/>
    <xf numFmtId="0" fontId="4" fillId="0" borderId="10" xfId="14" applyBorder="1" applyAlignment="1">
      <alignment horizontal="center"/>
    </xf>
    <xf numFmtId="0" fontId="3" fillId="0" borderId="10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3" fillId="0" borderId="10" xfId="14" applyFont="1" applyBorder="1"/>
    <xf numFmtId="0" fontId="4" fillId="0" borderId="0" xfId="15"/>
    <xf numFmtId="0" fontId="2" fillId="0" borderId="0" xfId="15" applyFont="1"/>
    <xf numFmtId="0" fontId="4" fillId="0" borderId="0" xfId="15" applyFont="1"/>
    <xf numFmtId="0" fontId="4" fillId="0" borderId="11" xfId="15" applyBorder="1"/>
    <xf numFmtId="0" fontId="4" fillId="0" borderId="4" xfId="15" applyBorder="1"/>
    <xf numFmtId="0" fontId="4" fillId="0" borderId="2" xfId="15" applyBorder="1"/>
    <xf numFmtId="0" fontId="4" fillId="0" borderId="6" xfId="15" applyBorder="1"/>
    <xf numFmtId="0" fontId="2" fillId="0" borderId="4" xfId="15" applyFont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4" fillId="0" borderId="4" xfId="15" applyFont="1" applyBorder="1"/>
    <xf numFmtId="0" fontId="4" fillId="0" borderId="7" xfId="15" applyBorder="1"/>
    <xf numFmtId="0" fontId="4" fillId="0" borderId="8" xfId="15" applyBorder="1"/>
    <xf numFmtId="0" fontId="4" fillId="0" borderId="9" xfId="15" applyBorder="1"/>
    <xf numFmtId="0" fontId="4" fillId="0" borderId="7" xfId="15" applyBorder="1" applyAlignment="1">
      <alignment horizontal="center"/>
    </xf>
    <xf numFmtId="0" fontId="4" fillId="0" borderId="10" xfId="15" applyBorder="1"/>
    <xf numFmtId="0" fontId="4" fillId="0" borderId="10" xfId="15" applyBorder="1" applyAlignment="1">
      <alignment horizontal="center"/>
    </xf>
    <xf numFmtId="2" fontId="4" fillId="0" borderId="10" xfId="15" applyNumberFormat="1" applyBorder="1"/>
    <xf numFmtId="0" fontId="3" fillId="0" borderId="10" xfId="15" applyFont="1" applyBorder="1" applyAlignment="1">
      <alignment horizontal="center"/>
    </xf>
    <xf numFmtId="0" fontId="3" fillId="0" borderId="10" xfId="15" applyFont="1" applyBorder="1"/>
    <xf numFmtId="0" fontId="2" fillId="0" borderId="10" xfId="15" applyFont="1" applyBorder="1" applyAlignment="1">
      <alignment horizontal="center"/>
    </xf>
    <xf numFmtId="2" fontId="3" fillId="0" borderId="10" xfId="15" applyNumberFormat="1" applyFont="1" applyBorder="1"/>
    <xf numFmtId="0" fontId="4" fillId="0" borderId="0" xfId="16"/>
    <xf numFmtId="0" fontId="2" fillId="0" borderId="0" xfId="16" applyFont="1"/>
    <xf numFmtId="0" fontId="4" fillId="0" borderId="1" xfId="16" applyBorder="1"/>
    <xf numFmtId="0" fontId="4" fillId="0" borderId="2" xfId="16" applyBorder="1"/>
    <xf numFmtId="0" fontId="4" fillId="0" borderId="3" xfId="16" applyBorder="1"/>
    <xf numFmtId="0" fontId="4" fillId="0" borderId="4" xfId="16" applyBorder="1"/>
    <xf numFmtId="0" fontId="2" fillId="0" borderId="4" xfId="16" applyFont="1" applyBorder="1" applyAlignment="1">
      <alignment horizontal="center"/>
    </xf>
    <xf numFmtId="0" fontId="3" fillId="0" borderId="4" xfId="16" applyFont="1" applyBorder="1" applyAlignment="1">
      <alignment horizontal="center"/>
    </xf>
    <xf numFmtId="0" fontId="4" fillId="0" borderId="4" xfId="16" applyFont="1" applyBorder="1"/>
    <xf numFmtId="0" fontId="4" fillId="0" borderId="7" xfId="16" applyBorder="1"/>
    <xf numFmtId="0" fontId="4" fillId="0" borderId="8" xfId="16" applyBorder="1"/>
    <xf numFmtId="0" fontId="4" fillId="0" borderId="9" xfId="16" applyBorder="1"/>
    <xf numFmtId="0" fontId="4" fillId="0" borderId="7" xfId="16" applyBorder="1" applyAlignment="1">
      <alignment horizontal="center"/>
    </xf>
    <xf numFmtId="0" fontId="4" fillId="0" borderId="10" xfId="16" applyBorder="1"/>
    <xf numFmtId="0" fontId="4" fillId="0" borderId="10" xfId="16" applyBorder="1" applyAlignment="1">
      <alignment horizontal="center"/>
    </xf>
    <xf numFmtId="0" fontId="3" fillId="0" borderId="10" xfId="16" applyFont="1" applyBorder="1" applyAlignment="1">
      <alignment horizontal="center"/>
    </xf>
    <xf numFmtId="0" fontId="3" fillId="0" borderId="10" xfId="16" applyFont="1" applyBorder="1"/>
    <xf numFmtId="0" fontId="2" fillId="0" borderId="10" xfId="16" applyFont="1" applyBorder="1" applyAlignment="1">
      <alignment horizontal="center"/>
    </xf>
    <xf numFmtId="0" fontId="4" fillId="0" borderId="0" xfId="17"/>
    <xf numFmtId="0" fontId="2" fillId="0" borderId="0" xfId="17" applyFont="1"/>
    <xf numFmtId="0" fontId="4" fillId="0" borderId="1" xfId="17" applyBorder="1"/>
    <xf numFmtId="0" fontId="4" fillId="0" borderId="2" xfId="17" applyBorder="1"/>
    <xf numFmtId="0" fontId="4" fillId="0" borderId="3" xfId="17" applyBorder="1"/>
    <xf numFmtId="0" fontId="4" fillId="0" borderId="4" xfId="17" applyBorder="1"/>
    <xf numFmtId="0" fontId="2" fillId="0" borderId="4" xfId="17" applyFont="1" applyBorder="1" applyAlignment="1">
      <alignment horizontal="center"/>
    </xf>
    <xf numFmtId="0" fontId="3" fillId="0" borderId="4" xfId="17" applyFont="1" applyBorder="1" applyAlignment="1">
      <alignment horizontal="center"/>
    </xf>
    <xf numFmtId="0" fontId="4" fillId="0" borderId="4" xfId="17" applyFont="1" applyBorder="1"/>
    <xf numFmtId="0" fontId="4" fillId="0" borderId="7" xfId="17" applyBorder="1"/>
    <xf numFmtId="0" fontId="4" fillId="0" borderId="8" xfId="17" applyBorder="1"/>
    <xf numFmtId="0" fontId="4" fillId="0" borderId="9" xfId="17" applyBorder="1"/>
    <xf numFmtId="0" fontId="4" fillId="0" borderId="7" xfId="17" applyBorder="1" applyAlignment="1">
      <alignment horizontal="center"/>
    </xf>
    <xf numFmtId="0" fontId="4" fillId="0" borderId="10" xfId="17" applyBorder="1"/>
    <xf numFmtId="0" fontId="4" fillId="0" borderId="10" xfId="17" applyBorder="1" applyAlignment="1">
      <alignment horizontal="center"/>
    </xf>
    <xf numFmtId="0" fontId="3" fillId="0" borderId="10" xfId="17" applyFont="1" applyBorder="1" applyAlignment="1">
      <alignment horizontal="center"/>
    </xf>
    <xf numFmtId="0" fontId="3" fillId="0" borderId="10" xfId="17" applyFont="1" applyBorder="1"/>
    <xf numFmtId="0" fontId="2" fillId="0" borderId="10" xfId="17" applyFont="1" applyBorder="1" applyAlignment="1">
      <alignment horizontal="center"/>
    </xf>
    <xf numFmtId="0" fontId="4" fillId="0" borderId="0" xfId="18"/>
    <xf numFmtId="0" fontId="2" fillId="0" borderId="0" xfId="18" applyFont="1"/>
    <xf numFmtId="0" fontId="4" fillId="0" borderId="1" xfId="18" applyBorder="1"/>
    <xf numFmtId="0" fontId="4" fillId="0" borderId="2" xfId="18" applyBorder="1"/>
    <xf numFmtId="0" fontId="4" fillId="0" borderId="3" xfId="18" applyBorder="1"/>
    <xf numFmtId="0" fontId="4" fillId="0" borderId="4" xfId="18" applyBorder="1"/>
    <xf numFmtId="0" fontId="2" fillId="0" borderId="4" xfId="18" applyFont="1" applyBorder="1" applyAlignment="1">
      <alignment horizontal="center"/>
    </xf>
    <xf numFmtId="0" fontId="3" fillId="0" borderId="4" xfId="18" applyFont="1" applyBorder="1" applyAlignment="1">
      <alignment horizontal="center"/>
    </xf>
    <xf numFmtId="0" fontId="4" fillId="0" borderId="4" xfId="18" applyFont="1" applyBorder="1"/>
    <xf numFmtId="0" fontId="4" fillId="0" borderId="7" xfId="18" applyBorder="1"/>
    <xf numFmtId="0" fontId="4" fillId="0" borderId="8" xfId="18" applyBorder="1"/>
    <xf numFmtId="0" fontId="4" fillId="0" borderId="9" xfId="18" applyBorder="1"/>
    <xf numFmtId="0" fontId="4" fillId="0" borderId="7" xfId="18" applyBorder="1" applyAlignment="1">
      <alignment horizontal="center"/>
    </xf>
    <xf numFmtId="0" fontId="4" fillId="0" borderId="10" xfId="18" applyBorder="1"/>
    <xf numFmtId="0" fontId="4" fillId="0" borderId="10" xfId="18" applyBorder="1" applyAlignment="1">
      <alignment horizontal="center"/>
    </xf>
    <xf numFmtId="0" fontId="3" fillId="0" borderId="10" xfId="18" applyFont="1" applyBorder="1" applyAlignment="1">
      <alignment horizontal="center"/>
    </xf>
    <xf numFmtId="0" fontId="3" fillId="0" borderId="10" xfId="18" applyFont="1" applyBorder="1"/>
    <xf numFmtId="0" fontId="2" fillId="0" borderId="10" xfId="18" applyFont="1" applyBorder="1" applyAlignment="1">
      <alignment horizontal="center"/>
    </xf>
    <xf numFmtId="0" fontId="4" fillId="0" borderId="0" xfId="19"/>
    <xf numFmtId="0" fontId="2" fillId="0" borderId="0" xfId="19" applyFont="1"/>
    <xf numFmtId="0" fontId="4" fillId="0" borderId="1" xfId="19" applyBorder="1"/>
    <xf numFmtId="0" fontId="4" fillId="0" borderId="2" xfId="19" applyBorder="1"/>
    <xf numFmtId="0" fontId="4" fillId="0" borderId="3" xfId="19" applyBorder="1"/>
    <xf numFmtId="0" fontId="4" fillId="0" borderId="4" xfId="19" applyBorder="1"/>
    <xf numFmtId="0" fontId="2" fillId="0" borderId="4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0" fontId="4" fillId="0" borderId="4" xfId="19" applyFont="1" applyBorder="1"/>
    <xf numFmtId="0" fontId="4" fillId="0" borderId="7" xfId="19" applyBorder="1"/>
    <xf numFmtId="0" fontId="4" fillId="0" borderId="8" xfId="19" applyBorder="1"/>
    <xf numFmtId="0" fontId="4" fillId="0" borderId="9" xfId="19" applyBorder="1"/>
    <xf numFmtId="0" fontId="4" fillId="0" borderId="7" xfId="19" applyBorder="1" applyAlignment="1">
      <alignment horizontal="center"/>
    </xf>
    <xf numFmtId="0" fontId="4" fillId="0" borderId="10" xfId="19" applyBorder="1"/>
    <xf numFmtId="0" fontId="4" fillId="0" borderId="10" xfId="19" applyBorder="1" applyAlignment="1">
      <alignment horizontal="center"/>
    </xf>
    <xf numFmtId="0" fontId="3" fillId="0" borderId="10" xfId="19" applyFont="1" applyBorder="1" applyAlignment="1">
      <alignment horizontal="center"/>
    </xf>
    <xf numFmtId="0" fontId="3" fillId="0" borderId="10" xfId="19" applyFont="1" applyBorder="1"/>
    <xf numFmtId="0" fontId="2" fillId="0" borderId="10" xfId="19" applyFont="1" applyBorder="1" applyAlignment="1">
      <alignment horizontal="center"/>
    </xf>
    <xf numFmtId="0" fontId="4" fillId="0" borderId="0" xfId="20"/>
    <xf numFmtId="0" fontId="2" fillId="0" borderId="0" xfId="20" applyFont="1"/>
    <xf numFmtId="0" fontId="4" fillId="0" borderId="11" xfId="20" applyBorder="1"/>
    <xf numFmtId="0" fontId="4" fillId="0" borderId="4" xfId="20" applyBorder="1"/>
    <xf numFmtId="0" fontId="4" fillId="0" borderId="2" xfId="20" applyBorder="1"/>
    <xf numFmtId="0" fontId="4" fillId="0" borderId="6" xfId="20" applyBorder="1"/>
    <xf numFmtId="0" fontId="2" fillId="0" borderId="4" xfId="20" applyFont="1" applyBorder="1" applyAlignment="1">
      <alignment horizontal="center"/>
    </xf>
    <xf numFmtId="0" fontId="3" fillId="0" borderId="4" xfId="20" applyFont="1" applyBorder="1" applyAlignment="1">
      <alignment horizontal="center"/>
    </xf>
    <xf numFmtId="0" fontId="4" fillId="0" borderId="4" xfId="20" applyFont="1" applyBorder="1"/>
    <xf numFmtId="0" fontId="4" fillId="0" borderId="7" xfId="20" applyBorder="1"/>
    <xf numFmtId="0" fontId="4" fillId="0" borderId="8" xfId="20" applyBorder="1"/>
    <xf numFmtId="0" fontId="4" fillId="0" borderId="9" xfId="20" applyBorder="1"/>
    <xf numFmtId="0" fontId="4" fillId="0" borderId="7" xfId="20" applyBorder="1" applyAlignment="1">
      <alignment horizontal="center"/>
    </xf>
    <xf numFmtId="0" fontId="4" fillId="0" borderId="10" xfId="20" applyBorder="1"/>
    <xf numFmtId="0" fontId="4" fillId="0" borderId="10" xfId="20" applyBorder="1" applyAlignment="1">
      <alignment horizontal="center"/>
    </xf>
    <xf numFmtId="0" fontId="3" fillId="0" borderId="10" xfId="20" applyFont="1" applyBorder="1" applyAlignment="1">
      <alignment horizontal="center"/>
    </xf>
    <xf numFmtId="0" fontId="3" fillId="0" borderId="10" xfId="20" applyFont="1" applyBorder="1"/>
    <xf numFmtId="0" fontId="2" fillId="0" borderId="10" xfId="20" applyFont="1" applyBorder="1" applyAlignment="1">
      <alignment horizontal="center"/>
    </xf>
    <xf numFmtId="0" fontId="4" fillId="0" borderId="0" xfId="21"/>
    <xf numFmtId="0" fontId="2" fillId="0" borderId="0" xfId="21" applyFont="1"/>
    <xf numFmtId="0" fontId="4" fillId="0" borderId="11" xfId="21" applyBorder="1"/>
    <xf numFmtId="0" fontId="4" fillId="0" borderId="4" xfId="21" applyBorder="1"/>
    <xf numFmtId="0" fontId="2" fillId="0" borderId="4" xfId="21" applyFont="1" applyBorder="1" applyAlignment="1">
      <alignment horizontal="center"/>
    </xf>
    <xf numFmtId="0" fontId="3" fillId="0" borderId="4" xfId="21" applyFont="1" applyBorder="1" applyAlignment="1">
      <alignment horizontal="center"/>
    </xf>
    <xf numFmtId="0" fontId="4" fillId="0" borderId="4" xfId="21" applyFont="1" applyBorder="1"/>
    <xf numFmtId="0" fontId="4" fillId="0" borderId="7" xfId="21" applyBorder="1"/>
    <xf numFmtId="0" fontId="4" fillId="0" borderId="8" xfId="21" applyBorder="1"/>
    <xf numFmtId="0" fontId="4" fillId="0" borderId="9" xfId="21" applyBorder="1"/>
    <xf numFmtId="0" fontId="4" fillId="0" borderId="10" xfId="21" applyBorder="1"/>
    <xf numFmtId="0" fontId="4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0" fontId="3" fillId="0" borderId="10" xfId="21" applyFont="1" applyBorder="1"/>
    <xf numFmtId="0" fontId="2" fillId="0" borderId="10" xfId="21" applyFont="1" applyBorder="1" applyAlignment="1">
      <alignment horizontal="center"/>
    </xf>
    <xf numFmtId="0" fontId="4" fillId="0" borderId="0" xfId="22"/>
    <xf numFmtId="0" fontId="2" fillId="0" borderId="0" xfId="22" applyFont="1"/>
    <xf numFmtId="0" fontId="4" fillId="0" borderId="11" xfId="22" applyBorder="1"/>
    <xf numFmtId="0" fontId="4" fillId="0" borderId="4" xfId="22" applyBorder="1"/>
    <xf numFmtId="0" fontId="4" fillId="0" borderId="2" xfId="22" applyBorder="1"/>
    <xf numFmtId="0" fontId="4" fillId="0" borderId="6" xfId="22" applyBorder="1"/>
    <xf numFmtId="0" fontId="2" fillId="0" borderId="4" xfId="22" applyFont="1" applyBorder="1" applyAlignment="1">
      <alignment horizontal="center"/>
    </xf>
    <xf numFmtId="0" fontId="3" fillId="0" borderId="4" xfId="22" applyFont="1" applyBorder="1" applyAlignment="1">
      <alignment horizontal="center"/>
    </xf>
    <xf numFmtId="0" fontId="4" fillId="0" borderId="4" xfId="22" applyFont="1" applyBorder="1"/>
    <xf numFmtId="0" fontId="4" fillId="0" borderId="7" xfId="22" applyBorder="1"/>
    <xf numFmtId="0" fontId="4" fillId="0" borderId="8" xfId="22" applyBorder="1"/>
    <xf numFmtId="0" fontId="4" fillId="0" borderId="9" xfId="22" applyBorder="1"/>
    <xf numFmtId="0" fontId="4" fillId="0" borderId="10" xfId="22" applyBorder="1"/>
    <xf numFmtId="0" fontId="4" fillId="0" borderId="10" xfId="22" applyBorder="1" applyAlignment="1">
      <alignment horizontal="center"/>
    </xf>
    <xf numFmtId="0" fontId="3" fillId="0" borderId="10" xfId="22" applyFont="1" applyBorder="1" applyAlignment="1">
      <alignment horizontal="center"/>
    </xf>
    <xf numFmtId="0" fontId="3" fillId="0" borderId="10" xfId="22" applyFont="1" applyBorder="1"/>
    <xf numFmtId="0" fontId="2" fillId="0" borderId="10" xfId="22" applyFont="1" applyBorder="1" applyAlignment="1">
      <alignment horizontal="center"/>
    </xf>
    <xf numFmtId="2" fontId="0" fillId="0" borderId="8" xfId="0" applyNumberFormat="1" applyBorder="1"/>
    <xf numFmtId="2" fontId="6" fillId="0" borderId="10" xfId="0" applyNumberFormat="1" applyFont="1" applyBorder="1"/>
    <xf numFmtId="2" fontId="5" fillId="0" borderId="10" xfId="0" applyNumberFormat="1" applyFont="1" applyBorder="1"/>
    <xf numFmtId="0" fontId="3" fillId="0" borderId="12" xfId="0" applyFont="1" applyBorder="1"/>
    <xf numFmtId="0" fontId="0" fillId="0" borderId="13" xfId="0" applyBorder="1"/>
    <xf numFmtId="0" fontId="0" fillId="0" borderId="0" xfId="0" applyFill="1" applyBorder="1"/>
    <xf numFmtId="2" fontId="3" fillId="0" borderId="0" xfId="0" applyNumberFormat="1" applyFont="1" applyBorder="1"/>
    <xf numFmtId="0" fontId="5" fillId="0" borderId="0" xfId="2" applyFont="1" applyBorder="1"/>
    <xf numFmtId="0" fontId="0" fillId="0" borderId="5" xfId="0" applyBorder="1"/>
    <xf numFmtId="2" fontId="5" fillId="0" borderId="0" xfId="2" applyNumberFormat="1" applyFont="1" applyBorder="1"/>
    <xf numFmtId="0" fontId="4" fillId="0" borderId="11" xfId="2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11" xfId="6" applyBorder="1" applyAlignment="1">
      <alignment horizontal="center"/>
    </xf>
    <xf numFmtId="0" fontId="4" fillId="0" borderId="0" xfId="7" applyBorder="1" applyAlignment="1">
      <alignment horizontal="center"/>
    </xf>
    <xf numFmtId="0" fontId="4" fillId="0" borderId="11" xfId="8" applyBorder="1" applyAlignment="1">
      <alignment horizontal="center"/>
    </xf>
    <xf numFmtId="0" fontId="4" fillId="0" borderId="11" xfId="9" applyBorder="1" applyAlignment="1">
      <alignment horizontal="center"/>
    </xf>
    <xf numFmtId="0" fontId="4" fillId="0" borderId="11" xfId="10" applyBorder="1" applyAlignment="1">
      <alignment horizontal="center"/>
    </xf>
    <xf numFmtId="0" fontId="4" fillId="0" borderId="11" xfId="15" applyBorder="1" applyAlignment="1">
      <alignment horizontal="center"/>
    </xf>
    <xf numFmtId="0" fontId="4" fillId="0" borderId="11" xfId="20" applyBorder="1" applyAlignment="1">
      <alignment horizontal="center"/>
    </xf>
    <xf numFmtId="0" fontId="4" fillId="0" borderId="11" xfId="21" applyBorder="1" applyAlignment="1">
      <alignment horizontal="center"/>
    </xf>
    <xf numFmtId="0" fontId="4" fillId="0" borderId="11" xfId="22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23" applyBorder="1"/>
    <xf numFmtId="2" fontId="5" fillId="0" borderId="10" xfId="23" applyNumberFormat="1" applyFont="1" applyBorder="1"/>
    <xf numFmtId="0" fontId="4" fillId="0" borderId="0" xfId="5" applyFont="1"/>
    <xf numFmtId="2" fontId="4" fillId="0" borderId="10" xfId="7" applyNumberFormat="1" applyBorder="1"/>
    <xf numFmtId="0" fontId="5" fillId="0" borderId="10" xfId="7" applyFont="1" applyBorder="1"/>
    <xf numFmtId="0" fontId="5" fillId="0" borderId="10" xfId="8" applyFont="1" applyBorder="1"/>
    <xf numFmtId="0" fontId="5" fillId="0" borderId="10" xfId="9" applyFont="1" applyBorder="1"/>
    <xf numFmtId="2" fontId="5" fillId="0" borderId="10" xfId="10" applyNumberFormat="1" applyFont="1" applyBorder="1"/>
    <xf numFmtId="2" fontId="4" fillId="0" borderId="10" xfId="10" applyNumberFormat="1" applyBorder="1"/>
    <xf numFmtId="0" fontId="4" fillId="0" borderId="0" xfId="11" applyFont="1"/>
    <xf numFmtId="0" fontId="5" fillId="0" borderId="10" xfId="11" applyFont="1" applyBorder="1"/>
    <xf numFmtId="0" fontId="4" fillId="0" borderId="10" xfId="11" applyFont="1" applyBorder="1"/>
    <xf numFmtId="2" fontId="4" fillId="0" borderId="10" xfId="12" applyNumberFormat="1" applyBorder="1"/>
    <xf numFmtId="0" fontId="5" fillId="0" borderId="10" xfId="12" applyFont="1" applyBorder="1"/>
    <xf numFmtId="0" fontId="4" fillId="0" borderId="0" xfId="13" applyFont="1"/>
    <xf numFmtId="0" fontId="5" fillId="0" borderId="10" xfId="13" applyFont="1" applyBorder="1"/>
    <xf numFmtId="2" fontId="4" fillId="0" borderId="10" xfId="13" applyNumberFormat="1" applyBorder="1"/>
    <xf numFmtId="0" fontId="4" fillId="0" borderId="10" xfId="13" applyFont="1" applyBorder="1"/>
    <xf numFmtId="0" fontId="4" fillId="0" borderId="0" xfId="14" applyFont="1"/>
    <xf numFmtId="2" fontId="4" fillId="0" borderId="10" xfId="14" applyNumberFormat="1" applyBorder="1"/>
    <xf numFmtId="0" fontId="5" fillId="0" borderId="10" xfId="14" applyFont="1" applyBorder="1"/>
    <xf numFmtId="0" fontId="4" fillId="0" borderId="10" xfId="14" applyFont="1" applyBorder="1"/>
    <xf numFmtId="0" fontId="4" fillId="0" borderId="4" xfId="14" applyFill="1" applyBorder="1"/>
    <xf numFmtId="0" fontId="4" fillId="0" borderId="0" xfId="16" applyFont="1"/>
    <xf numFmtId="0" fontId="4" fillId="0" borderId="0" xfId="17" applyFont="1"/>
    <xf numFmtId="0" fontId="4" fillId="0" borderId="10" xfId="2" applyFont="1" applyBorder="1" applyAlignment="1">
      <alignment horizontal="right"/>
    </xf>
    <xf numFmtId="0" fontId="4" fillId="0" borderId="0" xfId="18" applyFont="1"/>
    <xf numFmtId="0" fontId="4" fillId="0" borderId="11" xfId="4" applyBorder="1" applyAlignment="1">
      <alignment horizontal="center"/>
    </xf>
    <xf numFmtId="0" fontId="4" fillId="0" borderId="0" xfId="19" applyFont="1"/>
    <xf numFmtId="0" fontId="4" fillId="0" borderId="0" xfId="20" applyFont="1"/>
    <xf numFmtId="0" fontId="4" fillId="0" borderId="0" xfId="21" applyFont="1"/>
    <xf numFmtId="0" fontId="5" fillId="0" borderId="10" xfId="21" applyFont="1" applyBorder="1"/>
    <xf numFmtId="0" fontId="3" fillId="0" borderId="4" xfId="14" applyFont="1" applyFill="1" applyBorder="1"/>
    <xf numFmtId="0" fontId="4" fillId="0" borderId="0" xfId="22" applyFont="1"/>
    <xf numFmtId="0" fontId="6" fillId="0" borderId="10" xfId="0" applyFont="1" applyBorder="1"/>
    <xf numFmtId="0" fontId="5" fillId="0" borderId="10" xfId="0" applyFont="1" applyBorder="1"/>
    <xf numFmtId="0" fontId="0" fillId="0" borderId="7" xfId="0" applyFont="1" applyBorder="1"/>
    <xf numFmtId="2" fontId="0" fillId="0" borderId="10" xfId="0" applyNumberFormat="1" applyFont="1" applyBorder="1"/>
    <xf numFmtId="0" fontId="0" fillId="0" borderId="14" xfId="0" applyBorder="1"/>
    <xf numFmtId="165" fontId="4" fillId="0" borderId="10" xfId="2" applyNumberFormat="1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7" xfId="0" applyFont="1" applyBorder="1" applyAlignment="1">
      <alignment horizontal="center"/>
    </xf>
    <xf numFmtId="0" fontId="3" fillId="0" borderId="0" xfId="0" applyFont="1" applyBorder="1"/>
    <xf numFmtId="0" fontId="6" fillId="0" borderId="8" xfId="0" applyFont="1" applyBorder="1"/>
    <xf numFmtId="0" fontId="4" fillId="0" borderId="0" xfId="3" applyBorder="1"/>
    <xf numFmtId="0" fontId="2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0" xfId="7" applyBorder="1"/>
    <xf numFmtId="0" fontId="2" fillId="0" borderId="1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2" fillId="0" borderId="1" xfId="11" applyFont="1" applyBorder="1" applyAlignment="1">
      <alignment horizontal="center"/>
    </xf>
    <xf numFmtId="0" fontId="3" fillId="0" borderId="1" xfId="11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3" fillId="0" borderId="1" xfId="14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4" xfId="0" applyFont="1" applyBorder="1"/>
    <xf numFmtId="2" fontId="4" fillId="0" borderId="8" xfId="15" applyNumberFormat="1" applyBorder="1"/>
    <xf numFmtId="0" fontId="5" fillId="0" borderId="10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2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4" fillId="0" borderId="11" xfId="6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4" fillId="0" borderId="11" xfId="4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4" fillId="0" borderId="0" xfId="7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4" fillId="0" borderId="11" xfId="8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0" fontId="3" fillId="0" borderId="5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2" fillId="0" borderId="5" xfId="9" applyFont="1" applyBorder="1" applyAlignment="1">
      <alignment horizontal="center"/>
    </xf>
    <xf numFmtId="0" fontId="2" fillId="0" borderId="6" xfId="9" applyFont="1" applyBorder="1" applyAlignment="1">
      <alignment horizontal="center"/>
    </xf>
    <xf numFmtId="0" fontId="4" fillId="0" borderId="11" xfId="9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4" fillId="0" borderId="11" xfId="10" applyBorder="1" applyAlignment="1">
      <alignment horizontal="center"/>
    </xf>
    <xf numFmtId="0" fontId="2" fillId="0" borderId="5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2" fillId="0" borderId="2" xfId="11" applyFont="1" applyBorder="1" applyAlignment="1">
      <alignment horizontal="center"/>
    </xf>
    <xf numFmtId="0" fontId="2" fillId="0" borderId="3" xfId="1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6" xfId="11" applyFont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2" fillId="0" borderId="6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6" xfId="13" applyFont="1" applyBorder="1" applyAlignment="1">
      <alignment horizontal="center"/>
    </xf>
    <xf numFmtId="0" fontId="3" fillId="0" borderId="5" xfId="13" applyFont="1" applyBorder="1" applyAlignment="1">
      <alignment horizontal="center"/>
    </xf>
    <xf numFmtId="0" fontId="3" fillId="0" borderId="6" xfId="13" applyFont="1" applyBorder="1" applyAlignment="1">
      <alignment horizontal="center"/>
    </xf>
    <xf numFmtId="0" fontId="2" fillId="0" borderId="2" xfId="14" applyFont="1" applyBorder="1" applyAlignment="1">
      <alignment horizontal="center"/>
    </xf>
    <xf numFmtId="0" fontId="2" fillId="0" borderId="3" xfId="14" applyFont="1" applyBorder="1" applyAlignment="1">
      <alignment horizontal="center"/>
    </xf>
    <xf numFmtId="0" fontId="3" fillId="0" borderId="5" xfId="14" applyFont="1" applyBorder="1" applyAlignment="1">
      <alignment horizontal="center"/>
    </xf>
    <xf numFmtId="0" fontId="3" fillId="0" borderId="6" xfId="14" applyFont="1" applyBorder="1" applyAlignment="1">
      <alignment horizontal="center"/>
    </xf>
    <xf numFmtId="0" fontId="4" fillId="0" borderId="11" xfId="15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6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6" xfId="15" applyFont="1" applyBorder="1" applyAlignment="1">
      <alignment horizontal="center"/>
    </xf>
    <xf numFmtId="0" fontId="2" fillId="0" borderId="5" xfId="16" applyFont="1" applyBorder="1" applyAlignment="1">
      <alignment horizontal="center"/>
    </xf>
    <xf numFmtId="0" fontId="2" fillId="0" borderId="6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3" fillId="0" borderId="6" xfId="16" applyFont="1" applyBorder="1" applyAlignment="1">
      <alignment horizontal="center"/>
    </xf>
    <xf numFmtId="0" fontId="2" fillId="0" borderId="5" xfId="17" applyFont="1" applyBorder="1" applyAlignment="1">
      <alignment horizontal="center"/>
    </xf>
    <xf numFmtId="0" fontId="2" fillId="0" borderId="6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3" fillId="0" borderId="6" xfId="17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3" fillId="0" borderId="5" xfId="18" applyFont="1" applyBorder="1" applyAlignment="1">
      <alignment horizontal="center"/>
    </xf>
    <xf numFmtId="0" fontId="3" fillId="0" borderId="6" xfId="18" applyFont="1" applyBorder="1" applyAlignment="1">
      <alignment horizontal="center"/>
    </xf>
    <xf numFmtId="0" fontId="2" fillId="0" borderId="5" xfId="19" applyFont="1" applyBorder="1" applyAlignment="1">
      <alignment horizontal="center"/>
    </xf>
    <xf numFmtId="0" fontId="2" fillId="0" borderId="6" xfId="19" applyFont="1" applyBorder="1" applyAlignment="1">
      <alignment horizontal="center"/>
    </xf>
    <xf numFmtId="0" fontId="3" fillId="0" borderId="5" xfId="19" applyFont="1" applyBorder="1" applyAlignment="1">
      <alignment horizontal="center"/>
    </xf>
    <xf numFmtId="0" fontId="3" fillId="0" borderId="6" xfId="19" applyFont="1" applyBorder="1" applyAlignment="1">
      <alignment horizontal="center"/>
    </xf>
    <xf numFmtId="0" fontId="4" fillId="0" borderId="11" xfId="20" applyBorder="1" applyAlignment="1">
      <alignment horizontal="center"/>
    </xf>
    <xf numFmtId="0" fontId="2" fillId="0" borderId="5" xfId="20" applyFont="1" applyBorder="1" applyAlignment="1">
      <alignment horizontal="center"/>
    </xf>
    <xf numFmtId="0" fontId="2" fillId="0" borderId="6" xfId="20" applyFont="1" applyBorder="1" applyAlignment="1">
      <alignment horizontal="center"/>
    </xf>
    <xf numFmtId="0" fontId="3" fillId="0" borderId="5" xfId="20" applyFont="1" applyBorder="1" applyAlignment="1">
      <alignment horizontal="center"/>
    </xf>
    <xf numFmtId="0" fontId="3" fillId="0" borderId="6" xfId="20" applyFont="1" applyBorder="1" applyAlignment="1">
      <alignment horizontal="center"/>
    </xf>
    <xf numFmtId="0" fontId="4" fillId="0" borderId="11" xfId="21" applyBorder="1" applyAlignment="1">
      <alignment horizontal="center"/>
    </xf>
    <xf numFmtId="0" fontId="2" fillId="0" borderId="5" xfId="2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6" xfId="21" applyFont="1" applyBorder="1" applyAlignment="1">
      <alignment horizontal="center"/>
    </xf>
    <xf numFmtId="0" fontId="3" fillId="0" borderId="5" xfId="22" applyFont="1" applyBorder="1" applyAlignment="1">
      <alignment horizontal="center"/>
    </xf>
    <xf numFmtId="0" fontId="3" fillId="0" borderId="6" xfId="22" applyFont="1" applyBorder="1" applyAlignment="1">
      <alignment horizontal="center"/>
    </xf>
    <xf numFmtId="0" fontId="4" fillId="0" borderId="11" xfId="22" applyBorder="1" applyAlignment="1">
      <alignment horizontal="center"/>
    </xf>
    <xf numFmtId="0" fontId="2" fillId="0" borderId="5" xfId="22" applyFont="1" applyBorder="1" applyAlignment="1">
      <alignment horizontal="center"/>
    </xf>
    <xf numFmtId="0" fontId="2" fillId="0" borderId="6" xfId="2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</cellXfs>
  <cellStyles count="24">
    <cellStyle name="Денежный" xfId="1" builtinId="4"/>
    <cellStyle name="Обычный" xfId="0" builtinId="0"/>
    <cellStyle name="Обычный_В15" xfId="4"/>
    <cellStyle name="Обычный_В17" xfId="7"/>
    <cellStyle name="Обычный_В18" xfId="8"/>
    <cellStyle name="Обычный_В19" xfId="9"/>
    <cellStyle name="Обычный_В20" xfId="10"/>
    <cellStyle name="Обычный_В21" xfId="11"/>
    <cellStyle name="Обычный_В22" xfId="12"/>
    <cellStyle name="Обычный_В23" xfId="13"/>
    <cellStyle name="Обычный_В24" xfId="14"/>
    <cellStyle name="Обычный_В25" xfId="15"/>
    <cellStyle name="Обычный_В26" xfId="16"/>
    <cellStyle name="Обычный_В27" xfId="17"/>
    <cellStyle name="Обычный_В28" xfId="18"/>
    <cellStyle name="Обычный_В30" xfId="19"/>
    <cellStyle name="Обычный_В32" xfId="20"/>
    <cellStyle name="Обычный_В34" xfId="21"/>
    <cellStyle name="Обычный_В36" xfId="22"/>
    <cellStyle name="Обычный_Лист1" xfId="2"/>
    <cellStyle name="Обычный_Лист12" xfId="6"/>
    <cellStyle name="Обычный_Лист2" xfId="23"/>
    <cellStyle name="Обычный_Лист3" xfId="5"/>
    <cellStyle name="Обычный_Лист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9" sqref="A39:A47"/>
    </sheetView>
  </sheetViews>
  <sheetFormatPr defaultRowHeight="15" x14ac:dyDescent="0.25"/>
  <cols>
    <col min="2" max="2" width="38.140625" customWidth="1"/>
    <col min="4" max="4" width="13.28515625" customWidth="1"/>
    <col min="5" max="5" width="11.5703125" customWidth="1"/>
  </cols>
  <sheetData>
    <row r="1" spans="1:5" ht="15.75" x14ac:dyDescent="0.25">
      <c r="A1" s="37"/>
      <c r="B1" s="60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1</v>
      </c>
      <c r="C3" s="37"/>
      <c r="D3" s="37"/>
      <c r="E3" s="37"/>
    </row>
    <row r="4" spans="1:5" x14ac:dyDescent="0.25">
      <c r="A4" s="37"/>
      <c r="B4" s="61" t="s">
        <v>100</v>
      </c>
      <c r="C4" s="37"/>
      <c r="D4" s="37"/>
      <c r="E4" s="37"/>
    </row>
    <row r="5" spans="1:5" x14ac:dyDescent="0.25">
      <c r="A5" s="496"/>
      <c r="B5" s="496"/>
      <c r="C5" s="496"/>
      <c r="D5" s="419"/>
      <c r="E5" s="62"/>
    </row>
    <row r="6" spans="1:5" x14ac:dyDescent="0.25">
      <c r="A6" s="63"/>
      <c r="B6" s="63"/>
      <c r="C6" s="63"/>
      <c r="D6" s="34"/>
      <c r="E6" s="64"/>
    </row>
    <row r="7" spans="1:5" ht="15.75" x14ac:dyDescent="0.25">
      <c r="A7" s="65"/>
      <c r="B7" s="66" t="s">
        <v>3</v>
      </c>
      <c r="C7" s="67" t="s">
        <v>4</v>
      </c>
      <c r="D7" s="497" t="s">
        <v>5</v>
      </c>
      <c r="E7" s="498"/>
    </row>
    <row r="8" spans="1:5" ht="15.75" x14ac:dyDescent="0.25">
      <c r="A8" s="68"/>
      <c r="B8" s="66" t="s">
        <v>6</v>
      </c>
      <c r="C8" s="67" t="s">
        <v>7</v>
      </c>
      <c r="D8" s="499" t="s">
        <v>101</v>
      </c>
      <c r="E8" s="500"/>
    </row>
    <row r="9" spans="1:5" x14ac:dyDescent="0.25">
      <c r="A9" s="69"/>
      <c r="B9" s="69"/>
      <c r="C9" s="69"/>
      <c r="D9" s="70"/>
      <c r="E9" s="71"/>
    </row>
    <row r="10" spans="1:5" x14ac:dyDescent="0.25">
      <c r="A10" s="69"/>
      <c r="B10" s="72" t="s">
        <v>60</v>
      </c>
      <c r="C10" s="69"/>
      <c r="D10" s="20">
        <v>-292037.78999999998</v>
      </c>
      <c r="E10" s="71"/>
    </row>
    <row r="11" spans="1:5" x14ac:dyDescent="0.25">
      <c r="A11" s="20"/>
      <c r="B11" s="73" t="s">
        <v>9</v>
      </c>
      <c r="C11" s="20" t="s">
        <v>10</v>
      </c>
      <c r="D11" s="20">
        <v>8134.1</v>
      </c>
      <c r="E11" s="20"/>
    </row>
    <row r="12" spans="1:5" x14ac:dyDescent="0.25">
      <c r="A12" s="20"/>
      <c r="B12" s="73" t="s">
        <v>11</v>
      </c>
      <c r="C12" s="20" t="s">
        <v>10</v>
      </c>
      <c r="D12" s="20">
        <v>6467.2</v>
      </c>
      <c r="E12" s="20"/>
    </row>
    <row r="13" spans="1:5" x14ac:dyDescent="0.25">
      <c r="A13" s="20"/>
      <c r="B13" s="25" t="s">
        <v>12</v>
      </c>
      <c r="C13" s="20" t="s">
        <v>13</v>
      </c>
      <c r="D13" s="22">
        <v>270542.46000000002</v>
      </c>
      <c r="E13" s="20"/>
    </row>
    <row r="14" spans="1:5" x14ac:dyDescent="0.25">
      <c r="A14" s="20"/>
      <c r="B14" s="20"/>
      <c r="C14" s="20"/>
      <c r="D14" s="20"/>
      <c r="E14" s="20"/>
    </row>
    <row r="15" spans="1:5" ht="15.75" x14ac:dyDescent="0.25">
      <c r="A15" s="20"/>
      <c r="B15" s="21" t="s">
        <v>14</v>
      </c>
      <c r="C15" s="20"/>
      <c r="D15" s="20"/>
      <c r="E15" s="20"/>
    </row>
    <row r="16" spans="1:5" x14ac:dyDescent="0.25">
      <c r="A16" s="20">
        <v>1</v>
      </c>
      <c r="B16" s="20" t="s">
        <v>15</v>
      </c>
      <c r="C16" s="20" t="s">
        <v>13</v>
      </c>
      <c r="D16" s="22">
        <f>555782.15-257054.76</f>
        <v>298727.39</v>
      </c>
      <c r="E16" s="20"/>
    </row>
    <row r="17" spans="1:5" x14ac:dyDescent="0.25">
      <c r="A17" s="20">
        <v>2</v>
      </c>
      <c r="B17" s="20" t="s">
        <v>102</v>
      </c>
      <c r="C17" s="20"/>
      <c r="D17" s="22">
        <v>5500</v>
      </c>
      <c r="E17" s="20"/>
    </row>
    <row r="18" spans="1:5" ht="15.75" x14ac:dyDescent="0.25">
      <c r="A18" s="20"/>
      <c r="B18" s="21" t="s">
        <v>17</v>
      </c>
      <c r="C18" s="20"/>
      <c r="D18" s="26">
        <f>D16+D17</f>
        <v>304227.39</v>
      </c>
      <c r="E18" s="20"/>
    </row>
    <row r="19" spans="1:5" ht="15.75" x14ac:dyDescent="0.25">
      <c r="A19" s="20"/>
      <c r="B19" s="21"/>
      <c r="C19" s="20"/>
      <c r="D19" s="26"/>
      <c r="E19" s="20"/>
    </row>
    <row r="20" spans="1:5" ht="15.75" x14ac:dyDescent="0.25">
      <c r="A20" s="20"/>
      <c r="B20" s="21" t="s">
        <v>18</v>
      </c>
      <c r="C20" s="20"/>
      <c r="D20" s="22"/>
      <c r="E20" s="3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</f>
        <v>123992.52</v>
      </c>
      <c r="E21" s="26">
        <f>E22</f>
        <v>31828.087500000005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D23+D24+D25+D26</f>
        <v>121481.25</v>
      </c>
      <c r="E22" s="26">
        <f>E23+E24+E25+E26</f>
        <v>31828.087500000005</v>
      </c>
    </row>
    <row r="23" spans="1:5" x14ac:dyDescent="0.25">
      <c r="A23" s="20"/>
      <c r="B23" s="20" t="s">
        <v>23</v>
      </c>
      <c r="C23" s="20"/>
      <c r="D23" s="20">
        <f>13801.26+13828.88</f>
        <v>27630.14</v>
      </c>
      <c r="E23" s="28">
        <f>D23*26.2%</f>
        <v>7239.0966800000006</v>
      </c>
    </row>
    <row r="24" spans="1:5" x14ac:dyDescent="0.25">
      <c r="A24" s="20"/>
      <c r="B24" s="20" t="s">
        <v>24</v>
      </c>
      <c r="C24" s="20"/>
      <c r="D24" s="29">
        <f>31923.17+24277.68</f>
        <v>56200.85</v>
      </c>
      <c r="E24" s="28">
        <f>D24*26.2%</f>
        <v>14724.6227</v>
      </c>
    </row>
    <row r="25" spans="1:5" x14ac:dyDescent="0.25">
      <c r="A25" s="20"/>
      <c r="B25" s="20" t="s">
        <v>25</v>
      </c>
      <c r="C25" s="20"/>
      <c r="D25" s="20">
        <f>17040.4+17074.51</f>
        <v>34114.910000000003</v>
      </c>
      <c r="E25" s="28">
        <f>D25*26.2%</f>
        <v>8938.1064200000019</v>
      </c>
    </row>
    <row r="26" spans="1:5" x14ac:dyDescent="0.25">
      <c r="A26" s="20"/>
      <c r="B26" s="31" t="s">
        <v>81</v>
      </c>
      <c r="C26" s="20"/>
      <c r="D26" s="20">
        <v>3535.35</v>
      </c>
      <c r="E26" s="28">
        <f>D26*26.2%</f>
        <v>926.26170000000002</v>
      </c>
    </row>
    <row r="27" spans="1:5" x14ac:dyDescent="0.25">
      <c r="A27" s="20">
        <v>2</v>
      </c>
      <c r="B27" s="27" t="s">
        <v>26</v>
      </c>
      <c r="C27" s="20"/>
      <c r="D27" s="20">
        <v>2511.27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74843.509999999995</v>
      </c>
      <c r="E28" s="26">
        <f>E29</f>
        <v>15830.582340000001</v>
      </c>
    </row>
    <row r="29" spans="1:5" x14ac:dyDescent="0.25">
      <c r="A29" s="20">
        <v>1</v>
      </c>
      <c r="B29" s="31" t="s">
        <v>103</v>
      </c>
      <c r="C29" s="20"/>
      <c r="D29" s="31">
        <f>30036.16+30385.91</f>
        <v>60422.07</v>
      </c>
      <c r="E29" s="28">
        <f>D29*26.2%</f>
        <v>15830.582340000001</v>
      </c>
    </row>
    <row r="30" spans="1:5" x14ac:dyDescent="0.25">
      <c r="A30" s="20">
        <v>2</v>
      </c>
      <c r="B30" s="31" t="s">
        <v>26</v>
      </c>
      <c r="C30" s="20"/>
      <c r="D30" s="31">
        <v>14421.44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33052.85959</v>
      </c>
      <c r="E31" s="20"/>
    </row>
    <row r="32" spans="1:5" x14ac:dyDescent="0.25">
      <c r="A32" s="20"/>
      <c r="B32" s="20" t="s">
        <v>32</v>
      </c>
      <c r="C32" s="20"/>
      <c r="D32" s="28">
        <f>D18*4.7%</f>
        <v>14298.687330000001</v>
      </c>
      <c r="E32" s="20"/>
    </row>
    <row r="33" spans="1:5" x14ac:dyDescent="0.25">
      <c r="A33" s="20"/>
      <c r="B33" s="20" t="s">
        <v>61</v>
      </c>
      <c r="C33" s="20"/>
      <c r="D33" s="20">
        <f>656.32+640.94</f>
        <v>1297.2600000000002</v>
      </c>
      <c r="E33" s="20"/>
    </row>
    <row r="34" spans="1:5" x14ac:dyDescent="0.25">
      <c r="A34" s="20"/>
      <c r="B34" s="27" t="s">
        <v>33</v>
      </c>
      <c r="C34" s="20"/>
      <c r="D34" s="20">
        <v>0</v>
      </c>
      <c r="E34" s="20"/>
    </row>
    <row r="35" spans="1:5" x14ac:dyDescent="0.25">
      <c r="A35" s="20"/>
      <c r="B35" s="20" t="s">
        <v>34</v>
      </c>
      <c r="C35" s="20"/>
      <c r="D35" s="28">
        <f>4261.23+4261.23*26.2%+5356.3</f>
        <v>10733.972259999999</v>
      </c>
      <c r="E35" s="20"/>
    </row>
    <row r="36" spans="1:5" x14ac:dyDescent="0.25">
      <c r="A36" s="20"/>
      <c r="B36" s="27" t="s">
        <v>35</v>
      </c>
      <c r="C36" s="20"/>
      <c r="D36" s="20">
        <v>797.56</v>
      </c>
      <c r="E36" s="20"/>
    </row>
    <row r="37" spans="1:5" x14ac:dyDescent="0.25">
      <c r="A37" s="20"/>
      <c r="B37" s="27" t="s">
        <v>36</v>
      </c>
      <c r="C37" s="20"/>
      <c r="D37" s="20">
        <v>1789.36</v>
      </c>
      <c r="E37" s="20"/>
    </row>
    <row r="38" spans="1:5" x14ac:dyDescent="0.25">
      <c r="A38" s="20"/>
      <c r="B38" s="20" t="s">
        <v>38</v>
      </c>
      <c r="C38" s="20"/>
      <c r="D38" s="20">
        <v>4136.0200000000004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38548.83</v>
      </c>
      <c r="E39" s="26">
        <f>E40</f>
        <v>7673.2857000000004</v>
      </c>
    </row>
    <row r="40" spans="1:5" x14ac:dyDescent="0.25">
      <c r="A40" s="73"/>
      <c r="B40" s="31" t="s">
        <v>40</v>
      </c>
      <c r="C40" s="20"/>
      <c r="D40" s="33">
        <f>14446.54+14840.81</f>
        <v>29287.35</v>
      </c>
      <c r="E40" s="33">
        <f>D40*26.2%</f>
        <v>7673.2857000000004</v>
      </c>
    </row>
    <row r="41" spans="1:5" x14ac:dyDescent="0.25">
      <c r="A41" s="73"/>
      <c r="B41" s="20" t="s">
        <v>41</v>
      </c>
      <c r="C41" s="20"/>
      <c r="D41" s="33">
        <v>9261.48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D21+E21+D28+E28+D31+D39+E39</f>
        <v>325769.67512999999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18253.643400000001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344023.31852999999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-39795.928529999976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-331833.71852999995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39" sqref="A39:A47"/>
    </sheetView>
  </sheetViews>
  <sheetFormatPr defaultRowHeight="15" x14ac:dyDescent="0.25"/>
  <cols>
    <col min="2" max="2" width="38.5703125" customWidth="1"/>
    <col min="4" max="4" width="10.7109375" customWidth="1"/>
    <col min="5" max="5" width="10.42578125" customWidth="1"/>
  </cols>
  <sheetData>
    <row r="1" spans="1:5" ht="15.75" x14ac:dyDescent="0.25">
      <c r="A1" s="159"/>
      <c r="B1" s="160" t="s">
        <v>0</v>
      </c>
      <c r="C1" s="159"/>
      <c r="D1" s="159"/>
      <c r="E1" s="159"/>
    </row>
    <row r="2" spans="1:5" x14ac:dyDescent="0.25">
      <c r="A2" s="159"/>
      <c r="B2" s="159"/>
      <c r="C2" s="159"/>
      <c r="D2" s="159"/>
      <c r="E2" s="159"/>
    </row>
    <row r="3" spans="1:5" x14ac:dyDescent="0.25">
      <c r="A3" s="159"/>
      <c r="B3" s="159" t="s">
        <v>121</v>
      </c>
      <c r="C3" s="159"/>
      <c r="D3" s="159"/>
      <c r="E3" s="159"/>
    </row>
    <row r="4" spans="1:5" x14ac:dyDescent="0.25">
      <c r="A4" s="159"/>
      <c r="B4" s="161" t="s">
        <v>122</v>
      </c>
      <c r="C4" s="159"/>
      <c r="D4" s="159"/>
      <c r="E4" s="159"/>
    </row>
    <row r="5" spans="1:5" x14ac:dyDescent="0.25">
      <c r="A5" s="532"/>
      <c r="B5" s="532"/>
      <c r="C5" s="532"/>
      <c r="D5" s="424"/>
      <c r="E5" s="162"/>
    </row>
    <row r="6" spans="1:5" ht="15.75" x14ac:dyDescent="0.25">
      <c r="A6" s="163"/>
      <c r="B6" s="164" t="s">
        <v>3</v>
      </c>
      <c r="C6" s="165" t="s">
        <v>4</v>
      </c>
      <c r="D6" s="530" t="s">
        <v>5</v>
      </c>
      <c r="E6" s="531"/>
    </row>
    <row r="7" spans="1:5" ht="15.75" x14ac:dyDescent="0.25">
      <c r="A7" s="166"/>
      <c r="B7" s="164" t="s">
        <v>6</v>
      </c>
      <c r="C7" s="165" t="s">
        <v>7</v>
      </c>
      <c r="D7" s="533" t="s">
        <v>114</v>
      </c>
      <c r="E7" s="534"/>
    </row>
    <row r="8" spans="1:5" x14ac:dyDescent="0.25">
      <c r="A8" s="167"/>
      <c r="B8" s="167"/>
      <c r="C8" s="167"/>
      <c r="D8" s="168"/>
      <c r="E8" s="169"/>
    </row>
    <row r="9" spans="1:5" x14ac:dyDescent="0.25">
      <c r="A9" s="167"/>
      <c r="B9" s="170" t="s">
        <v>73</v>
      </c>
      <c r="C9" s="167"/>
      <c r="D9" s="168">
        <v>150271.70000000001</v>
      </c>
      <c r="E9" s="169"/>
    </row>
    <row r="10" spans="1:5" x14ac:dyDescent="0.25">
      <c r="A10" s="171"/>
      <c r="B10" s="172" t="s">
        <v>9</v>
      </c>
      <c r="C10" s="171" t="s">
        <v>10</v>
      </c>
      <c r="D10" s="171">
        <v>4036</v>
      </c>
      <c r="E10" s="171"/>
    </row>
    <row r="11" spans="1:5" x14ac:dyDescent="0.25">
      <c r="A11" s="171"/>
      <c r="B11" s="172" t="s">
        <v>11</v>
      </c>
      <c r="C11" s="171" t="s">
        <v>10</v>
      </c>
      <c r="D11" s="171">
        <v>2430.8000000000002</v>
      </c>
      <c r="E11" s="171"/>
    </row>
    <row r="12" spans="1:5" x14ac:dyDescent="0.25">
      <c r="A12" s="171"/>
      <c r="B12" s="173" t="s">
        <v>12</v>
      </c>
      <c r="C12" s="171" t="s">
        <v>13</v>
      </c>
      <c r="D12" s="171">
        <v>93065.7</v>
      </c>
      <c r="E12" s="171"/>
    </row>
    <row r="13" spans="1:5" x14ac:dyDescent="0.25">
      <c r="A13" s="171"/>
      <c r="B13" s="171"/>
      <c r="C13" s="171"/>
      <c r="D13" s="171"/>
      <c r="E13" s="171"/>
    </row>
    <row r="14" spans="1:5" ht="15.75" x14ac:dyDescent="0.25">
      <c r="A14" s="171"/>
      <c r="B14" s="174" t="s">
        <v>14</v>
      </c>
      <c r="C14" s="171"/>
      <c r="D14" s="171"/>
      <c r="E14" s="171"/>
    </row>
    <row r="15" spans="1:5" x14ac:dyDescent="0.25">
      <c r="A15" s="171">
        <v>1</v>
      </c>
      <c r="B15" s="171" t="s">
        <v>15</v>
      </c>
      <c r="C15" s="171" t="s">
        <v>13</v>
      </c>
      <c r="D15" s="171">
        <f>187453.85-97567.34</f>
        <v>89886.510000000009</v>
      </c>
      <c r="E15" s="171"/>
    </row>
    <row r="16" spans="1:5" x14ac:dyDescent="0.25">
      <c r="A16" s="171">
        <v>2</v>
      </c>
      <c r="B16" s="13" t="s">
        <v>74</v>
      </c>
      <c r="C16" s="171"/>
      <c r="D16" s="171">
        <f>63000*2</f>
        <v>126000</v>
      </c>
      <c r="E16" s="171"/>
    </row>
    <row r="17" spans="1:5" ht="15.75" x14ac:dyDescent="0.25">
      <c r="A17" s="171"/>
      <c r="B17" s="174" t="s">
        <v>17</v>
      </c>
      <c r="C17" s="171"/>
      <c r="D17" s="175">
        <f>D15+D16</f>
        <v>215886.51</v>
      </c>
      <c r="E17" s="171"/>
    </row>
    <row r="18" spans="1:5" ht="15.75" x14ac:dyDescent="0.25">
      <c r="A18" s="171"/>
      <c r="B18" s="174"/>
      <c r="C18" s="171"/>
      <c r="D18" s="176"/>
      <c r="E18" s="171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</f>
        <v>13296.22</v>
      </c>
      <c r="E20" s="26">
        <f>E21</f>
        <v>3236.3078399999999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12352.32</v>
      </c>
      <c r="E21" s="26">
        <f>E22</f>
        <v>3236.3078399999999</v>
      </c>
    </row>
    <row r="22" spans="1:5" x14ac:dyDescent="0.25">
      <c r="A22" s="20"/>
      <c r="B22" s="20" t="s">
        <v>23</v>
      </c>
      <c r="C22" s="20"/>
      <c r="D22" s="171">
        <f>6169.99+6182.33</f>
        <v>12352.32</v>
      </c>
      <c r="E22" s="28">
        <f>D22*26.2%</f>
        <v>3236.3078399999999</v>
      </c>
    </row>
    <row r="23" spans="1:5" x14ac:dyDescent="0.25">
      <c r="A23" s="20"/>
      <c r="B23" s="20" t="s">
        <v>24</v>
      </c>
      <c r="C23" s="20"/>
      <c r="D23" s="171">
        <v>0</v>
      </c>
      <c r="E23" s="28"/>
    </row>
    <row r="24" spans="1:5" x14ac:dyDescent="0.25">
      <c r="A24" s="20"/>
      <c r="B24" s="20" t="s">
        <v>25</v>
      </c>
      <c r="C24" s="20"/>
      <c r="D24" s="171">
        <v>0</v>
      </c>
      <c r="E24" s="28"/>
    </row>
    <row r="25" spans="1:5" x14ac:dyDescent="0.25">
      <c r="A25" s="20">
        <v>2</v>
      </c>
      <c r="B25" s="27" t="s">
        <v>26</v>
      </c>
      <c r="C25" s="20"/>
      <c r="D25" s="171">
        <v>943.9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26921.91</v>
      </c>
      <c r="E26" s="26">
        <f>E27</f>
        <v>5950.1772000000001</v>
      </c>
    </row>
    <row r="27" spans="1:5" x14ac:dyDescent="0.25">
      <c r="A27" s="20">
        <v>1</v>
      </c>
      <c r="B27" s="31" t="s">
        <v>105</v>
      </c>
      <c r="C27" s="20"/>
      <c r="D27" s="171">
        <f>11289.57+11421.03</f>
        <v>22710.6</v>
      </c>
      <c r="E27" s="28">
        <f>D27*26.2%</f>
        <v>5950.1772000000001</v>
      </c>
    </row>
    <row r="28" spans="1:5" x14ac:dyDescent="0.25">
      <c r="A28" s="20">
        <v>2</v>
      </c>
      <c r="B28" s="31" t="s">
        <v>26</v>
      </c>
      <c r="C28" s="20"/>
      <c r="D28" s="439">
        <v>960.95</v>
      </c>
      <c r="E28" s="20"/>
    </row>
    <row r="29" spans="1:5" x14ac:dyDescent="0.25">
      <c r="A29" s="20">
        <v>3</v>
      </c>
      <c r="B29" s="31" t="s">
        <v>69</v>
      </c>
      <c r="C29" s="20"/>
      <c r="D29" s="31">
        <v>3250.36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D31+D32+D33+D35+D36+D37+D38</f>
        <v>29821.405500000001</v>
      </c>
      <c r="E30" s="20"/>
    </row>
    <row r="31" spans="1:5" x14ac:dyDescent="0.25">
      <c r="A31" s="20"/>
      <c r="B31" s="20" t="s">
        <v>32</v>
      </c>
      <c r="C31" s="20"/>
      <c r="D31" s="28">
        <f>D17*5%</f>
        <v>10794.325500000001</v>
      </c>
      <c r="E31" s="20"/>
    </row>
    <row r="32" spans="1:5" x14ac:dyDescent="0.25">
      <c r="A32" s="20"/>
      <c r="B32" s="20" t="s">
        <v>61</v>
      </c>
      <c r="C32" s="20"/>
      <c r="D32" s="20">
        <f>235.58+230.05</f>
        <v>465.63</v>
      </c>
      <c r="E32" s="20"/>
    </row>
    <row r="33" spans="1:5" x14ac:dyDescent="0.25">
      <c r="A33" s="20"/>
      <c r="B33" s="20" t="s">
        <v>34</v>
      </c>
      <c r="C33" s="20"/>
      <c r="D33" s="28">
        <v>4034.53</v>
      </c>
      <c r="E33" s="20"/>
    </row>
    <row r="34" spans="1:5" x14ac:dyDescent="0.25">
      <c r="A34" s="20"/>
      <c r="B34" s="171" t="s">
        <v>75</v>
      </c>
      <c r="C34" s="20"/>
      <c r="D34" s="28">
        <v>2430.11</v>
      </c>
      <c r="E34" s="20"/>
    </row>
    <row r="35" spans="1:5" x14ac:dyDescent="0.25">
      <c r="A35" s="20"/>
      <c r="B35" s="27" t="s">
        <v>35</v>
      </c>
      <c r="C35" s="20"/>
      <c r="D35" s="20">
        <v>299.77</v>
      </c>
      <c r="E35" s="20"/>
    </row>
    <row r="36" spans="1:5" x14ac:dyDescent="0.25">
      <c r="A36" s="20"/>
      <c r="B36" s="27" t="s">
        <v>36</v>
      </c>
      <c r="C36" s="20"/>
      <c r="D36" s="20">
        <v>672.56</v>
      </c>
      <c r="E36" s="20"/>
    </row>
    <row r="37" spans="1:5" x14ac:dyDescent="0.25">
      <c r="A37" s="20"/>
      <c r="B37" s="20" t="s">
        <v>38</v>
      </c>
      <c r="C37" s="20"/>
      <c r="D37" s="20">
        <v>1554.59</v>
      </c>
      <c r="E37" s="20"/>
    </row>
    <row r="38" spans="1:5" x14ac:dyDescent="0.25">
      <c r="A38" s="20"/>
      <c r="B38" s="27" t="s">
        <v>76</v>
      </c>
      <c r="C38" s="20"/>
      <c r="D38" s="20">
        <v>12000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14489.2</v>
      </c>
      <c r="E39" s="26">
        <f>E40</f>
        <v>2884.1274400000002</v>
      </c>
    </row>
    <row r="40" spans="1:5" x14ac:dyDescent="0.25">
      <c r="A40" s="73"/>
      <c r="B40" s="31" t="s">
        <v>40</v>
      </c>
      <c r="C40" s="31"/>
      <c r="D40" s="33">
        <v>11008.12</v>
      </c>
      <c r="E40" s="28">
        <f>D40*26.2%</f>
        <v>2884.1274400000002</v>
      </c>
    </row>
    <row r="41" spans="1:5" x14ac:dyDescent="0.25">
      <c r="A41" s="73"/>
      <c r="B41" s="27" t="s">
        <v>41</v>
      </c>
      <c r="C41" s="20"/>
      <c r="D41" s="33">
        <v>3481.08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D20+E20+D26+E26+D30+D39+E39</f>
        <v>96599.347979999991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12953.1906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109552.53857999999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106333.97142000002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256605.67142000003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6:E6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2" max="2" width="39" customWidth="1"/>
    <col min="4" max="4" width="11.7109375" customWidth="1"/>
    <col min="5" max="5" width="9.7109375" customWidth="1"/>
  </cols>
  <sheetData>
    <row r="1" spans="1:5" ht="15.75" x14ac:dyDescent="0.25">
      <c r="A1" s="177"/>
      <c r="B1" s="178" t="s">
        <v>0</v>
      </c>
      <c r="C1" s="177"/>
      <c r="D1" s="177"/>
      <c r="E1" s="177"/>
    </row>
    <row r="2" spans="1:5" x14ac:dyDescent="0.25">
      <c r="A2" s="177"/>
      <c r="B2" s="177"/>
      <c r="C2" s="177"/>
      <c r="D2" s="177"/>
      <c r="E2" s="177"/>
    </row>
    <row r="3" spans="1:5" x14ac:dyDescent="0.25">
      <c r="A3" s="177"/>
      <c r="B3" s="177" t="s">
        <v>123</v>
      </c>
      <c r="C3" s="177"/>
      <c r="D3" s="177"/>
      <c r="E3" s="177"/>
    </row>
    <row r="4" spans="1:5" x14ac:dyDescent="0.25">
      <c r="A4" s="177"/>
      <c r="B4" s="179" t="s">
        <v>124</v>
      </c>
      <c r="C4" s="177"/>
      <c r="D4" s="177"/>
      <c r="E4" s="177"/>
    </row>
    <row r="5" spans="1:5" x14ac:dyDescent="0.25">
      <c r="A5" s="177"/>
      <c r="B5" s="177" t="s">
        <v>77</v>
      </c>
      <c r="C5" s="177"/>
      <c r="D5" s="177"/>
      <c r="E5" s="177"/>
    </row>
    <row r="6" spans="1:5" x14ac:dyDescent="0.25">
      <c r="A6" s="535"/>
      <c r="B6" s="535"/>
      <c r="C6" s="535"/>
      <c r="D6" s="425"/>
      <c r="E6" s="180"/>
    </row>
    <row r="7" spans="1:5" x14ac:dyDescent="0.25">
      <c r="A7" s="181"/>
      <c r="B7" s="181"/>
      <c r="C7" s="181"/>
      <c r="D7" s="182"/>
      <c r="E7" s="183"/>
    </row>
    <row r="8" spans="1:5" ht="15.75" x14ac:dyDescent="0.25">
      <c r="A8" s="181"/>
      <c r="B8" s="184" t="s">
        <v>3</v>
      </c>
      <c r="C8" s="185" t="s">
        <v>4</v>
      </c>
      <c r="D8" s="536" t="s">
        <v>5</v>
      </c>
      <c r="E8" s="537"/>
    </row>
    <row r="9" spans="1:5" ht="15.75" x14ac:dyDescent="0.25">
      <c r="A9" s="186"/>
      <c r="B9" s="184" t="s">
        <v>6</v>
      </c>
      <c r="C9" s="185" t="s">
        <v>7</v>
      </c>
      <c r="D9" s="538" t="s">
        <v>116</v>
      </c>
      <c r="E9" s="539"/>
    </row>
    <row r="10" spans="1:5" x14ac:dyDescent="0.25">
      <c r="A10" s="187"/>
      <c r="B10" s="187"/>
      <c r="C10" s="187"/>
      <c r="D10" s="188"/>
      <c r="E10" s="189"/>
    </row>
    <row r="11" spans="1:5" x14ac:dyDescent="0.25">
      <c r="A11" s="187"/>
      <c r="B11" s="190" t="s">
        <v>8</v>
      </c>
      <c r="C11" s="187"/>
      <c r="D11" s="188">
        <v>-93372.93</v>
      </c>
      <c r="E11" s="189"/>
    </row>
    <row r="12" spans="1:5" x14ac:dyDescent="0.25">
      <c r="A12" s="191"/>
      <c r="B12" s="192" t="s">
        <v>9</v>
      </c>
      <c r="C12" s="191" t="s">
        <v>10</v>
      </c>
      <c r="D12" s="191">
        <v>8085.8</v>
      </c>
      <c r="E12" s="191"/>
    </row>
    <row r="13" spans="1:5" x14ac:dyDescent="0.25">
      <c r="A13" s="191"/>
      <c r="B13" s="192" t="s">
        <v>11</v>
      </c>
      <c r="C13" s="191" t="s">
        <v>10</v>
      </c>
      <c r="D13" s="191">
        <v>6343.7</v>
      </c>
      <c r="E13" s="191"/>
    </row>
    <row r="14" spans="1:5" x14ac:dyDescent="0.25">
      <c r="A14" s="191"/>
      <c r="B14" s="193" t="s">
        <v>12</v>
      </c>
      <c r="C14" s="191" t="s">
        <v>13</v>
      </c>
      <c r="D14" s="191">
        <v>265286.34000000003</v>
      </c>
      <c r="E14" s="191"/>
    </row>
    <row r="15" spans="1:5" x14ac:dyDescent="0.25">
      <c r="A15" s="191"/>
      <c r="B15" s="191"/>
      <c r="C15" s="191"/>
      <c r="D15" s="191"/>
      <c r="E15" s="191"/>
    </row>
    <row r="16" spans="1:5" ht="15.75" x14ac:dyDescent="0.25">
      <c r="A16" s="191"/>
      <c r="B16" s="194" t="s">
        <v>14</v>
      </c>
      <c r="C16" s="191"/>
      <c r="D16" s="191"/>
      <c r="E16" s="191"/>
    </row>
    <row r="17" spans="1:5" x14ac:dyDescent="0.25">
      <c r="A17" s="191">
        <v>1</v>
      </c>
      <c r="B17" s="191" t="s">
        <v>15</v>
      </c>
      <c r="C17" s="191" t="s">
        <v>13</v>
      </c>
      <c r="D17" s="191">
        <f>515432.26-239257.81</f>
        <v>276174.45</v>
      </c>
      <c r="E17" s="191"/>
    </row>
    <row r="18" spans="1:5" x14ac:dyDescent="0.25">
      <c r="A18" s="191">
        <v>2</v>
      </c>
      <c r="B18" s="191" t="s">
        <v>102</v>
      </c>
      <c r="C18" s="191"/>
      <c r="D18" s="191">
        <v>1250</v>
      </c>
      <c r="E18" s="191"/>
    </row>
    <row r="19" spans="1:5" ht="15.75" x14ac:dyDescent="0.25">
      <c r="A19" s="191"/>
      <c r="B19" s="194" t="s">
        <v>17</v>
      </c>
      <c r="C19" s="191"/>
      <c r="D19" s="195">
        <f>D17+D18</f>
        <v>277424.45</v>
      </c>
      <c r="E19" s="191"/>
    </row>
    <row r="20" spans="1:5" ht="15.75" x14ac:dyDescent="0.25">
      <c r="A20" s="191"/>
      <c r="B20" s="194"/>
      <c r="C20" s="191"/>
      <c r="D20" s="195"/>
      <c r="E20" s="191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D23+D27</f>
        <v>71073.320000000007</v>
      </c>
      <c r="E22" s="26">
        <f>E23</f>
        <v>17975.82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68610</v>
      </c>
      <c r="E23" s="26">
        <f>E24+E25+E26</f>
        <v>17975.82</v>
      </c>
    </row>
    <row r="24" spans="1:5" x14ac:dyDescent="0.25">
      <c r="A24" s="20"/>
      <c r="B24" s="20" t="s">
        <v>23</v>
      </c>
      <c r="C24" s="20"/>
      <c r="D24" s="191">
        <f>9417.33+8721.31</f>
        <v>18138.64</v>
      </c>
      <c r="E24" s="28">
        <f>D24*26.2%</f>
        <v>4752.3236800000004</v>
      </c>
    </row>
    <row r="25" spans="1:5" x14ac:dyDescent="0.25">
      <c r="A25" s="20"/>
      <c r="B25" s="20" t="s">
        <v>24</v>
      </c>
      <c r="C25" s="20"/>
      <c r="D25" s="191">
        <f>12760.7+8524.17</f>
        <v>21284.870000000003</v>
      </c>
      <c r="E25" s="28">
        <f>D25*26.2%</f>
        <v>5576.635940000001</v>
      </c>
    </row>
    <row r="26" spans="1:5" x14ac:dyDescent="0.25">
      <c r="A26" s="20"/>
      <c r="B26" s="20" t="s">
        <v>25</v>
      </c>
      <c r="C26" s="20"/>
      <c r="D26" s="191">
        <f>16271.75+12914.74</f>
        <v>29186.489999999998</v>
      </c>
      <c r="E26" s="28">
        <f>D26*26.2%</f>
        <v>7646.8603800000001</v>
      </c>
    </row>
    <row r="27" spans="1:5" x14ac:dyDescent="0.25">
      <c r="A27" s="20">
        <v>2</v>
      </c>
      <c r="B27" s="27" t="s">
        <v>26</v>
      </c>
      <c r="C27" s="20"/>
      <c r="D27" s="191">
        <v>2463.3200000000002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63081.29</v>
      </c>
      <c r="E28" s="26">
        <f>E29</f>
        <v>15528.276260000002</v>
      </c>
    </row>
    <row r="29" spans="1:5" x14ac:dyDescent="0.25">
      <c r="A29" s="20">
        <v>1</v>
      </c>
      <c r="B29" s="31" t="s">
        <v>103</v>
      </c>
      <c r="C29" s="20"/>
      <c r="D29" s="191">
        <f>29462.58+29805.65</f>
        <v>59268.23</v>
      </c>
      <c r="E29" s="28">
        <f>D29*26.2%</f>
        <v>15528.276260000002</v>
      </c>
    </row>
    <row r="30" spans="1:5" x14ac:dyDescent="0.25">
      <c r="A30" s="20">
        <v>2</v>
      </c>
      <c r="B30" s="31" t="s">
        <v>26</v>
      </c>
      <c r="C30" s="20"/>
      <c r="D30" s="440">
        <v>3813.06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38231.342500000006</v>
      </c>
      <c r="E31" s="20"/>
    </row>
    <row r="32" spans="1:5" x14ac:dyDescent="0.25">
      <c r="A32" s="20"/>
      <c r="B32" s="20" t="s">
        <v>32</v>
      </c>
      <c r="C32" s="20"/>
      <c r="D32" s="28">
        <f>D19*5%</f>
        <v>13871.222500000002</v>
      </c>
      <c r="E32" s="20"/>
    </row>
    <row r="33" spans="1:5" x14ac:dyDescent="0.25">
      <c r="A33" s="20"/>
      <c r="B33" s="20" t="s">
        <v>61</v>
      </c>
      <c r="C33" s="191"/>
      <c r="D33" s="441">
        <f>230.46+225.06</f>
        <v>455.52</v>
      </c>
      <c r="E33" s="20"/>
    </row>
    <row r="34" spans="1:5" x14ac:dyDescent="0.25">
      <c r="A34" s="20"/>
      <c r="B34" s="191" t="s">
        <v>34</v>
      </c>
      <c r="C34" s="191"/>
      <c r="D34" s="441">
        <v>10529.99</v>
      </c>
      <c r="E34" s="20"/>
    </row>
    <row r="35" spans="1:5" x14ac:dyDescent="0.25">
      <c r="A35" s="20"/>
      <c r="B35" s="171" t="s">
        <v>75</v>
      </c>
      <c r="C35" s="191"/>
      <c r="D35" s="441">
        <v>6780.06</v>
      </c>
      <c r="E35" s="20"/>
    </row>
    <row r="36" spans="1:5" x14ac:dyDescent="0.25">
      <c r="A36" s="20"/>
      <c r="B36" s="27" t="s">
        <v>36</v>
      </c>
      <c r="C36" s="191"/>
      <c r="D36" s="191">
        <v>1755.19</v>
      </c>
      <c r="E36" s="20"/>
    </row>
    <row r="37" spans="1:5" x14ac:dyDescent="0.25">
      <c r="A37" s="20"/>
      <c r="B37" s="27" t="s">
        <v>35</v>
      </c>
      <c r="C37" s="191"/>
      <c r="D37" s="191">
        <v>782.33</v>
      </c>
      <c r="E37" s="20"/>
    </row>
    <row r="38" spans="1:5" x14ac:dyDescent="0.25">
      <c r="A38" s="20"/>
      <c r="B38" s="191" t="s">
        <v>38</v>
      </c>
      <c r="C38" s="191"/>
      <c r="D38" s="191">
        <v>4057.03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37812.68</v>
      </c>
      <c r="E39" s="26">
        <f>E40</f>
        <v>7526.7543400000004</v>
      </c>
    </row>
    <row r="40" spans="1:5" x14ac:dyDescent="0.25">
      <c r="A40" s="73"/>
      <c r="B40" s="31" t="s">
        <v>40</v>
      </c>
      <c r="C40" s="31"/>
      <c r="D40" s="33">
        <v>28728.07</v>
      </c>
      <c r="E40" s="28">
        <f>D40*26.2%</f>
        <v>7526.7543400000004</v>
      </c>
    </row>
    <row r="41" spans="1:5" x14ac:dyDescent="0.25">
      <c r="A41" s="73"/>
      <c r="B41" s="27" t="s">
        <v>41</v>
      </c>
      <c r="C41" s="20"/>
      <c r="D41" s="33">
        <v>9084.61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D22+E22+D28+E28+D31+D39+E39</f>
        <v>251229.48310000004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D19*6%</f>
        <v>16645.467000000001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267874.95010000002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D19-D44</f>
        <v>9549.4998999999953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D11+D46</f>
        <v>-83823.430099999998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41.140625" customWidth="1"/>
    <col min="4" max="4" width="10.5703125" customWidth="1"/>
    <col min="5" max="5" width="10.28515625" customWidth="1"/>
  </cols>
  <sheetData>
    <row r="1" spans="1:5" ht="15.75" x14ac:dyDescent="0.25">
      <c r="A1" s="196"/>
      <c r="B1" s="197" t="s">
        <v>0</v>
      </c>
      <c r="C1" s="196"/>
      <c r="D1" s="196"/>
      <c r="E1" s="196"/>
    </row>
    <row r="2" spans="1:5" x14ac:dyDescent="0.25">
      <c r="A2" s="196"/>
      <c r="B2" s="196" t="s">
        <v>1</v>
      </c>
      <c r="C2" s="196"/>
      <c r="D2" s="196"/>
      <c r="E2" s="196"/>
    </row>
    <row r="3" spans="1:5" x14ac:dyDescent="0.25">
      <c r="A3" s="196"/>
      <c r="B3" s="442" t="s">
        <v>125</v>
      </c>
      <c r="C3" s="196"/>
      <c r="D3" s="196"/>
      <c r="E3" s="196"/>
    </row>
    <row r="4" spans="1:5" x14ac:dyDescent="0.25">
      <c r="A4" s="198"/>
      <c r="B4" s="196" t="s">
        <v>51</v>
      </c>
      <c r="C4" s="196"/>
      <c r="D4" s="196"/>
      <c r="E4" s="196"/>
    </row>
    <row r="5" spans="1:5" ht="15.75" x14ac:dyDescent="0.25">
      <c r="A5" s="199"/>
      <c r="B5" s="484" t="s">
        <v>3</v>
      </c>
      <c r="C5" s="485" t="s">
        <v>4</v>
      </c>
      <c r="D5" s="540" t="s">
        <v>5</v>
      </c>
      <c r="E5" s="541"/>
    </row>
    <row r="6" spans="1:5" ht="15.75" x14ac:dyDescent="0.25">
      <c r="A6" s="202"/>
      <c r="B6" s="200" t="s">
        <v>6</v>
      </c>
      <c r="C6" s="201" t="s">
        <v>7</v>
      </c>
      <c r="D6" s="542" t="s">
        <v>114</v>
      </c>
      <c r="E6" s="543"/>
    </row>
    <row r="7" spans="1:5" x14ac:dyDescent="0.25">
      <c r="A7" s="203"/>
      <c r="B7" s="203"/>
      <c r="C7" s="203"/>
      <c r="D7" s="204"/>
      <c r="E7" s="205"/>
    </row>
    <row r="8" spans="1:5" x14ac:dyDescent="0.25">
      <c r="A8" s="203"/>
      <c r="B8" s="12" t="s">
        <v>126</v>
      </c>
      <c r="C8" s="203"/>
      <c r="D8" s="204">
        <v>-130077.47</v>
      </c>
      <c r="E8" s="205"/>
    </row>
    <row r="9" spans="1:5" x14ac:dyDescent="0.25">
      <c r="A9" s="203"/>
      <c r="B9" s="12" t="s">
        <v>127</v>
      </c>
      <c r="C9" s="203"/>
      <c r="D9" s="204">
        <v>15260.9</v>
      </c>
      <c r="E9" s="205"/>
    </row>
    <row r="10" spans="1:5" x14ac:dyDescent="0.25">
      <c r="A10" s="206"/>
      <c r="B10" s="207" t="s">
        <v>9</v>
      </c>
      <c r="C10" s="206" t="s">
        <v>10</v>
      </c>
      <c r="D10" s="206">
        <v>3011.34</v>
      </c>
      <c r="E10" s="206"/>
    </row>
    <row r="11" spans="1:5" x14ac:dyDescent="0.25">
      <c r="A11" s="206"/>
      <c r="B11" s="207" t="s">
        <v>11</v>
      </c>
      <c r="C11" s="206" t="s">
        <v>10</v>
      </c>
      <c r="D11" s="208">
        <v>2135</v>
      </c>
      <c r="E11" s="206"/>
    </row>
    <row r="12" spans="1:5" x14ac:dyDescent="0.25">
      <c r="A12" s="206"/>
      <c r="B12" s="209" t="s">
        <v>12</v>
      </c>
      <c r="C12" s="206" t="s">
        <v>55</v>
      </c>
      <c r="D12" s="206">
        <v>89301.06</v>
      </c>
      <c r="E12" s="206"/>
    </row>
    <row r="13" spans="1:5" ht="15.75" x14ac:dyDescent="0.25">
      <c r="A13" s="206"/>
      <c r="B13" s="210" t="s">
        <v>14</v>
      </c>
      <c r="C13" s="206"/>
      <c r="D13" s="206"/>
      <c r="E13" s="206"/>
    </row>
    <row r="14" spans="1:5" x14ac:dyDescent="0.25">
      <c r="A14" s="206">
        <v>1</v>
      </c>
      <c r="B14" s="206" t="s">
        <v>15</v>
      </c>
      <c r="C14" s="206" t="s">
        <v>13</v>
      </c>
      <c r="D14" s="208">
        <f>183206.69-84338.73</f>
        <v>98867.96</v>
      </c>
      <c r="E14" s="206"/>
    </row>
    <row r="15" spans="1:5" x14ac:dyDescent="0.25">
      <c r="A15" s="206">
        <v>2</v>
      </c>
      <c r="B15" s="443" t="s">
        <v>16</v>
      </c>
      <c r="C15" s="206"/>
      <c r="D15" s="206">
        <f>54711.78-15260.9</f>
        <v>39450.879999999997</v>
      </c>
      <c r="E15" s="206"/>
    </row>
    <row r="16" spans="1:5" x14ac:dyDescent="0.25">
      <c r="A16" s="206">
        <v>3</v>
      </c>
      <c r="B16" s="443" t="s">
        <v>102</v>
      </c>
      <c r="C16" s="206"/>
      <c r="D16" s="206">
        <v>3500</v>
      </c>
      <c r="E16" s="206"/>
    </row>
    <row r="17" spans="1:5" ht="15.75" x14ac:dyDescent="0.25">
      <c r="A17" s="206"/>
      <c r="B17" s="210" t="s">
        <v>17</v>
      </c>
      <c r="C17" s="206"/>
      <c r="D17" s="211">
        <f>D14+D15+D16</f>
        <v>141818.84</v>
      </c>
      <c r="E17" s="206"/>
    </row>
    <row r="18" spans="1:5" ht="15.75" x14ac:dyDescent="0.25">
      <c r="A18" s="206"/>
      <c r="B18" s="210"/>
      <c r="C18" s="206"/>
      <c r="D18" s="212"/>
      <c r="E18" s="206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42296.39</v>
      </c>
      <c r="E20" s="26">
        <f>E21</f>
        <v>10864.4457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D22+D23+D24+D25</f>
        <v>41467.35</v>
      </c>
      <c r="E21" s="26">
        <f>E22+E23+E24+E25</f>
        <v>10864.4457</v>
      </c>
    </row>
    <row r="22" spans="1:5" x14ac:dyDescent="0.25">
      <c r="A22" s="20"/>
      <c r="B22" s="20" t="s">
        <v>23</v>
      </c>
      <c r="C22" s="20"/>
      <c r="D22" s="206">
        <f>7631.27+7646.55</f>
        <v>15277.82</v>
      </c>
      <c r="E22" s="28">
        <f>D22*26.2%</f>
        <v>4002.7888400000002</v>
      </c>
    </row>
    <row r="23" spans="1:5" x14ac:dyDescent="0.25">
      <c r="A23" s="20"/>
      <c r="B23" s="20" t="s">
        <v>24</v>
      </c>
      <c r="C23" s="20"/>
      <c r="D23" s="206">
        <f>6622.64+6351.94</f>
        <v>12974.58</v>
      </c>
      <c r="E23" s="28">
        <f>D23*26.2%</f>
        <v>3399.3399600000002</v>
      </c>
    </row>
    <row r="24" spans="1:5" x14ac:dyDescent="0.25">
      <c r="A24" s="20"/>
      <c r="B24" s="20" t="s">
        <v>25</v>
      </c>
      <c r="C24" s="20"/>
      <c r="D24" s="206">
        <v>13021.67</v>
      </c>
      <c r="E24" s="28">
        <f>D24*26.2%</f>
        <v>3411.6775400000001</v>
      </c>
    </row>
    <row r="25" spans="1:5" x14ac:dyDescent="0.25">
      <c r="A25" s="20"/>
      <c r="B25" s="27" t="s">
        <v>81</v>
      </c>
      <c r="C25" s="20"/>
      <c r="D25" s="206">
        <v>193.28</v>
      </c>
      <c r="E25" s="28">
        <f>D25*26.2%</f>
        <v>50.639360000000003</v>
      </c>
    </row>
    <row r="26" spans="1:5" x14ac:dyDescent="0.25">
      <c r="A26" s="20">
        <v>2</v>
      </c>
      <c r="B26" s="27" t="s">
        <v>26</v>
      </c>
      <c r="C26" s="20"/>
      <c r="D26" s="206">
        <v>829.04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24270.04</v>
      </c>
      <c r="E27" s="26">
        <f>E28</f>
        <v>5226.1087600000001</v>
      </c>
    </row>
    <row r="28" spans="1:5" x14ac:dyDescent="0.25">
      <c r="A28" s="20">
        <v>1</v>
      </c>
      <c r="B28" s="31" t="s">
        <v>103</v>
      </c>
      <c r="C28" s="20"/>
      <c r="D28" s="206">
        <f>9915.76+10031.22</f>
        <v>19946.98</v>
      </c>
      <c r="E28" s="28">
        <f>D28*26.2%</f>
        <v>5226.1087600000001</v>
      </c>
    </row>
    <row r="29" spans="1:5" x14ac:dyDescent="0.25">
      <c r="A29" s="20">
        <v>2</v>
      </c>
      <c r="B29" s="31" t="s">
        <v>26</v>
      </c>
      <c r="C29" s="20"/>
      <c r="D29" s="443">
        <v>4323.0600000000004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D31+D34+D35+D36+D37+D33+D32</f>
        <v>25700.935479999996</v>
      </c>
      <c r="E30" s="20"/>
    </row>
    <row r="31" spans="1:5" x14ac:dyDescent="0.25">
      <c r="A31" s="20"/>
      <c r="B31" s="20" t="s">
        <v>32</v>
      </c>
      <c r="C31" s="20"/>
      <c r="D31" s="28">
        <f>D17*4.7%</f>
        <v>6665.4854800000003</v>
      </c>
      <c r="E31" s="20"/>
    </row>
    <row r="32" spans="1:5" x14ac:dyDescent="0.25">
      <c r="A32" s="20"/>
      <c r="B32" s="20" t="s">
        <v>61</v>
      </c>
      <c r="C32" s="206"/>
      <c r="D32" s="208">
        <f>138.97+133.47</f>
        <v>272.44</v>
      </c>
      <c r="E32" s="20"/>
    </row>
    <row r="33" spans="1:5" x14ac:dyDescent="0.25">
      <c r="A33" s="20"/>
      <c r="B33" s="206" t="s">
        <v>34</v>
      </c>
      <c r="C33" s="206"/>
      <c r="D33" s="206">
        <v>3543.58</v>
      </c>
      <c r="E33" s="20"/>
    </row>
    <row r="34" spans="1:5" x14ac:dyDescent="0.25">
      <c r="A34" s="20"/>
      <c r="B34" s="27" t="s">
        <v>36</v>
      </c>
      <c r="C34" s="206"/>
      <c r="D34" s="206">
        <v>590.72</v>
      </c>
      <c r="E34" s="20"/>
    </row>
    <row r="35" spans="1:5" x14ac:dyDescent="0.25">
      <c r="A35" s="20"/>
      <c r="B35" s="27" t="s">
        <v>35</v>
      </c>
      <c r="C35" s="206"/>
      <c r="D35" s="206">
        <v>263.3</v>
      </c>
      <c r="E35" s="20"/>
    </row>
    <row r="36" spans="1:5" x14ac:dyDescent="0.25">
      <c r="A36" s="20"/>
      <c r="B36" s="444" t="s">
        <v>128</v>
      </c>
      <c r="C36" s="206"/>
      <c r="D36" s="206">
        <v>13000</v>
      </c>
      <c r="E36" s="20"/>
    </row>
    <row r="37" spans="1:5" x14ac:dyDescent="0.25">
      <c r="A37" s="20"/>
      <c r="B37" s="206" t="s">
        <v>38</v>
      </c>
      <c r="C37" s="206"/>
      <c r="D37" s="206">
        <v>1365.41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12726.029999999999</v>
      </c>
      <c r="E38" s="26">
        <f>E39</f>
        <v>2533.1627199999998</v>
      </c>
    </row>
    <row r="39" spans="1:5" x14ac:dyDescent="0.25">
      <c r="A39" s="73"/>
      <c r="B39" s="31" t="s">
        <v>40</v>
      </c>
      <c r="C39" s="31"/>
      <c r="D39" s="33">
        <v>9668.56</v>
      </c>
      <c r="E39" s="28">
        <f>D39*26.2%</f>
        <v>2533.1627199999998</v>
      </c>
    </row>
    <row r="40" spans="1:5" x14ac:dyDescent="0.25">
      <c r="A40" s="73"/>
      <c r="B40" s="27" t="s">
        <v>41</v>
      </c>
      <c r="C40" s="20"/>
      <c r="D40" s="33">
        <v>3057.47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123617.11266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8509.1304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132126.24306000001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D14+D16-D43</f>
        <v>-29758.283060000002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D8+D45</f>
        <v>-159835.75306000002</v>
      </c>
      <c r="E46" s="20"/>
    </row>
    <row r="47" spans="1:5" x14ac:dyDescent="0.25">
      <c r="A47" s="34"/>
      <c r="B47" s="35" t="s">
        <v>16</v>
      </c>
      <c r="C47" s="34"/>
      <c r="D47" s="36">
        <f>D9+D15</f>
        <v>54711.78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1" max="1" width="6.42578125" customWidth="1"/>
    <col min="2" max="2" width="41.140625" customWidth="1"/>
    <col min="4" max="4" width="11" customWidth="1"/>
    <col min="5" max="5" width="11.28515625" customWidth="1"/>
  </cols>
  <sheetData>
    <row r="1" spans="1:5" ht="15.75" x14ac:dyDescent="0.25">
      <c r="A1" s="213"/>
      <c r="B1" s="214" t="s">
        <v>0</v>
      </c>
      <c r="C1" s="213"/>
      <c r="D1" s="213"/>
      <c r="E1" s="213"/>
    </row>
    <row r="2" spans="1:5" x14ac:dyDescent="0.25">
      <c r="A2" s="213"/>
      <c r="B2" s="213"/>
      <c r="C2" s="213"/>
      <c r="D2" s="213"/>
      <c r="E2" s="213"/>
    </row>
    <row r="3" spans="1:5" x14ac:dyDescent="0.25">
      <c r="A3" s="213"/>
      <c r="B3" s="215" t="s">
        <v>78</v>
      </c>
      <c r="C3" s="213"/>
      <c r="D3" s="213"/>
      <c r="E3" s="213"/>
    </row>
    <row r="4" spans="1:5" x14ac:dyDescent="0.25">
      <c r="A4" s="213"/>
      <c r="B4" s="215" t="s">
        <v>129</v>
      </c>
      <c r="C4" s="213"/>
      <c r="D4" s="213"/>
      <c r="E4" s="213"/>
    </row>
    <row r="5" spans="1:5" x14ac:dyDescent="0.25">
      <c r="A5" s="213"/>
      <c r="B5" s="213" t="s">
        <v>71</v>
      </c>
      <c r="C5" s="213"/>
      <c r="D5" s="213"/>
      <c r="E5" s="213"/>
    </row>
    <row r="6" spans="1:5" x14ac:dyDescent="0.25">
      <c r="A6" s="216"/>
      <c r="B6" s="216"/>
      <c r="C6" s="216"/>
      <c r="D6" s="217"/>
      <c r="E6" s="218"/>
    </row>
    <row r="7" spans="1:5" ht="15.75" x14ac:dyDescent="0.25">
      <c r="A7" s="219"/>
      <c r="B7" s="220" t="s">
        <v>3</v>
      </c>
      <c r="C7" s="221" t="s">
        <v>4</v>
      </c>
      <c r="D7" s="544" t="s">
        <v>5</v>
      </c>
      <c r="E7" s="545"/>
    </row>
    <row r="8" spans="1:5" ht="15.75" x14ac:dyDescent="0.25">
      <c r="A8" s="222"/>
      <c r="B8" s="220" t="s">
        <v>6</v>
      </c>
      <c r="C8" s="221" t="s">
        <v>7</v>
      </c>
      <c r="D8" s="546" t="s">
        <v>116</v>
      </c>
      <c r="E8" s="547"/>
    </row>
    <row r="9" spans="1:5" x14ac:dyDescent="0.25">
      <c r="A9" s="223"/>
      <c r="B9" s="223"/>
      <c r="C9" s="223"/>
      <c r="D9" s="224"/>
      <c r="E9" s="225"/>
    </row>
    <row r="10" spans="1:5" x14ac:dyDescent="0.25">
      <c r="A10" s="223"/>
      <c r="B10" s="226" t="s">
        <v>8</v>
      </c>
      <c r="C10" s="223"/>
      <c r="D10" s="224">
        <v>27964.38</v>
      </c>
      <c r="E10" s="225"/>
    </row>
    <row r="11" spans="1:5" x14ac:dyDescent="0.25">
      <c r="A11" s="227"/>
      <c r="B11" s="228" t="s">
        <v>9</v>
      </c>
      <c r="C11" s="227" t="s">
        <v>10</v>
      </c>
      <c r="D11" s="227">
        <v>5460.6</v>
      </c>
      <c r="E11" s="227"/>
    </row>
    <row r="12" spans="1:5" x14ac:dyDescent="0.25">
      <c r="A12" s="227"/>
      <c r="B12" s="228" t="s">
        <v>11</v>
      </c>
      <c r="C12" s="227" t="s">
        <v>10</v>
      </c>
      <c r="D12" s="227">
        <v>4405.1000000000004</v>
      </c>
      <c r="E12" s="227"/>
    </row>
    <row r="13" spans="1:5" x14ac:dyDescent="0.25">
      <c r="A13" s="227"/>
      <c r="B13" s="229" t="s">
        <v>12</v>
      </c>
      <c r="C13" s="227" t="s">
        <v>55</v>
      </c>
      <c r="D13" s="227">
        <f>84710.1*2</f>
        <v>169420.2</v>
      </c>
      <c r="E13" s="227"/>
    </row>
    <row r="14" spans="1:5" x14ac:dyDescent="0.25">
      <c r="A14" s="227"/>
      <c r="B14" s="227"/>
      <c r="C14" s="227"/>
      <c r="D14" s="227"/>
      <c r="E14" s="227"/>
    </row>
    <row r="15" spans="1:5" ht="15.75" x14ac:dyDescent="0.25">
      <c r="A15" s="227"/>
      <c r="B15" s="230" t="s">
        <v>14</v>
      </c>
      <c r="C15" s="227"/>
      <c r="D15" s="227"/>
      <c r="E15" s="227"/>
    </row>
    <row r="16" spans="1:5" x14ac:dyDescent="0.25">
      <c r="A16" s="227">
        <v>1</v>
      </c>
      <c r="B16" s="227" t="s">
        <v>15</v>
      </c>
      <c r="C16" s="227" t="s">
        <v>13</v>
      </c>
      <c r="D16" s="227">
        <f>329780.33-156727.74</f>
        <v>173052.59000000003</v>
      </c>
      <c r="E16" s="227"/>
    </row>
    <row r="17" spans="1:5" x14ac:dyDescent="0.25">
      <c r="A17" s="227">
        <v>2</v>
      </c>
      <c r="B17" s="227" t="s">
        <v>102</v>
      </c>
      <c r="C17" s="227"/>
      <c r="D17" s="227">
        <f>3000+500+987.28+2071.5</f>
        <v>6558.78</v>
      </c>
      <c r="E17" s="227"/>
    </row>
    <row r="18" spans="1:5" ht="15.75" x14ac:dyDescent="0.25">
      <c r="A18" s="227"/>
      <c r="B18" s="230" t="s">
        <v>17</v>
      </c>
      <c r="C18" s="227"/>
      <c r="D18" s="231">
        <f>D16</f>
        <v>173052.59000000003</v>
      </c>
      <c r="E18" s="227"/>
    </row>
    <row r="19" spans="1:5" ht="15.75" x14ac:dyDescent="0.25">
      <c r="A19" s="227"/>
      <c r="B19" s="230"/>
      <c r="C19" s="227"/>
      <c r="D19" s="231"/>
      <c r="E19" s="227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12776.73</v>
      </c>
      <c r="E21" s="26">
        <f>E22</f>
        <v>2895.6475800000003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11052.09</v>
      </c>
      <c r="E22" s="26">
        <f>E23</f>
        <v>2895.6475800000003</v>
      </c>
    </row>
    <row r="23" spans="1:5" x14ac:dyDescent="0.25">
      <c r="A23" s="20"/>
      <c r="B23" s="20" t="s">
        <v>23</v>
      </c>
      <c r="C23" s="20"/>
      <c r="D23" s="227">
        <f>5520.52+5531.57</f>
        <v>11052.09</v>
      </c>
      <c r="E23" s="28">
        <f>D23*26.2%</f>
        <v>2895.6475800000003</v>
      </c>
    </row>
    <row r="24" spans="1:5" x14ac:dyDescent="0.25">
      <c r="A24" s="20"/>
      <c r="B24" s="20" t="s">
        <v>24</v>
      </c>
      <c r="C24" s="20"/>
      <c r="D24" s="227">
        <v>0</v>
      </c>
      <c r="E24" s="28"/>
    </row>
    <row r="25" spans="1:5" x14ac:dyDescent="0.25">
      <c r="A25" s="20"/>
      <c r="B25" s="20" t="s">
        <v>25</v>
      </c>
      <c r="C25" s="20"/>
      <c r="D25" s="227">
        <v>0</v>
      </c>
      <c r="E25" s="28"/>
    </row>
    <row r="26" spans="1:5" x14ac:dyDescent="0.25">
      <c r="A26" s="20"/>
      <c r="B26" s="31" t="s">
        <v>81</v>
      </c>
      <c r="C26" s="20"/>
      <c r="D26" s="445">
        <f>1759.46+2356.34</f>
        <v>4115.8</v>
      </c>
      <c r="E26" s="28"/>
    </row>
    <row r="27" spans="1:5" x14ac:dyDescent="0.25">
      <c r="A27" s="20">
        <v>2</v>
      </c>
      <c r="B27" s="27" t="s">
        <v>26</v>
      </c>
      <c r="C27" s="20"/>
      <c r="D27" s="227">
        <v>1724.64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D29+D30+D31</f>
        <v>46875.66</v>
      </c>
      <c r="E28" s="26">
        <f>E29</f>
        <v>10871.776460000001</v>
      </c>
    </row>
    <row r="29" spans="1:5" x14ac:dyDescent="0.25">
      <c r="A29" s="20">
        <v>1</v>
      </c>
      <c r="B29" s="31" t="s">
        <v>29</v>
      </c>
      <c r="C29" s="20"/>
      <c r="D29" s="227">
        <f>20627.57+20867.76</f>
        <v>41495.33</v>
      </c>
      <c r="E29" s="28">
        <f>D29*26.2%</f>
        <v>10871.776460000001</v>
      </c>
    </row>
    <row r="30" spans="1:5" x14ac:dyDescent="0.25">
      <c r="A30" s="20">
        <v>2</v>
      </c>
      <c r="B30" s="31" t="s">
        <v>26</v>
      </c>
      <c r="C30" s="20"/>
      <c r="D30" s="446">
        <v>1024.33</v>
      </c>
      <c r="E30" s="20"/>
    </row>
    <row r="31" spans="1:5" x14ac:dyDescent="0.25">
      <c r="A31" s="20">
        <v>3</v>
      </c>
      <c r="B31" s="31" t="s">
        <v>69</v>
      </c>
      <c r="C31" s="20"/>
      <c r="D31" s="33">
        <v>4356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D33+D34+D35+D36+D37+D38</f>
        <v>21122.109499999999</v>
      </c>
      <c r="E32" s="20"/>
    </row>
    <row r="33" spans="1:5" x14ac:dyDescent="0.25">
      <c r="A33" s="20"/>
      <c r="B33" s="20" t="s">
        <v>32</v>
      </c>
      <c r="C33" s="20"/>
      <c r="D33" s="28">
        <f>D18*5%</f>
        <v>8652.6295000000009</v>
      </c>
      <c r="E33" s="20"/>
    </row>
    <row r="34" spans="1:5" x14ac:dyDescent="0.25">
      <c r="A34" s="20"/>
      <c r="B34" s="20" t="s">
        <v>61</v>
      </c>
      <c r="C34" s="227"/>
      <c r="D34" s="445">
        <f>243.26+237.55</f>
        <v>480.81</v>
      </c>
      <c r="E34" s="20"/>
    </row>
    <row r="35" spans="1:5" x14ac:dyDescent="0.25">
      <c r="A35" s="20"/>
      <c r="B35" s="227" t="s">
        <v>34</v>
      </c>
      <c r="C35" s="227"/>
      <c r="D35" s="227">
        <v>7371.64</v>
      </c>
      <c r="E35" s="20"/>
    </row>
    <row r="36" spans="1:5" x14ac:dyDescent="0.25">
      <c r="A36" s="20"/>
      <c r="B36" s="27" t="s">
        <v>36</v>
      </c>
      <c r="C36" s="227"/>
      <c r="D36" s="227">
        <v>1228.8599999999999</v>
      </c>
      <c r="E36" s="20"/>
    </row>
    <row r="37" spans="1:5" x14ac:dyDescent="0.25">
      <c r="A37" s="20"/>
      <c r="B37" s="27" t="s">
        <v>35</v>
      </c>
      <c r="C37" s="227"/>
      <c r="D37" s="227">
        <v>547.73</v>
      </c>
      <c r="E37" s="20"/>
    </row>
    <row r="38" spans="1:5" x14ac:dyDescent="0.25">
      <c r="A38" s="20"/>
      <c r="B38" s="227" t="s">
        <v>38</v>
      </c>
      <c r="C38" s="227"/>
      <c r="D38" s="227">
        <v>2840.44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26473.71</v>
      </c>
      <c r="E39" s="26">
        <f>E40</f>
        <v>5269.68984</v>
      </c>
    </row>
    <row r="40" spans="1:5" x14ac:dyDescent="0.25">
      <c r="A40" s="73"/>
      <c r="B40" s="31" t="s">
        <v>40</v>
      </c>
      <c r="C40" s="31"/>
      <c r="D40" s="33">
        <v>20113.32</v>
      </c>
      <c r="E40" s="28">
        <f>D40*26.2%</f>
        <v>5269.68984</v>
      </c>
    </row>
    <row r="41" spans="1:5" x14ac:dyDescent="0.25">
      <c r="A41" s="73"/>
      <c r="B41" s="27" t="s">
        <v>41</v>
      </c>
      <c r="C41" s="20"/>
      <c r="D41" s="33">
        <v>6360.39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D21+E21+D28+E28+D32+D39+E39</f>
        <v>126285.32337999999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10383.155400000001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136668.47877999998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36384.11122000005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64348.491220000054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2" max="2" width="40.7109375" customWidth="1"/>
    <col min="4" max="4" width="11" customWidth="1"/>
    <col min="5" max="5" width="10.5703125" customWidth="1"/>
  </cols>
  <sheetData>
    <row r="1" spans="1:5" ht="15.75" x14ac:dyDescent="0.25">
      <c r="A1" s="232"/>
      <c r="B1" s="233" t="s">
        <v>0</v>
      </c>
      <c r="C1" s="232"/>
      <c r="D1" s="232"/>
      <c r="E1" s="232"/>
    </row>
    <row r="2" spans="1:5" x14ac:dyDescent="0.25">
      <c r="A2" s="232"/>
      <c r="B2" s="232"/>
      <c r="C2" s="232"/>
      <c r="D2" s="232"/>
      <c r="E2" s="232"/>
    </row>
    <row r="3" spans="1:5" x14ac:dyDescent="0.25">
      <c r="A3" s="232"/>
      <c r="B3" s="232" t="s">
        <v>1</v>
      </c>
      <c r="C3" s="232"/>
      <c r="D3" s="232"/>
      <c r="E3" s="232"/>
    </row>
    <row r="4" spans="1:5" x14ac:dyDescent="0.25">
      <c r="A4" s="232"/>
      <c r="B4" s="447" t="s">
        <v>130</v>
      </c>
      <c r="C4" s="232"/>
      <c r="D4" s="232"/>
      <c r="E4" s="232"/>
    </row>
    <row r="5" spans="1:5" x14ac:dyDescent="0.25">
      <c r="A5" s="232"/>
      <c r="B5" s="232" t="s">
        <v>79</v>
      </c>
      <c r="C5" s="232"/>
      <c r="D5" s="232"/>
      <c r="E5" s="232"/>
    </row>
    <row r="6" spans="1:5" x14ac:dyDescent="0.25">
      <c r="A6" s="234"/>
      <c r="B6" s="234"/>
      <c r="C6" s="234"/>
      <c r="D6" s="235"/>
      <c r="E6" s="236"/>
    </row>
    <row r="7" spans="1:5" ht="15.75" x14ac:dyDescent="0.25">
      <c r="A7" s="237"/>
      <c r="B7" s="238" t="s">
        <v>3</v>
      </c>
      <c r="C7" s="239" t="s">
        <v>4</v>
      </c>
      <c r="D7" s="548" t="s">
        <v>5</v>
      </c>
      <c r="E7" s="549"/>
    </row>
    <row r="8" spans="1:5" ht="15.75" x14ac:dyDescent="0.25">
      <c r="A8" s="240"/>
      <c r="B8" s="238" t="s">
        <v>6</v>
      </c>
      <c r="C8" s="239" t="s">
        <v>7</v>
      </c>
      <c r="D8" s="550" t="s">
        <v>116</v>
      </c>
      <c r="E8" s="551"/>
    </row>
    <row r="9" spans="1:5" x14ac:dyDescent="0.25">
      <c r="A9" s="241"/>
      <c r="B9" s="241"/>
      <c r="C9" s="241"/>
      <c r="D9" s="242"/>
      <c r="E9" s="243"/>
    </row>
    <row r="10" spans="1:5" x14ac:dyDescent="0.25">
      <c r="A10" s="241"/>
      <c r="B10" s="244" t="s">
        <v>8</v>
      </c>
      <c r="C10" s="241"/>
      <c r="D10" s="242">
        <v>-109768.1</v>
      </c>
      <c r="E10" s="243"/>
    </row>
    <row r="11" spans="1:5" x14ac:dyDescent="0.25">
      <c r="A11" s="245"/>
      <c r="B11" s="246" t="s">
        <v>9</v>
      </c>
      <c r="C11" s="245" t="s">
        <v>10</v>
      </c>
      <c r="D11" s="245">
        <v>4143.2</v>
      </c>
      <c r="E11" s="245"/>
    </row>
    <row r="12" spans="1:5" x14ac:dyDescent="0.25">
      <c r="A12" s="245"/>
      <c r="B12" s="246" t="s">
        <v>11</v>
      </c>
      <c r="C12" s="245" t="s">
        <v>10</v>
      </c>
      <c r="D12" s="245">
        <v>2538.1999999999998</v>
      </c>
      <c r="E12" s="245"/>
    </row>
    <row r="13" spans="1:5" x14ac:dyDescent="0.25">
      <c r="A13" s="245"/>
      <c r="B13" s="247" t="s">
        <v>12</v>
      </c>
      <c r="C13" s="245" t="s">
        <v>55</v>
      </c>
      <c r="D13" s="245">
        <v>97577.04</v>
      </c>
      <c r="E13" s="245"/>
    </row>
    <row r="14" spans="1:5" x14ac:dyDescent="0.25">
      <c r="A14" s="245"/>
      <c r="B14" s="245"/>
      <c r="C14" s="245"/>
      <c r="D14" s="245"/>
      <c r="E14" s="245"/>
    </row>
    <row r="15" spans="1:5" ht="15.75" x14ac:dyDescent="0.25">
      <c r="A15" s="245"/>
      <c r="B15" s="248" t="s">
        <v>14</v>
      </c>
      <c r="C15" s="245"/>
      <c r="D15" s="245"/>
      <c r="E15" s="245"/>
    </row>
    <row r="16" spans="1:5" x14ac:dyDescent="0.25">
      <c r="A16" s="245">
        <v>1</v>
      </c>
      <c r="B16" s="245" t="s">
        <v>15</v>
      </c>
      <c r="C16" s="245" t="s">
        <v>13</v>
      </c>
      <c r="D16" s="245">
        <f>195400.42-92662.23</f>
        <v>102738.19000000002</v>
      </c>
      <c r="E16" s="245"/>
    </row>
    <row r="17" spans="1:5" x14ac:dyDescent="0.25">
      <c r="A17" s="245">
        <v>2</v>
      </c>
      <c r="B17" s="245" t="s">
        <v>102</v>
      </c>
      <c r="C17" s="245"/>
      <c r="D17" s="245">
        <v>3500</v>
      </c>
      <c r="E17" s="245"/>
    </row>
    <row r="18" spans="1:5" ht="15.75" x14ac:dyDescent="0.25">
      <c r="A18" s="245"/>
      <c r="B18" s="248" t="s">
        <v>17</v>
      </c>
      <c r="C18" s="245"/>
      <c r="D18" s="249">
        <f>D16+D17</f>
        <v>106238.19000000002</v>
      </c>
      <c r="E18" s="245"/>
    </row>
    <row r="19" spans="1:5" ht="15.75" x14ac:dyDescent="0.25">
      <c r="A19" s="245"/>
      <c r="B19" s="248"/>
      <c r="C19" s="245"/>
      <c r="D19" s="249"/>
      <c r="E19" s="245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D22+D26</f>
        <v>15288.300000000001</v>
      </c>
      <c r="E21" s="26">
        <f>E22</f>
        <v>3747.3021600000002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14302.68</v>
      </c>
      <c r="E22" s="26">
        <f>E23</f>
        <v>3747.3021600000002</v>
      </c>
    </row>
    <row r="23" spans="1:5" x14ac:dyDescent="0.25">
      <c r="A23" s="20"/>
      <c r="B23" s="20" t="s">
        <v>23</v>
      </c>
      <c r="C23" s="20"/>
      <c r="D23" s="245">
        <f>7144.19+7158.49</f>
        <v>14302.68</v>
      </c>
      <c r="E23" s="28">
        <f>D23*26.2%</f>
        <v>3747.3021600000002</v>
      </c>
    </row>
    <row r="24" spans="1:5" x14ac:dyDescent="0.25">
      <c r="A24" s="20"/>
      <c r="B24" s="20" t="s">
        <v>24</v>
      </c>
      <c r="C24" s="20"/>
      <c r="D24" s="245">
        <v>0</v>
      </c>
      <c r="E24" s="28"/>
    </row>
    <row r="25" spans="1:5" x14ac:dyDescent="0.25">
      <c r="A25" s="20"/>
      <c r="B25" s="20" t="s">
        <v>25</v>
      </c>
      <c r="C25" s="20"/>
      <c r="D25" s="245">
        <v>0</v>
      </c>
      <c r="E25" s="28"/>
    </row>
    <row r="26" spans="1:5" x14ac:dyDescent="0.25">
      <c r="A26" s="20">
        <v>2</v>
      </c>
      <c r="B26" s="27" t="s">
        <v>26</v>
      </c>
      <c r="C26" s="20"/>
      <c r="D26" s="245">
        <v>985.62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31622.179999999997</v>
      </c>
      <c r="E27" s="26">
        <f>E28</f>
        <v>6213.0732399999997</v>
      </c>
    </row>
    <row r="28" spans="1:5" x14ac:dyDescent="0.25">
      <c r="A28" s="20">
        <v>1</v>
      </c>
      <c r="B28" s="31" t="s">
        <v>103</v>
      </c>
      <c r="C28" s="20"/>
      <c r="D28" s="245">
        <f>11788.38+11925.64</f>
        <v>23714.019999999997</v>
      </c>
      <c r="E28" s="28">
        <f>D28*26.2%</f>
        <v>6213.0732399999997</v>
      </c>
    </row>
    <row r="29" spans="1:5" x14ac:dyDescent="0.25">
      <c r="A29" s="20">
        <v>2</v>
      </c>
      <c r="B29" s="31" t="s">
        <v>26</v>
      </c>
      <c r="C29" s="20"/>
      <c r="D29" s="448">
        <v>7908.16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18880.2595</v>
      </c>
      <c r="E30" s="20"/>
    </row>
    <row r="31" spans="1:5" x14ac:dyDescent="0.25">
      <c r="A31" s="20"/>
      <c r="B31" s="20" t="s">
        <v>32</v>
      </c>
      <c r="C31" s="20"/>
      <c r="D31" s="28">
        <f>D18*5%</f>
        <v>5311.9095000000016</v>
      </c>
      <c r="E31" s="20"/>
    </row>
    <row r="32" spans="1:5" x14ac:dyDescent="0.25">
      <c r="A32" s="20"/>
      <c r="B32" s="20" t="s">
        <v>61</v>
      </c>
      <c r="C32" s="245"/>
      <c r="D32" s="449">
        <f>319.47+311.97</f>
        <v>631.44000000000005</v>
      </c>
      <c r="E32" s="20"/>
    </row>
    <row r="33" spans="1:5" x14ac:dyDescent="0.25">
      <c r="A33" s="20"/>
      <c r="B33" s="245" t="s">
        <v>34</v>
      </c>
      <c r="C33" s="245"/>
      <c r="D33" s="245">
        <v>4212.79</v>
      </c>
      <c r="E33" s="20"/>
    </row>
    <row r="34" spans="1:5" x14ac:dyDescent="0.25">
      <c r="A34" s="20"/>
      <c r="B34" s="171" t="s">
        <v>75</v>
      </c>
      <c r="C34" s="245"/>
      <c r="D34" s="245">
        <v>6085.55</v>
      </c>
      <c r="E34" s="20"/>
    </row>
    <row r="35" spans="1:5" x14ac:dyDescent="0.25">
      <c r="A35" s="20"/>
      <c r="B35" s="27" t="s">
        <v>36</v>
      </c>
      <c r="C35" s="245"/>
      <c r="D35" s="245">
        <v>702.28</v>
      </c>
      <c r="E35" s="20"/>
    </row>
    <row r="36" spans="1:5" x14ac:dyDescent="0.25">
      <c r="A36" s="20"/>
      <c r="B36" s="27" t="s">
        <v>35</v>
      </c>
      <c r="C36" s="245"/>
      <c r="D36" s="450">
        <v>313.02</v>
      </c>
      <c r="E36" s="20"/>
    </row>
    <row r="37" spans="1:5" x14ac:dyDescent="0.25">
      <c r="A37" s="20"/>
      <c r="B37" s="245" t="s">
        <v>38</v>
      </c>
      <c r="C37" s="245"/>
      <c r="D37" s="245">
        <v>1623.27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15129.36</v>
      </c>
      <c r="E38" s="26">
        <f>E39</f>
        <v>3011.55638</v>
      </c>
    </row>
    <row r="39" spans="1:5" x14ac:dyDescent="0.25">
      <c r="A39" s="73"/>
      <c r="B39" s="31" t="s">
        <v>40</v>
      </c>
      <c r="C39" s="31"/>
      <c r="D39" s="33">
        <v>11494.49</v>
      </c>
      <c r="E39" s="28">
        <f>D39*26.2%</f>
        <v>3011.55638</v>
      </c>
    </row>
    <row r="40" spans="1:5" x14ac:dyDescent="0.25">
      <c r="A40" s="73"/>
      <c r="B40" s="31" t="s">
        <v>41</v>
      </c>
      <c r="C40" s="20"/>
      <c r="D40" s="33">
        <v>3634.87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D21+E21+D27+E27+D30+D38</f>
        <v>90880.474900000001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6374.291400000001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97254.766300000003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8983.4237000000139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-100784.67629999999</v>
      </c>
      <c r="E46" s="20"/>
    </row>
    <row r="47" spans="1:5" x14ac:dyDescent="0.25">
      <c r="A47" s="34"/>
      <c r="B47" s="35"/>
      <c r="C47" s="34"/>
      <c r="D47" s="232"/>
    </row>
    <row r="48" spans="1:5" x14ac:dyDescent="0.25">
      <c r="A48" s="37"/>
      <c r="B48" s="37" t="s">
        <v>47</v>
      </c>
      <c r="C48" s="250" t="s">
        <v>48</v>
      </c>
      <c r="D48" s="232"/>
    </row>
    <row r="49" spans="1:4" x14ac:dyDescent="0.25">
      <c r="A49" s="37"/>
      <c r="B49" s="37" t="s">
        <v>49</v>
      </c>
      <c r="C49" s="250" t="s">
        <v>50</v>
      </c>
      <c r="D49" s="232"/>
    </row>
    <row r="50" spans="1:4" x14ac:dyDescent="0.25">
      <c r="D50" s="232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B50" sqref="B50"/>
    </sheetView>
  </sheetViews>
  <sheetFormatPr defaultRowHeight="15" x14ac:dyDescent="0.25"/>
  <cols>
    <col min="2" max="2" width="40.28515625" customWidth="1"/>
    <col min="4" max="4" width="10.7109375" customWidth="1"/>
    <col min="5" max="5" width="10.42578125" customWidth="1"/>
  </cols>
  <sheetData>
    <row r="1" spans="1:5" ht="15.75" x14ac:dyDescent="0.25">
      <c r="A1" s="251"/>
      <c r="B1" s="252" t="s">
        <v>0</v>
      </c>
      <c r="C1" s="251"/>
      <c r="D1" s="251"/>
      <c r="E1" s="251"/>
    </row>
    <row r="2" spans="1:5" x14ac:dyDescent="0.25">
      <c r="A2" s="251"/>
      <c r="B2" s="251"/>
      <c r="C2" s="251"/>
      <c r="D2" s="251"/>
      <c r="E2" s="251"/>
    </row>
    <row r="3" spans="1:5" x14ac:dyDescent="0.25">
      <c r="A3" s="251"/>
      <c r="B3" s="251" t="s">
        <v>121</v>
      </c>
      <c r="C3" s="251"/>
      <c r="D3" s="251"/>
      <c r="E3" s="251"/>
    </row>
    <row r="4" spans="1:5" x14ac:dyDescent="0.25">
      <c r="A4" s="251"/>
      <c r="B4" s="451" t="s">
        <v>131</v>
      </c>
      <c r="C4" s="251"/>
      <c r="D4" s="251"/>
      <c r="E4" s="251"/>
    </row>
    <row r="5" spans="1:5" x14ac:dyDescent="0.25">
      <c r="A5" s="251"/>
      <c r="B5" s="251" t="s">
        <v>71</v>
      </c>
      <c r="C5" s="251"/>
      <c r="D5" s="251"/>
      <c r="E5" s="251"/>
    </row>
    <row r="6" spans="1:5" ht="15.75" x14ac:dyDescent="0.25">
      <c r="A6" s="253"/>
      <c r="B6" s="486" t="s">
        <v>3</v>
      </c>
      <c r="C6" s="487" t="s">
        <v>4</v>
      </c>
      <c r="D6" s="552" t="s">
        <v>5</v>
      </c>
      <c r="E6" s="553"/>
    </row>
    <row r="7" spans="1:5" ht="15.75" x14ac:dyDescent="0.25">
      <c r="A7" s="256"/>
      <c r="B7" s="254" t="s">
        <v>6</v>
      </c>
      <c r="C7" s="255" t="s">
        <v>7</v>
      </c>
      <c r="D7" s="554" t="s">
        <v>114</v>
      </c>
      <c r="E7" s="555"/>
    </row>
    <row r="8" spans="1:5" x14ac:dyDescent="0.25">
      <c r="A8" s="257"/>
      <c r="B8" s="257"/>
      <c r="C8" s="257"/>
      <c r="D8" s="258"/>
      <c r="E8" s="259"/>
    </row>
    <row r="9" spans="1:5" x14ac:dyDescent="0.25">
      <c r="A9" s="257"/>
      <c r="B9" s="260" t="s">
        <v>8</v>
      </c>
      <c r="C9" s="257"/>
      <c r="D9" s="258">
        <v>-12279.1</v>
      </c>
      <c r="E9" s="259"/>
    </row>
    <row r="10" spans="1:5" x14ac:dyDescent="0.25">
      <c r="A10" s="261"/>
      <c r="B10" s="262" t="s">
        <v>9</v>
      </c>
      <c r="C10" s="261" t="s">
        <v>10</v>
      </c>
      <c r="D10" s="261">
        <v>5388.2</v>
      </c>
      <c r="E10" s="261"/>
    </row>
    <row r="11" spans="1:5" x14ac:dyDescent="0.25">
      <c r="A11" s="261"/>
      <c r="B11" s="262" t="s">
        <v>11</v>
      </c>
      <c r="C11" s="261" t="s">
        <v>10</v>
      </c>
      <c r="D11" s="261">
        <v>4378</v>
      </c>
      <c r="E11" s="261"/>
    </row>
    <row r="12" spans="1:5" x14ac:dyDescent="0.25">
      <c r="A12" s="261"/>
      <c r="B12" s="263" t="s">
        <v>12</v>
      </c>
      <c r="C12" s="261" t="s">
        <v>55</v>
      </c>
      <c r="D12" s="261">
        <v>167832.12</v>
      </c>
      <c r="E12" s="261"/>
    </row>
    <row r="13" spans="1:5" x14ac:dyDescent="0.25">
      <c r="A13" s="261"/>
      <c r="B13" s="261"/>
      <c r="C13" s="261"/>
      <c r="D13" s="261"/>
      <c r="E13" s="261"/>
    </row>
    <row r="14" spans="1:5" ht="15.75" x14ac:dyDescent="0.25">
      <c r="A14" s="261"/>
      <c r="B14" s="264" t="s">
        <v>14</v>
      </c>
      <c r="C14" s="261"/>
      <c r="D14" s="261"/>
      <c r="E14" s="261"/>
    </row>
    <row r="15" spans="1:5" x14ac:dyDescent="0.25">
      <c r="A15" s="261">
        <v>1</v>
      </c>
      <c r="B15" s="261" t="s">
        <v>15</v>
      </c>
      <c r="C15" s="261" t="s">
        <v>13</v>
      </c>
      <c r="D15" s="261">
        <f>333321.17-152413.64</f>
        <v>180907.52999999997</v>
      </c>
      <c r="E15" s="261"/>
    </row>
    <row r="16" spans="1:5" x14ac:dyDescent="0.25">
      <c r="A16" s="261">
        <v>2</v>
      </c>
      <c r="B16" s="261" t="s">
        <v>102</v>
      </c>
      <c r="C16" s="261"/>
      <c r="D16" s="261">
        <f>3000+2974+2456+500</f>
        <v>8930</v>
      </c>
      <c r="E16" s="261"/>
    </row>
    <row r="17" spans="1:5" ht="15.75" x14ac:dyDescent="0.25">
      <c r="A17" s="261"/>
      <c r="B17" s="264" t="s">
        <v>17</v>
      </c>
      <c r="C17" s="261"/>
      <c r="D17" s="265">
        <f>D15+D16</f>
        <v>189837.52999999997</v>
      </c>
      <c r="E17" s="261"/>
    </row>
    <row r="18" spans="1:5" ht="15.75" x14ac:dyDescent="0.25">
      <c r="A18" s="261"/>
      <c r="B18" s="264"/>
      <c r="C18" s="261"/>
      <c r="D18" s="265"/>
      <c r="E18" s="261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33110.68</v>
      </c>
      <c r="E20" s="26">
        <f>E21</f>
        <v>8229.592920000001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31410.660000000003</v>
      </c>
      <c r="E21" s="26">
        <f>E22+E25</f>
        <v>8229.592920000001</v>
      </c>
    </row>
    <row r="22" spans="1:5" x14ac:dyDescent="0.25">
      <c r="A22" s="20"/>
      <c r="B22" s="20" t="s">
        <v>23</v>
      </c>
      <c r="C22" s="20"/>
      <c r="D22" s="261">
        <f>9417.33+9436.18</f>
        <v>18853.510000000002</v>
      </c>
      <c r="E22" s="28">
        <f>D22*26.2%</f>
        <v>4939.6196200000004</v>
      </c>
    </row>
    <row r="23" spans="1:5" x14ac:dyDescent="0.25">
      <c r="A23" s="20"/>
      <c r="B23" s="20" t="s">
        <v>24</v>
      </c>
      <c r="C23" s="20"/>
      <c r="D23" s="261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261">
        <v>0</v>
      </c>
      <c r="E24" s="28">
        <f>D24*26.2%</f>
        <v>0</v>
      </c>
    </row>
    <row r="25" spans="1:5" x14ac:dyDescent="0.25">
      <c r="A25" s="20"/>
      <c r="B25" s="31" t="s">
        <v>81</v>
      </c>
      <c r="C25" s="20"/>
      <c r="D25" s="261">
        <f>7818.72+4738.43</f>
        <v>12557.150000000001</v>
      </c>
      <c r="E25" s="28">
        <f>D25*26.2%</f>
        <v>3289.9733000000006</v>
      </c>
    </row>
    <row r="26" spans="1:5" x14ac:dyDescent="0.25">
      <c r="A26" s="20">
        <v>2</v>
      </c>
      <c r="B26" s="27" t="s">
        <v>26</v>
      </c>
      <c r="C26" s="20"/>
      <c r="D26" s="261">
        <v>1700.02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D28+D29+D30</f>
        <v>47828.91</v>
      </c>
      <c r="E27" s="26">
        <f>E28</f>
        <v>10716.586000000001</v>
      </c>
    </row>
    <row r="28" spans="1:5" x14ac:dyDescent="0.25">
      <c r="A28" s="20">
        <v>1</v>
      </c>
      <c r="B28" s="31" t="s">
        <v>103</v>
      </c>
      <c r="C28" s="20"/>
      <c r="D28" s="452">
        <f>20333.12+20569.88</f>
        <v>40903</v>
      </c>
      <c r="E28" s="28">
        <f>D28*26.2%</f>
        <v>10716.586000000001</v>
      </c>
    </row>
    <row r="29" spans="1:5" x14ac:dyDescent="0.25">
      <c r="A29" s="20">
        <v>2</v>
      </c>
      <c r="B29" s="31" t="s">
        <v>26</v>
      </c>
      <c r="C29" s="20"/>
      <c r="D29" s="453">
        <v>2569.91</v>
      </c>
      <c r="E29" s="20"/>
    </row>
    <row r="30" spans="1:5" x14ac:dyDescent="0.25">
      <c r="A30" s="20"/>
      <c r="B30" s="31" t="s">
        <v>69</v>
      </c>
      <c r="C30" s="20"/>
      <c r="D30" s="33">
        <v>4356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22381.406500000001</v>
      </c>
      <c r="E31" s="20"/>
    </row>
    <row r="32" spans="1:5" x14ac:dyDescent="0.25">
      <c r="A32" s="20"/>
      <c r="B32" s="20" t="s">
        <v>32</v>
      </c>
      <c r="C32" s="20"/>
      <c r="D32" s="28">
        <f>D17*5%</f>
        <v>9491.8764999999985</v>
      </c>
      <c r="E32" s="20"/>
    </row>
    <row r="33" spans="1:5" x14ac:dyDescent="0.25">
      <c r="A33" s="20"/>
      <c r="B33" s="20" t="s">
        <v>61</v>
      </c>
      <c r="C33" s="20"/>
      <c r="D33" s="452">
        <f>542.35+529.64</f>
        <v>1071.99</v>
      </c>
      <c r="E33" s="20"/>
    </row>
    <row r="34" spans="1:5" x14ac:dyDescent="0.25">
      <c r="A34" s="20"/>
      <c r="B34" s="261" t="s">
        <v>34</v>
      </c>
      <c r="C34" s="261"/>
      <c r="D34" s="261">
        <f>3640.44+3625.97</f>
        <v>7266.41</v>
      </c>
      <c r="E34" s="20"/>
    </row>
    <row r="35" spans="1:5" x14ac:dyDescent="0.25">
      <c r="A35" s="20"/>
      <c r="B35" s="27" t="s">
        <v>36</v>
      </c>
      <c r="C35" s="261"/>
      <c r="D35" s="261">
        <v>1211.32</v>
      </c>
      <c r="E35" s="20"/>
    </row>
    <row r="36" spans="1:5" x14ac:dyDescent="0.25">
      <c r="A36" s="20"/>
      <c r="B36" s="454" t="s">
        <v>35</v>
      </c>
      <c r="C36" s="261"/>
      <c r="D36" s="452">
        <v>539.91</v>
      </c>
      <c r="E36" s="20"/>
    </row>
    <row r="37" spans="1:5" x14ac:dyDescent="0.25">
      <c r="A37" s="20"/>
      <c r="B37" s="27" t="s">
        <v>66</v>
      </c>
      <c r="C37" s="20"/>
      <c r="D37" s="20">
        <v>0</v>
      </c>
      <c r="E37" s="20"/>
    </row>
    <row r="38" spans="1:5" x14ac:dyDescent="0.25">
      <c r="A38" s="20"/>
      <c r="B38" s="20" t="s">
        <v>38</v>
      </c>
      <c r="C38" s="20"/>
      <c r="D38" s="20">
        <v>2799.9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26095.800000000003</v>
      </c>
      <c r="E39" s="26">
        <f>E40</f>
        <v>5194.4644000000008</v>
      </c>
    </row>
    <row r="40" spans="1:5" x14ac:dyDescent="0.25">
      <c r="A40" s="73"/>
      <c r="B40" s="31" t="s">
        <v>63</v>
      </c>
      <c r="C40" s="31"/>
      <c r="D40" s="33">
        <v>19826.2</v>
      </c>
      <c r="E40" s="28">
        <f>D40*26.2%</f>
        <v>5194.4644000000008</v>
      </c>
    </row>
    <row r="41" spans="1:5" x14ac:dyDescent="0.25">
      <c r="A41" s="73"/>
      <c r="B41" s="27" t="s">
        <v>41</v>
      </c>
      <c r="C41" s="20"/>
      <c r="D41" s="33">
        <v>6269.6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D20+E20+D27+E27+D31+D39+E39</f>
        <v>153557.43982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11390.251799999998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164947.69162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24889.838379999972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12610.738379999972</v>
      </c>
      <c r="E47" s="20"/>
    </row>
    <row r="48" spans="1:5" x14ac:dyDescent="0.25">
      <c r="A48" s="490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H37" sqref="H37"/>
    </sheetView>
  </sheetViews>
  <sheetFormatPr defaultRowHeight="15" x14ac:dyDescent="0.25"/>
  <cols>
    <col min="1" max="1" width="8" customWidth="1"/>
    <col min="2" max="2" width="43.140625" customWidth="1"/>
    <col min="4" max="4" width="12.28515625" customWidth="1"/>
    <col min="5" max="5" width="12" customWidth="1"/>
  </cols>
  <sheetData>
    <row r="1" spans="1:5" ht="15.75" x14ac:dyDescent="0.25">
      <c r="A1" s="266"/>
      <c r="B1" s="267" t="s">
        <v>0</v>
      </c>
      <c r="C1" s="266"/>
      <c r="D1" s="266"/>
      <c r="E1" s="266"/>
    </row>
    <row r="2" spans="1:5" x14ac:dyDescent="0.25">
      <c r="A2" s="266"/>
      <c r="B2" s="266"/>
      <c r="C2" s="266"/>
      <c r="D2" s="266"/>
      <c r="E2" s="266"/>
    </row>
    <row r="3" spans="1:5" x14ac:dyDescent="0.25">
      <c r="A3" s="266"/>
      <c r="B3" s="268" t="s">
        <v>78</v>
      </c>
      <c r="C3" s="266"/>
      <c r="D3" s="266"/>
      <c r="E3" s="266"/>
    </row>
    <row r="4" spans="1:5" x14ac:dyDescent="0.25">
      <c r="A4" s="266"/>
      <c r="B4" s="268" t="s">
        <v>132</v>
      </c>
      <c r="C4" s="266"/>
      <c r="D4" s="266"/>
      <c r="E4" s="266"/>
    </row>
    <row r="5" spans="1:5" x14ac:dyDescent="0.25">
      <c r="A5" s="556"/>
      <c r="B5" s="556"/>
      <c r="C5" s="556"/>
      <c r="D5" s="426"/>
      <c r="E5" s="269"/>
    </row>
    <row r="6" spans="1:5" x14ac:dyDescent="0.25">
      <c r="A6" s="270"/>
      <c r="B6" s="270"/>
      <c r="C6" s="270"/>
      <c r="D6" s="271"/>
      <c r="E6" s="272"/>
    </row>
    <row r="7" spans="1:5" ht="15.75" x14ac:dyDescent="0.25">
      <c r="A7" s="270"/>
      <c r="B7" s="273" t="s">
        <v>3</v>
      </c>
      <c r="C7" s="274" t="s">
        <v>4</v>
      </c>
      <c r="D7" s="557" t="s">
        <v>5</v>
      </c>
      <c r="E7" s="558"/>
    </row>
    <row r="8" spans="1:5" ht="15.75" x14ac:dyDescent="0.25">
      <c r="A8" s="275"/>
      <c r="B8" s="273" t="s">
        <v>6</v>
      </c>
      <c r="C8" s="274" t="s">
        <v>7</v>
      </c>
      <c r="D8" s="559" t="s">
        <v>133</v>
      </c>
      <c r="E8" s="560"/>
    </row>
    <row r="9" spans="1:5" x14ac:dyDescent="0.25">
      <c r="A9" s="276"/>
      <c r="B9" s="276"/>
      <c r="C9" s="276"/>
      <c r="D9" s="277"/>
      <c r="E9" s="278"/>
    </row>
    <row r="10" spans="1:5" x14ac:dyDescent="0.25">
      <c r="A10" s="276"/>
      <c r="B10" s="279" t="s">
        <v>8</v>
      </c>
      <c r="C10" s="276"/>
      <c r="D10" s="493">
        <v>-137348.59</v>
      </c>
      <c r="E10" s="278"/>
    </row>
    <row r="11" spans="1:5" x14ac:dyDescent="0.25">
      <c r="A11" s="280"/>
      <c r="B11" s="281" t="s">
        <v>9</v>
      </c>
      <c r="C11" s="280" t="s">
        <v>10</v>
      </c>
      <c r="D11" s="280">
        <v>6439.15</v>
      </c>
      <c r="E11" s="280"/>
    </row>
    <row r="12" spans="1:5" x14ac:dyDescent="0.25">
      <c r="A12" s="280"/>
      <c r="B12" s="281" t="s">
        <v>11</v>
      </c>
      <c r="C12" s="280" t="s">
        <v>10</v>
      </c>
      <c r="D12" s="282">
        <v>4391.3</v>
      </c>
      <c r="E12" s="280"/>
    </row>
    <row r="13" spans="1:5" x14ac:dyDescent="0.25">
      <c r="A13" s="280"/>
      <c r="B13" s="283" t="s">
        <v>80</v>
      </c>
      <c r="C13" s="280" t="s">
        <v>13</v>
      </c>
      <c r="D13" s="284">
        <v>183060.12</v>
      </c>
      <c r="E13" s="280"/>
    </row>
    <row r="14" spans="1:5" ht="15.75" x14ac:dyDescent="0.25">
      <c r="A14" s="280"/>
      <c r="B14" s="285" t="s">
        <v>14</v>
      </c>
      <c r="C14" s="280"/>
      <c r="D14" s="280"/>
      <c r="E14" s="280"/>
    </row>
    <row r="15" spans="1:5" x14ac:dyDescent="0.25">
      <c r="A15" s="280">
        <v>1</v>
      </c>
      <c r="B15" s="280" t="s">
        <v>15</v>
      </c>
      <c r="C15" s="280" t="s">
        <v>13</v>
      </c>
      <c r="D15" s="282">
        <f>367885.32-181733.93</f>
        <v>186151.39</v>
      </c>
      <c r="E15" s="280"/>
    </row>
    <row r="16" spans="1:5" x14ac:dyDescent="0.25">
      <c r="A16" s="280"/>
      <c r="B16" s="280"/>
      <c r="C16" s="280"/>
      <c r="D16" s="280"/>
      <c r="E16" s="280"/>
    </row>
    <row r="17" spans="1:5" ht="15.75" x14ac:dyDescent="0.25">
      <c r="A17" s="280"/>
      <c r="B17" s="285" t="s">
        <v>17</v>
      </c>
      <c r="C17" s="280"/>
      <c r="D17" s="286">
        <f>D15</f>
        <v>186151.39</v>
      </c>
      <c r="E17" s="280"/>
    </row>
    <row r="18" spans="1:5" ht="15.75" x14ac:dyDescent="0.25">
      <c r="A18" s="280"/>
      <c r="B18" s="285"/>
      <c r="C18" s="280"/>
      <c r="D18" s="284"/>
      <c r="E18" s="280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66063.559999999983</v>
      </c>
      <c r="E20" s="26">
        <f>E21</f>
        <v>16861.633560000002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D22+D23+D24+D25</f>
        <v>64357.37999999999</v>
      </c>
      <c r="E21" s="26">
        <f>E22+E23+E24+E25</f>
        <v>16861.633560000002</v>
      </c>
    </row>
    <row r="22" spans="1:5" x14ac:dyDescent="0.25">
      <c r="A22" s="20"/>
      <c r="B22" s="20" t="s">
        <v>23</v>
      </c>
      <c r="C22" s="20"/>
      <c r="D22" s="261">
        <f>6169.99+6182.33</f>
        <v>12352.32</v>
      </c>
      <c r="E22" s="28">
        <f>D22*26.2%</f>
        <v>3236.3078399999999</v>
      </c>
    </row>
    <row r="23" spans="1:5" x14ac:dyDescent="0.25">
      <c r="A23" s="20"/>
      <c r="B23" s="31" t="s">
        <v>24</v>
      </c>
      <c r="C23" s="20"/>
      <c r="D23" s="261">
        <f>11468.48+11491.43</f>
        <v>22959.91</v>
      </c>
      <c r="E23" s="28">
        <f>D23*26.2%</f>
        <v>6015.4964200000004</v>
      </c>
    </row>
    <row r="24" spans="1:5" x14ac:dyDescent="0.25">
      <c r="A24" s="20"/>
      <c r="B24" s="20" t="s">
        <v>25</v>
      </c>
      <c r="C24" s="20"/>
      <c r="D24" s="261">
        <f>15771.07+12517.38</f>
        <v>28288.449999999997</v>
      </c>
      <c r="E24" s="28">
        <f>D24*26.2%</f>
        <v>7411.5738999999994</v>
      </c>
    </row>
    <row r="25" spans="1:5" x14ac:dyDescent="0.25">
      <c r="A25" s="20"/>
      <c r="B25" s="31" t="s">
        <v>81</v>
      </c>
      <c r="C25" s="20"/>
      <c r="D25" s="455">
        <v>756.7</v>
      </c>
      <c r="E25" s="28">
        <f>D25*26.2%</f>
        <v>198.25540000000001</v>
      </c>
    </row>
    <row r="26" spans="1:5" x14ac:dyDescent="0.25">
      <c r="A26" s="20">
        <v>2</v>
      </c>
      <c r="B26" s="27" t="s">
        <v>26</v>
      </c>
      <c r="C26" s="20"/>
      <c r="D26" s="261">
        <v>1706.18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44461.919999999998</v>
      </c>
      <c r="E27" s="26">
        <f>E28</f>
        <v>10749.139500000001</v>
      </c>
    </row>
    <row r="28" spans="1:5" x14ac:dyDescent="0.25">
      <c r="A28" s="20">
        <v>1</v>
      </c>
      <c r="B28" s="31" t="s">
        <v>103</v>
      </c>
      <c r="C28" s="20"/>
      <c r="D28" s="261">
        <f>20394.89+20632.36</f>
        <v>41027.25</v>
      </c>
      <c r="E28" s="28">
        <f>D28*26.2%</f>
        <v>10749.139500000001</v>
      </c>
    </row>
    <row r="29" spans="1:5" x14ac:dyDescent="0.25">
      <c r="A29" s="20">
        <v>2</v>
      </c>
      <c r="B29" s="31" t="s">
        <v>26</v>
      </c>
      <c r="C29" s="20"/>
      <c r="D29" s="453">
        <v>3434.67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32448.375330000003</v>
      </c>
      <c r="E30" s="20"/>
    </row>
    <row r="31" spans="1:5" x14ac:dyDescent="0.25">
      <c r="A31" s="20"/>
      <c r="B31" s="20" t="s">
        <v>32</v>
      </c>
      <c r="C31" s="20"/>
      <c r="D31" s="28">
        <f>D17*4.7%</f>
        <v>8749.1153300000005</v>
      </c>
      <c r="E31" s="20"/>
    </row>
    <row r="32" spans="1:5" x14ac:dyDescent="0.25">
      <c r="A32" s="20"/>
      <c r="B32" s="261" t="s">
        <v>61</v>
      </c>
      <c r="C32" s="261"/>
      <c r="D32" s="452">
        <f>284.12+225.99</f>
        <v>510.11</v>
      </c>
      <c r="E32" s="20"/>
    </row>
    <row r="33" spans="1:5" x14ac:dyDescent="0.25">
      <c r="A33" s="20"/>
      <c r="B33" s="261" t="s">
        <v>33</v>
      </c>
      <c r="C33" s="261"/>
      <c r="D33" s="261">
        <v>2679</v>
      </c>
      <c r="E33" s="20"/>
    </row>
    <row r="34" spans="1:5" x14ac:dyDescent="0.25">
      <c r="A34" s="20"/>
      <c r="B34" s="261" t="s">
        <v>34</v>
      </c>
      <c r="C34" s="261"/>
      <c r="D34" s="261">
        <v>7288.48</v>
      </c>
      <c r="E34" s="20"/>
    </row>
    <row r="35" spans="1:5" x14ac:dyDescent="0.25">
      <c r="A35" s="20"/>
      <c r="B35" s="27" t="s">
        <v>36</v>
      </c>
      <c r="C35" s="261"/>
      <c r="D35" s="452">
        <v>1215</v>
      </c>
      <c r="E35" s="20"/>
    </row>
    <row r="36" spans="1:5" x14ac:dyDescent="0.25">
      <c r="A36" s="20"/>
      <c r="B36" s="261" t="s">
        <v>72</v>
      </c>
      <c r="C36" s="261"/>
      <c r="D36" s="261">
        <v>9198.27</v>
      </c>
      <c r="E36" s="20"/>
    </row>
    <row r="37" spans="1:5" x14ac:dyDescent="0.25">
      <c r="A37" s="20"/>
      <c r="B37" s="20" t="s">
        <v>38</v>
      </c>
      <c r="C37" s="20"/>
      <c r="D37" s="20">
        <v>2808.4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26752.62</v>
      </c>
      <c r="E38" s="26">
        <f>E39</f>
        <v>5210.2446600000003</v>
      </c>
    </row>
    <row r="39" spans="1:5" x14ac:dyDescent="0.25">
      <c r="A39" s="494"/>
      <c r="B39" s="31" t="s">
        <v>40</v>
      </c>
      <c r="C39" s="31"/>
      <c r="D39" s="33">
        <v>19886.43</v>
      </c>
      <c r="E39" s="28">
        <f>D39*26.2%</f>
        <v>5210.2446600000003</v>
      </c>
    </row>
    <row r="40" spans="1:5" x14ac:dyDescent="0.25">
      <c r="A40" s="73"/>
      <c r="B40" s="27" t="s">
        <v>41</v>
      </c>
      <c r="C40" s="20"/>
      <c r="D40" s="33">
        <v>6866.19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202547.49304999999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11169.0834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213716.57644999999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D17-D43</f>
        <v>-27565.186449999979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-164913.77644999998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1" max="1" width="7.7109375" customWidth="1"/>
    <col min="2" max="2" width="42" customWidth="1"/>
    <col min="4" max="4" width="10.7109375" customWidth="1"/>
    <col min="5" max="5" width="11.28515625" customWidth="1"/>
  </cols>
  <sheetData>
    <row r="1" spans="1:5" ht="15.75" x14ac:dyDescent="0.25">
      <c r="A1" s="287"/>
      <c r="B1" s="288" t="s">
        <v>0</v>
      </c>
      <c r="C1" s="287"/>
      <c r="D1" s="287"/>
      <c r="E1" s="287"/>
    </row>
    <row r="2" spans="1:5" x14ac:dyDescent="0.25">
      <c r="A2" s="287"/>
      <c r="B2" s="287"/>
      <c r="C2" s="287"/>
      <c r="D2" s="287"/>
      <c r="E2" s="287"/>
    </row>
    <row r="3" spans="1:5" x14ac:dyDescent="0.25">
      <c r="A3" s="287"/>
      <c r="B3" s="287" t="s">
        <v>1</v>
      </c>
      <c r="C3" s="287"/>
      <c r="D3" s="287"/>
      <c r="E3" s="287"/>
    </row>
    <row r="4" spans="1:5" x14ac:dyDescent="0.25">
      <c r="A4" s="287"/>
      <c r="B4" s="456" t="s">
        <v>134</v>
      </c>
      <c r="C4" s="287"/>
      <c r="D4" s="287"/>
      <c r="E4" s="287"/>
    </row>
    <row r="5" spans="1:5" x14ac:dyDescent="0.25">
      <c r="A5" s="287"/>
      <c r="B5" s="287" t="s">
        <v>51</v>
      </c>
      <c r="C5" s="287"/>
      <c r="D5" s="287"/>
      <c r="E5" s="287"/>
    </row>
    <row r="6" spans="1:5" x14ac:dyDescent="0.25">
      <c r="A6" s="289"/>
      <c r="B6" s="289"/>
      <c r="C6" s="289"/>
      <c r="D6" s="290"/>
      <c r="E6" s="291"/>
    </row>
    <row r="7" spans="1:5" ht="15.75" x14ac:dyDescent="0.25">
      <c r="A7" s="292"/>
      <c r="B7" s="293" t="s">
        <v>3</v>
      </c>
      <c r="C7" s="294" t="s">
        <v>4</v>
      </c>
      <c r="D7" s="561" t="s">
        <v>5</v>
      </c>
      <c r="E7" s="562"/>
    </row>
    <row r="8" spans="1:5" ht="15.75" x14ac:dyDescent="0.25">
      <c r="A8" s="295"/>
      <c r="B8" s="293" t="s">
        <v>6</v>
      </c>
      <c r="C8" s="294" t="s">
        <v>7</v>
      </c>
      <c r="D8" s="563" t="s">
        <v>116</v>
      </c>
      <c r="E8" s="564"/>
    </row>
    <row r="9" spans="1:5" x14ac:dyDescent="0.25">
      <c r="A9" s="296"/>
      <c r="B9" s="296"/>
      <c r="C9" s="296"/>
      <c r="D9" s="297"/>
      <c r="E9" s="298"/>
    </row>
    <row r="10" spans="1:5" x14ac:dyDescent="0.25">
      <c r="A10" s="296"/>
      <c r="B10" s="299" t="s">
        <v>8</v>
      </c>
      <c r="C10" s="296"/>
      <c r="D10" s="297">
        <v>-81893.570000000007</v>
      </c>
      <c r="E10" s="298"/>
    </row>
    <row r="11" spans="1:5" x14ac:dyDescent="0.25">
      <c r="A11" s="300"/>
      <c r="B11" s="301" t="s">
        <v>9</v>
      </c>
      <c r="C11" s="300" t="s">
        <v>10</v>
      </c>
      <c r="D11" s="300">
        <v>6610.9</v>
      </c>
      <c r="E11" s="300"/>
    </row>
    <row r="12" spans="1:5" x14ac:dyDescent="0.25">
      <c r="A12" s="300"/>
      <c r="B12" s="301" t="s">
        <v>11</v>
      </c>
      <c r="C12" s="300" t="s">
        <v>10</v>
      </c>
      <c r="D12" s="300">
        <v>5369.9</v>
      </c>
      <c r="E12" s="300"/>
    </row>
    <row r="13" spans="1:5" x14ac:dyDescent="0.25">
      <c r="A13" s="300"/>
      <c r="B13" s="302" t="s">
        <v>12</v>
      </c>
      <c r="C13" s="300" t="s">
        <v>55</v>
      </c>
      <c r="D13" s="303">
        <v>204234.54</v>
      </c>
      <c r="E13" s="300"/>
    </row>
    <row r="14" spans="1:5" x14ac:dyDescent="0.25">
      <c r="A14" s="300"/>
      <c r="B14" s="300"/>
      <c r="C14" s="300"/>
      <c r="D14" s="300"/>
      <c r="E14" s="300"/>
    </row>
    <row r="15" spans="1:5" ht="15.75" x14ac:dyDescent="0.25">
      <c r="A15" s="300"/>
      <c r="B15" s="304" t="s">
        <v>14</v>
      </c>
      <c r="C15" s="300"/>
      <c r="D15" s="300"/>
      <c r="E15" s="300"/>
    </row>
    <row r="16" spans="1:5" x14ac:dyDescent="0.25">
      <c r="A16" s="300">
        <v>1</v>
      </c>
      <c r="B16" s="300" t="s">
        <v>15</v>
      </c>
      <c r="C16" s="300" t="s">
        <v>13</v>
      </c>
      <c r="D16" s="300">
        <f>433619.83-195472.23</f>
        <v>238147.6</v>
      </c>
      <c r="E16" s="300"/>
    </row>
    <row r="17" spans="1:5" x14ac:dyDescent="0.25">
      <c r="A17" s="300">
        <v>2</v>
      </c>
      <c r="B17" s="300" t="s">
        <v>102</v>
      </c>
      <c r="C17" s="300"/>
      <c r="D17" s="300">
        <v>3500</v>
      </c>
      <c r="E17" s="300"/>
    </row>
    <row r="18" spans="1:5" ht="15.75" x14ac:dyDescent="0.25">
      <c r="A18" s="300"/>
      <c r="B18" s="304" t="s">
        <v>17</v>
      </c>
      <c r="C18" s="300"/>
      <c r="D18" s="303">
        <f>D16+D17</f>
        <v>241647.6</v>
      </c>
      <c r="E18" s="300"/>
    </row>
    <row r="19" spans="1:5" ht="15.75" x14ac:dyDescent="0.25">
      <c r="A19" s="300"/>
      <c r="B19" s="304"/>
      <c r="C19" s="300"/>
      <c r="D19" s="303"/>
      <c r="E19" s="300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34616.080000000002</v>
      </c>
      <c r="E21" s="28">
        <f>E22</f>
        <v>8523.0957999999991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32530.9</v>
      </c>
      <c r="E22" s="33">
        <f>E23+E26</f>
        <v>8523.0957999999991</v>
      </c>
    </row>
    <row r="23" spans="1:5" x14ac:dyDescent="0.25">
      <c r="A23" s="20"/>
      <c r="B23" s="20" t="s">
        <v>23</v>
      </c>
      <c r="C23" s="20"/>
      <c r="D23" s="261">
        <f>12827.06+12852.73</f>
        <v>25679.79</v>
      </c>
      <c r="E23" s="28">
        <f>D23*26.2%</f>
        <v>6728.1049800000001</v>
      </c>
    </row>
    <row r="24" spans="1:5" x14ac:dyDescent="0.25">
      <c r="A24" s="20"/>
      <c r="B24" s="20" t="s">
        <v>24</v>
      </c>
      <c r="C24" s="20"/>
      <c r="D24" s="261">
        <v>0</v>
      </c>
      <c r="E24" s="28">
        <f>D24*26.2%</f>
        <v>0</v>
      </c>
    </row>
    <row r="25" spans="1:5" x14ac:dyDescent="0.25">
      <c r="A25" s="20"/>
      <c r="B25" s="20" t="s">
        <v>25</v>
      </c>
      <c r="C25" s="20"/>
      <c r="D25" s="261">
        <v>0</v>
      </c>
      <c r="E25" s="28">
        <f>D25*26.2%</f>
        <v>0</v>
      </c>
    </row>
    <row r="26" spans="1:5" x14ac:dyDescent="0.25">
      <c r="A26" s="20"/>
      <c r="B26" s="31" t="s">
        <v>81</v>
      </c>
      <c r="C26" s="20"/>
      <c r="D26" s="261">
        <v>6851.11</v>
      </c>
      <c r="E26" s="28">
        <f>D26*26.2%</f>
        <v>1794.99082</v>
      </c>
    </row>
    <row r="27" spans="1:5" x14ac:dyDescent="0.25">
      <c r="A27" s="20">
        <v>2</v>
      </c>
      <c r="B27" s="27" t="s">
        <v>26</v>
      </c>
      <c r="C27" s="20"/>
      <c r="D27" s="261">
        <v>2085.1799999999998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55789.64</v>
      </c>
      <c r="E28" s="26">
        <f>E29</f>
        <v>13144.581920000002</v>
      </c>
    </row>
    <row r="29" spans="1:5" x14ac:dyDescent="0.25">
      <c r="A29" s="20">
        <v>1</v>
      </c>
      <c r="B29" s="31" t="s">
        <v>103</v>
      </c>
      <c r="C29" s="20"/>
      <c r="D29" s="261">
        <f>24939.88+25230.28</f>
        <v>50170.16</v>
      </c>
      <c r="E29" s="28">
        <f>D29*26.2%</f>
        <v>13144.581920000002</v>
      </c>
    </row>
    <row r="30" spans="1:5" x14ac:dyDescent="0.25">
      <c r="A30" s="20">
        <v>2</v>
      </c>
      <c r="B30" s="31" t="s">
        <v>26</v>
      </c>
      <c r="C30" s="20"/>
      <c r="D30" s="453">
        <v>5619.48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36107.759999999995</v>
      </c>
      <c r="E31" s="20"/>
    </row>
    <row r="32" spans="1:5" x14ac:dyDescent="0.25">
      <c r="A32" s="20"/>
      <c r="B32" s="20" t="s">
        <v>32</v>
      </c>
      <c r="C32" s="20"/>
      <c r="D32" s="28">
        <f>D18*5%</f>
        <v>12082.380000000001</v>
      </c>
      <c r="E32" s="20"/>
    </row>
    <row r="33" spans="1:5" x14ac:dyDescent="0.25">
      <c r="A33" s="20"/>
      <c r="B33" s="20" t="s">
        <v>61</v>
      </c>
      <c r="C33" s="20"/>
      <c r="D33" s="20">
        <f>355.05+346.72</f>
        <v>701.77</v>
      </c>
      <c r="E33" s="20"/>
    </row>
    <row r="34" spans="1:5" x14ac:dyDescent="0.25">
      <c r="A34" s="20"/>
      <c r="B34" s="20" t="s">
        <v>34</v>
      </c>
      <c r="C34" s="20"/>
      <c r="D34" s="28">
        <v>8912.7199999999993</v>
      </c>
      <c r="E34" s="20"/>
    </row>
    <row r="35" spans="1:5" x14ac:dyDescent="0.25">
      <c r="A35" s="20"/>
      <c r="B35" s="27" t="s">
        <v>36</v>
      </c>
      <c r="C35" s="261"/>
      <c r="D35" s="452">
        <v>1485.76</v>
      </c>
      <c r="E35" s="20"/>
    </row>
    <row r="36" spans="1:5" x14ac:dyDescent="0.25">
      <c r="A36" s="20"/>
      <c r="B36" s="261" t="s">
        <v>72</v>
      </c>
      <c r="C36" s="261"/>
      <c r="D36" s="261">
        <v>8828.65</v>
      </c>
      <c r="E36" s="20"/>
    </row>
    <row r="37" spans="1:5" x14ac:dyDescent="0.25">
      <c r="A37" s="20"/>
      <c r="B37" s="454" t="s">
        <v>35</v>
      </c>
      <c r="C37" s="261"/>
      <c r="D37" s="261">
        <v>662.23</v>
      </c>
      <c r="E37" s="20"/>
    </row>
    <row r="38" spans="1:5" x14ac:dyDescent="0.25">
      <c r="A38" s="20"/>
      <c r="B38" s="261" t="s">
        <v>38</v>
      </c>
      <c r="C38" s="261"/>
      <c r="D38" s="261">
        <v>3434.25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32008.199999999997</v>
      </c>
      <c r="E39" s="26">
        <f>E40</f>
        <v>6371.3474399999996</v>
      </c>
    </row>
    <row r="40" spans="1:5" x14ac:dyDescent="0.25">
      <c r="A40" s="73"/>
      <c r="B40" s="31" t="s">
        <v>40</v>
      </c>
      <c r="C40" s="31"/>
      <c r="D40" s="33">
        <v>24318.12</v>
      </c>
      <c r="E40" s="28">
        <f>D40*26.2%</f>
        <v>6371.3474399999996</v>
      </c>
    </row>
    <row r="41" spans="1:5" x14ac:dyDescent="0.25">
      <c r="A41" s="73"/>
      <c r="B41" s="27" t="s">
        <v>41</v>
      </c>
      <c r="C41" s="20"/>
      <c r="D41" s="33">
        <v>7690.08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D21+E21+D28+E28+D31+D39+E39</f>
        <v>186560.70515999998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14498.856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201059.56115999998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40588.038840000023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-41305.531159999984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B1" sqref="B1"/>
    </sheetView>
  </sheetViews>
  <sheetFormatPr defaultRowHeight="15" x14ac:dyDescent="0.25"/>
  <cols>
    <col min="2" max="2" width="39.5703125" customWidth="1"/>
    <col min="4" max="4" width="10.85546875" customWidth="1"/>
    <col min="5" max="5" width="11.140625" customWidth="1"/>
  </cols>
  <sheetData>
    <row r="1" spans="1:5" ht="15.75" x14ac:dyDescent="0.25">
      <c r="A1" s="305"/>
      <c r="B1" s="306" t="s">
        <v>0</v>
      </c>
      <c r="C1" s="305"/>
      <c r="D1" s="305"/>
      <c r="E1" s="305"/>
    </row>
    <row r="2" spans="1:5" x14ac:dyDescent="0.25">
      <c r="A2" s="305"/>
      <c r="B2" s="305"/>
      <c r="C2" s="305"/>
      <c r="D2" s="305"/>
      <c r="E2" s="305"/>
    </row>
    <row r="3" spans="1:5" x14ac:dyDescent="0.25">
      <c r="A3" s="305"/>
      <c r="B3" s="305" t="s">
        <v>1</v>
      </c>
      <c r="C3" s="305"/>
      <c r="D3" s="305"/>
      <c r="E3" s="305"/>
    </row>
    <row r="4" spans="1:5" x14ac:dyDescent="0.25">
      <c r="A4" s="305"/>
      <c r="B4" s="457" t="s">
        <v>135</v>
      </c>
      <c r="C4" s="305"/>
      <c r="D4" s="305"/>
      <c r="E4" s="305"/>
    </row>
    <row r="5" spans="1:5" x14ac:dyDescent="0.25">
      <c r="A5" s="305"/>
      <c r="B5" s="305" t="s">
        <v>79</v>
      </c>
      <c r="C5" s="305"/>
      <c r="D5" s="305"/>
      <c r="E5" s="305"/>
    </row>
    <row r="6" spans="1:5" x14ac:dyDescent="0.25">
      <c r="A6" s="307"/>
      <c r="B6" s="307"/>
      <c r="C6" s="307"/>
      <c r="D6" s="308"/>
      <c r="E6" s="309"/>
    </row>
    <row r="7" spans="1:5" ht="15.75" x14ac:dyDescent="0.25">
      <c r="A7" s="310"/>
      <c r="B7" s="311" t="s">
        <v>3</v>
      </c>
      <c r="C7" s="312" t="s">
        <v>4</v>
      </c>
      <c r="D7" s="565" t="s">
        <v>5</v>
      </c>
      <c r="E7" s="566"/>
    </row>
    <row r="8" spans="1:5" ht="15.75" x14ac:dyDescent="0.25">
      <c r="A8" s="313"/>
      <c r="B8" s="311" t="s">
        <v>6</v>
      </c>
      <c r="C8" s="312" t="s">
        <v>7</v>
      </c>
      <c r="D8" s="567" t="s">
        <v>114</v>
      </c>
      <c r="E8" s="568"/>
    </row>
    <row r="9" spans="1:5" x14ac:dyDescent="0.25">
      <c r="A9" s="314"/>
      <c r="B9" s="314"/>
      <c r="C9" s="314"/>
      <c r="D9" s="315"/>
      <c r="E9" s="316"/>
    </row>
    <row r="10" spans="1:5" x14ac:dyDescent="0.25">
      <c r="A10" s="314"/>
      <c r="B10" s="317" t="s">
        <v>8</v>
      </c>
      <c r="C10" s="314"/>
      <c r="D10" s="315">
        <v>-135536.32000000001</v>
      </c>
      <c r="E10" s="316"/>
    </row>
    <row r="11" spans="1:5" x14ac:dyDescent="0.25">
      <c r="A11" s="318"/>
      <c r="B11" s="319" t="s">
        <v>9</v>
      </c>
      <c r="C11" s="318" t="s">
        <v>10</v>
      </c>
      <c r="D11" s="318">
        <v>5109.3</v>
      </c>
      <c r="E11" s="318"/>
    </row>
    <row r="12" spans="1:5" x14ac:dyDescent="0.25">
      <c r="A12" s="318"/>
      <c r="B12" s="319" t="s">
        <v>11</v>
      </c>
      <c r="C12" s="318" t="s">
        <v>10</v>
      </c>
      <c r="D12" s="318">
        <v>3548.4</v>
      </c>
      <c r="E12" s="318"/>
    </row>
    <row r="13" spans="1:5" x14ac:dyDescent="0.25">
      <c r="A13" s="318"/>
      <c r="B13" s="320" t="s">
        <v>12</v>
      </c>
      <c r="C13" s="318" t="s">
        <v>55</v>
      </c>
      <c r="D13" s="321">
        <v>157732.1</v>
      </c>
      <c r="E13" s="318"/>
    </row>
    <row r="14" spans="1:5" x14ac:dyDescent="0.25">
      <c r="A14" s="318"/>
      <c r="B14" s="318"/>
      <c r="C14" s="318"/>
      <c r="D14" s="318"/>
      <c r="E14" s="318"/>
    </row>
    <row r="15" spans="1:5" ht="15.75" x14ac:dyDescent="0.25">
      <c r="A15" s="318"/>
      <c r="B15" s="322" t="s">
        <v>14</v>
      </c>
      <c r="C15" s="318"/>
      <c r="D15" s="318"/>
      <c r="E15" s="318"/>
    </row>
    <row r="16" spans="1:5" x14ac:dyDescent="0.25">
      <c r="A16" s="318">
        <v>1</v>
      </c>
      <c r="B16" s="318" t="s">
        <v>15</v>
      </c>
      <c r="C16" s="318" t="s">
        <v>13</v>
      </c>
      <c r="D16" s="318">
        <f>292632.54-136476.09</f>
        <v>156156.44999999998</v>
      </c>
      <c r="E16" s="318"/>
    </row>
    <row r="17" spans="1:5" x14ac:dyDescent="0.25">
      <c r="A17" s="318"/>
      <c r="B17" s="318"/>
      <c r="C17" s="318"/>
      <c r="D17" s="318"/>
      <c r="E17" s="318"/>
    </row>
    <row r="18" spans="1:5" ht="15.75" x14ac:dyDescent="0.25">
      <c r="A18" s="318"/>
      <c r="B18" s="322" t="s">
        <v>17</v>
      </c>
      <c r="C18" s="318"/>
      <c r="D18" s="321">
        <f>D16</f>
        <v>156156.44999999998</v>
      </c>
      <c r="E18" s="318"/>
    </row>
    <row r="19" spans="1:5" ht="15.75" x14ac:dyDescent="0.25">
      <c r="A19" s="318"/>
      <c r="B19" s="322"/>
      <c r="C19" s="318"/>
      <c r="D19" s="321"/>
      <c r="E19" s="318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</f>
        <v>52949.74</v>
      </c>
      <c r="E21" s="26">
        <f>E22+E27</f>
        <v>13511.82732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D23+D24+D26+D25</f>
        <v>51571.86</v>
      </c>
      <c r="E22" s="26">
        <f>E23+E24+E26+E25</f>
        <v>13511.82732</v>
      </c>
    </row>
    <row r="23" spans="1:5" x14ac:dyDescent="0.25">
      <c r="A23" s="20"/>
      <c r="B23" s="20" t="s">
        <v>23</v>
      </c>
      <c r="C23" s="20"/>
      <c r="D23" s="261">
        <f>3896.81+3904.61</f>
        <v>7801.42</v>
      </c>
      <c r="E23" s="28">
        <f>D23*26.2%</f>
        <v>2043.9720400000001</v>
      </c>
    </row>
    <row r="24" spans="1:5" x14ac:dyDescent="0.25">
      <c r="A24" s="20"/>
      <c r="B24" s="20" t="s">
        <v>24</v>
      </c>
      <c r="C24" s="20"/>
      <c r="D24" s="261">
        <f>11791.54+11815.14</f>
        <v>23606.68</v>
      </c>
      <c r="E24" s="28">
        <f>D24*26.2%</f>
        <v>6184.9501600000003</v>
      </c>
    </row>
    <row r="25" spans="1:5" x14ac:dyDescent="0.25">
      <c r="A25" s="20"/>
      <c r="B25" s="20" t="s">
        <v>25</v>
      </c>
      <c r="C25" s="20"/>
      <c r="D25" s="261">
        <f>10764.38+8543.62</f>
        <v>19308</v>
      </c>
      <c r="E25" s="28">
        <f>D25*26.2%</f>
        <v>5058.6959999999999</v>
      </c>
    </row>
    <row r="26" spans="1:5" x14ac:dyDescent="0.25">
      <c r="A26" s="20"/>
      <c r="B26" s="31" t="s">
        <v>81</v>
      </c>
      <c r="C26" s="20"/>
      <c r="D26" s="261">
        <v>855.76</v>
      </c>
      <c r="E26" s="28">
        <f>D26*26.2%</f>
        <v>224.20912000000001</v>
      </c>
    </row>
    <row r="27" spans="1:5" x14ac:dyDescent="0.25">
      <c r="A27" s="20"/>
      <c r="B27" s="31" t="s">
        <v>26</v>
      </c>
      <c r="C27" s="20"/>
      <c r="D27" s="261">
        <v>1377.88</v>
      </c>
      <c r="E27" s="28"/>
    </row>
    <row r="28" spans="1:5" x14ac:dyDescent="0.25">
      <c r="A28" s="73" t="s">
        <v>27</v>
      </c>
      <c r="B28" s="30" t="s">
        <v>28</v>
      </c>
      <c r="C28" s="20"/>
      <c r="D28" s="22">
        <f>D29+D30</f>
        <v>37248.550000000003</v>
      </c>
      <c r="E28" s="26">
        <f>E29</f>
        <v>8685.865920000002</v>
      </c>
    </row>
    <row r="29" spans="1:5" x14ac:dyDescent="0.25">
      <c r="A29" s="458">
        <v>1</v>
      </c>
      <c r="B29" s="31" t="s">
        <v>103</v>
      </c>
      <c r="C29" s="20"/>
      <c r="D29" s="261">
        <f>16480.13+16672.03</f>
        <v>33152.160000000003</v>
      </c>
      <c r="E29" s="28">
        <f>D29*26.2%</f>
        <v>8685.865920000002</v>
      </c>
    </row>
    <row r="30" spans="1:5" x14ac:dyDescent="0.25">
      <c r="A30" s="20">
        <v>2</v>
      </c>
      <c r="B30" s="31" t="s">
        <v>26</v>
      </c>
      <c r="C30" s="20"/>
      <c r="D30" s="453">
        <v>4096.3900000000003</v>
      </c>
      <c r="E30" s="20"/>
    </row>
    <row r="31" spans="1:5" x14ac:dyDescent="0.25">
      <c r="A31" s="73" t="s">
        <v>30</v>
      </c>
      <c r="B31" s="22" t="s">
        <v>31</v>
      </c>
      <c r="C31" s="20"/>
      <c r="D31" s="26">
        <f>D32+D33+D34+D35+D36+D37</f>
        <v>17440.822500000002</v>
      </c>
      <c r="E31" s="20"/>
    </row>
    <row r="32" spans="1:5" x14ac:dyDescent="0.25">
      <c r="A32" s="24"/>
      <c r="B32" s="20" t="s">
        <v>32</v>
      </c>
      <c r="C32" s="20"/>
      <c r="D32" s="28">
        <f>D18*5%</f>
        <v>7807.8224999999993</v>
      </c>
      <c r="E32" s="20"/>
    </row>
    <row r="33" spans="1:5" x14ac:dyDescent="0.25">
      <c r="A33" s="20"/>
      <c r="B33" s="20" t="s">
        <v>61</v>
      </c>
      <c r="C33" s="20"/>
      <c r="D33" s="452">
        <f>271.33+221.07</f>
        <v>492.4</v>
      </c>
      <c r="E33" s="20"/>
    </row>
    <row r="34" spans="1:5" x14ac:dyDescent="0.25">
      <c r="A34" s="20"/>
      <c r="B34" s="20" t="s">
        <v>34</v>
      </c>
      <c r="C34" s="20"/>
      <c r="D34" s="28">
        <v>5889.48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981.78</v>
      </c>
      <c r="E36" s="20"/>
    </row>
    <row r="37" spans="1:5" x14ac:dyDescent="0.25">
      <c r="A37" s="20"/>
      <c r="B37" s="20" t="s">
        <v>38</v>
      </c>
      <c r="C37" s="20"/>
      <c r="D37" s="20">
        <v>2269.34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21588.43</v>
      </c>
      <c r="E38" s="26">
        <f>E39</f>
        <v>4210.1513600000008</v>
      </c>
    </row>
    <row r="39" spans="1:5" x14ac:dyDescent="0.25">
      <c r="A39" s="20"/>
      <c r="B39" s="31" t="s">
        <v>40</v>
      </c>
      <c r="C39" s="31"/>
      <c r="D39" s="33">
        <v>16069.28</v>
      </c>
      <c r="E39" s="28">
        <f>D39*26.2%</f>
        <v>4210.1513600000008</v>
      </c>
    </row>
    <row r="40" spans="1:5" x14ac:dyDescent="0.25">
      <c r="A40" s="31"/>
      <c r="B40" s="27" t="s">
        <v>41</v>
      </c>
      <c r="C40" s="20"/>
      <c r="D40" s="33">
        <v>5519.15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D21+E21+D28+E28+D31+D38+E38</f>
        <v>155635.38709999999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9369.3869999999988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165004.77409999998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-8848.324099999998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-144384.6441</v>
      </c>
      <c r="E46" s="20"/>
    </row>
    <row r="47" spans="1:5" x14ac:dyDescent="0.25">
      <c r="A47" s="20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  <row r="51" spans="1:5" x14ac:dyDescent="0.25">
      <c r="A51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1" max="1" width="5.85546875" customWidth="1"/>
    <col min="2" max="2" width="42.42578125" customWidth="1"/>
    <col min="4" max="4" width="10.7109375" customWidth="1"/>
    <col min="5" max="5" width="11.42578125" customWidth="1"/>
  </cols>
  <sheetData>
    <row r="1" spans="1:5" ht="15.75" x14ac:dyDescent="0.25">
      <c r="A1" s="323"/>
      <c r="B1" s="324" t="s">
        <v>0</v>
      </c>
      <c r="C1" s="323"/>
      <c r="D1" s="323"/>
      <c r="E1" s="323"/>
    </row>
    <row r="2" spans="1:5" x14ac:dyDescent="0.25">
      <c r="A2" s="323"/>
      <c r="B2" s="323"/>
      <c r="C2" s="323"/>
      <c r="D2" s="323"/>
      <c r="E2" s="323"/>
    </row>
    <row r="3" spans="1:5" x14ac:dyDescent="0.25">
      <c r="A3" s="323"/>
      <c r="B3" s="323" t="s">
        <v>1</v>
      </c>
      <c r="C3" s="323"/>
      <c r="D3" s="323"/>
      <c r="E3" s="323"/>
    </row>
    <row r="4" spans="1:5" x14ac:dyDescent="0.25">
      <c r="A4" s="323"/>
      <c r="B4" s="459" t="s">
        <v>136</v>
      </c>
      <c r="C4" s="323"/>
      <c r="D4" s="323"/>
      <c r="E4" s="323"/>
    </row>
    <row r="5" spans="1:5" x14ac:dyDescent="0.25">
      <c r="A5" s="323"/>
      <c r="B5" s="323" t="s">
        <v>51</v>
      </c>
      <c r="C5" s="323"/>
      <c r="D5" s="323"/>
      <c r="E5" s="323"/>
    </row>
    <row r="6" spans="1:5" x14ac:dyDescent="0.25">
      <c r="A6" s="325"/>
      <c r="B6" s="325"/>
      <c r="C6" s="325"/>
      <c r="D6" s="326"/>
      <c r="E6" s="327"/>
    </row>
    <row r="7" spans="1:5" ht="15.75" x14ac:dyDescent="0.25">
      <c r="A7" s="328"/>
      <c r="B7" s="329" t="s">
        <v>3</v>
      </c>
      <c r="C7" s="330" t="s">
        <v>4</v>
      </c>
      <c r="D7" s="569" t="s">
        <v>5</v>
      </c>
      <c r="E7" s="570"/>
    </row>
    <row r="8" spans="1:5" ht="15.75" x14ac:dyDescent="0.25">
      <c r="A8" s="331"/>
      <c r="B8" s="329" t="s">
        <v>6</v>
      </c>
      <c r="C8" s="330" t="s">
        <v>7</v>
      </c>
      <c r="D8" s="571" t="s">
        <v>116</v>
      </c>
      <c r="E8" s="572"/>
    </row>
    <row r="9" spans="1:5" x14ac:dyDescent="0.25">
      <c r="A9" s="332"/>
      <c r="B9" s="332"/>
      <c r="C9" s="332"/>
      <c r="D9" s="333"/>
      <c r="E9" s="334"/>
    </row>
    <row r="10" spans="1:5" x14ac:dyDescent="0.25">
      <c r="A10" s="332"/>
      <c r="B10" s="335" t="s">
        <v>8</v>
      </c>
      <c r="C10" s="332"/>
      <c r="D10" s="333">
        <v>-90818.71</v>
      </c>
      <c r="E10" s="334"/>
    </row>
    <row r="11" spans="1:5" x14ac:dyDescent="0.25">
      <c r="A11" s="336"/>
      <c r="B11" s="337" t="s">
        <v>9</v>
      </c>
      <c r="C11" s="336" t="s">
        <v>10</v>
      </c>
      <c r="D11" s="336">
        <v>5631.46</v>
      </c>
      <c r="E11" s="336"/>
    </row>
    <row r="12" spans="1:5" x14ac:dyDescent="0.25">
      <c r="A12" s="336"/>
      <c r="B12" s="337" t="s">
        <v>11</v>
      </c>
      <c r="C12" s="336" t="s">
        <v>10</v>
      </c>
      <c r="D12" s="336">
        <v>4522.7</v>
      </c>
      <c r="E12" s="336"/>
    </row>
    <row r="13" spans="1:5" x14ac:dyDescent="0.25">
      <c r="A13" s="336"/>
      <c r="B13" s="338" t="s">
        <v>12</v>
      </c>
      <c r="C13" s="336" t="s">
        <v>55</v>
      </c>
      <c r="D13" s="339">
        <v>173943.48</v>
      </c>
      <c r="E13" s="336"/>
    </row>
    <row r="14" spans="1:5" x14ac:dyDescent="0.25">
      <c r="A14" s="336"/>
      <c r="B14" s="336"/>
      <c r="C14" s="336"/>
      <c r="D14" s="336"/>
      <c r="E14" s="336"/>
    </row>
    <row r="15" spans="1:5" ht="15.75" x14ac:dyDescent="0.25">
      <c r="A15" s="336"/>
      <c r="B15" s="340" t="s">
        <v>14</v>
      </c>
      <c r="C15" s="336"/>
      <c r="D15" s="336"/>
      <c r="E15" s="336"/>
    </row>
    <row r="16" spans="1:5" x14ac:dyDescent="0.25">
      <c r="A16" s="336">
        <v>1</v>
      </c>
      <c r="B16" s="336" t="s">
        <v>15</v>
      </c>
      <c r="C16" s="336" t="s">
        <v>13</v>
      </c>
      <c r="D16" s="336">
        <f>345294.97-155781.28</f>
        <v>189513.68999999997</v>
      </c>
      <c r="E16" s="336"/>
    </row>
    <row r="17" spans="1:5" x14ac:dyDescent="0.25">
      <c r="A17" s="336">
        <v>2</v>
      </c>
      <c r="B17" s="336" t="s">
        <v>102</v>
      </c>
      <c r="C17" s="336"/>
      <c r="D17" s="336">
        <v>3500</v>
      </c>
      <c r="E17" s="336"/>
    </row>
    <row r="18" spans="1:5" ht="15.75" x14ac:dyDescent="0.25">
      <c r="A18" s="336"/>
      <c r="B18" s="340" t="s">
        <v>17</v>
      </c>
      <c r="C18" s="336"/>
      <c r="D18" s="339">
        <f>D16+D17</f>
        <v>193013.68999999997</v>
      </c>
      <c r="E18" s="336"/>
    </row>
    <row r="19" spans="1:5" ht="15.75" x14ac:dyDescent="0.25">
      <c r="A19" s="336"/>
      <c r="B19" s="340"/>
      <c r="C19" s="336"/>
      <c r="D19" s="339"/>
      <c r="E19" s="336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29694.61</v>
      </c>
      <c r="E21" s="26">
        <f>E22</f>
        <v>7319.8608000000004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27938.400000000001</v>
      </c>
      <c r="E22" s="26">
        <f>E23+E26</f>
        <v>7319.8608000000004</v>
      </c>
    </row>
    <row r="23" spans="1:5" x14ac:dyDescent="0.25">
      <c r="A23" s="20"/>
      <c r="B23" s="20" t="s">
        <v>23</v>
      </c>
      <c r="C23" s="20"/>
      <c r="D23" s="261">
        <v>23079.31</v>
      </c>
      <c r="E23" s="28">
        <f>D23*26.2%</f>
        <v>6046.7792200000004</v>
      </c>
    </row>
    <row r="24" spans="1:5" x14ac:dyDescent="0.25">
      <c r="A24" s="20"/>
      <c r="B24" s="20" t="s">
        <v>24</v>
      </c>
      <c r="C24" s="20"/>
      <c r="D24" s="261">
        <v>0</v>
      </c>
      <c r="E24" s="28">
        <f>D24*26.2%</f>
        <v>0</v>
      </c>
    </row>
    <row r="25" spans="1:5" x14ac:dyDescent="0.25">
      <c r="A25" s="20"/>
      <c r="B25" s="20" t="s">
        <v>25</v>
      </c>
      <c r="C25" s="20"/>
      <c r="D25" s="261">
        <v>0</v>
      </c>
      <c r="E25" s="28">
        <f>D25*26.2%</f>
        <v>0</v>
      </c>
    </row>
    <row r="26" spans="1:5" x14ac:dyDescent="0.25">
      <c r="A26" s="20"/>
      <c r="B26" s="31" t="s">
        <v>81</v>
      </c>
      <c r="C26" s="20"/>
      <c r="D26" s="261">
        <v>4859.09</v>
      </c>
      <c r="E26" s="28">
        <f>D26*26.2%</f>
        <v>1273.08158</v>
      </c>
    </row>
    <row r="27" spans="1:5" x14ac:dyDescent="0.25">
      <c r="A27" s="20">
        <v>2</v>
      </c>
      <c r="B27" s="27" t="s">
        <v>26</v>
      </c>
      <c r="C27" s="20"/>
      <c r="D27" s="261">
        <v>1756.21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48532.73</v>
      </c>
      <c r="E28" s="26">
        <f>E29</f>
        <v>11070.783800000001</v>
      </c>
    </row>
    <row r="29" spans="1:5" x14ac:dyDescent="0.25">
      <c r="A29" s="20">
        <v>1</v>
      </c>
      <c r="B29" s="31" t="s">
        <v>103</v>
      </c>
      <c r="C29" s="20"/>
      <c r="D29" s="261">
        <v>42254.9</v>
      </c>
      <c r="E29" s="28">
        <f>D29*26.2%</f>
        <v>11070.783800000001</v>
      </c>
    </row>
    <row r="30" spans="1:5" x14ac:dyDescent="0.25">
      <c r="A30" s="20">
        <v>2</v>
      </c>
      <c r="B30" s="31" t="s">
        <v>26</v>
      </c>
      <c r="C30" s="20"/>
      <c r="D30" s="453">
        <v>6277.83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37210.264499999997</v>
      </c>
      <c r="E31" s="20"/>
    </row>
    <row r="32" spans="1:5" x14ac:dyDescent="0.25">
      <c r="A32" s="20"/>
      <c r="B32" s="20" t="s">
        <v>32</v>
      </c>
      <c r="C32" s="20"/>
      <c r="D32" s="28">
        <f>D18*5%</f>
        <v>9650.6844999999994</v>
      </c>
      <c r="E32" s="20"/>
    </row>
    <row r="33" spans="1:5" x14ac:dyDescent="0.25">
      <c r="A33" s="20"/>
      <c r="B33" s="20" t="s">
        <v>61</v>
      </c>
      <c r="C33" s="20"/>
      <c r="D33" s="20">
        <f>546.11+533.29</f>
        <v>1079.4000000000001</v>
      </c>
      <c r="E33" s="20"/>
    </row>
    <row r="34" spans="1:5" x14ac:dyDescent="0.25">
      <c r="A34" s="20"/>
      <c r="B34" s="20" t="s">
        <v>34</v>
      </c>
      <c r="C34" s="20"/>
      <c r="D34" s="28">
        <v>7506.58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1251.3499999999999</v>
      </c>
      <c r="E36" s="20"/>
    </row>
    <row r="37" spans="1:5" x14ac:dyDescent="0.25">
      <c r="A37" s="20"/>
      <c r="B37" s="27" t="s">
        <v>66</v>
      </c>
      <c r="C37" s="20"/>
      <c r="D37" s="20">
        <v>14829.81</v>
      </c>
      <c r="E37" s="20"/>
    </row>
    <row r="38" spans="1:5" x14ac:dyDescent="0.25">
      <c r="A38" s="20"/>
      <c r="B38" s="20" t="s">
        <v>38</v>
      </c>
      <c r="C38" s="20"/>
      <c r="D38" s="20">
        <v>2892.44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27516.07</v>
      </c>
      <c r="E39" s="26">
        <f>E40</f>
        <v>5366.150380000001</v>
      </c>
    </row>
    <row r="40" spans="1:5" x14ac:dyDescent="0.25">
      <c r="A40" s="494"/>
      <c r="B40" s="31" t="s">
        <v>40</v>
      </c>
      <c r="C40" s="31"/>
      <c r="D40" s="33">
        <v>20481.490000000002</v>
      </c>
      <c r="E40" s="28">
        <f>D40*26.2%</f>
        <v>5366.150380000001</v>
      </c>
    </row>
    <row r="41" spans="1:5" x14ac:dyDescent="0.25">
      <c r="A41" s="73"/>
      <c r="B41" s="27" t="s">
        <v>41</v>
      </c>
      <c r="C41" s="20"/>
      <c r="D41" s="33">
        <v>7034.58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D21+E21+D28+E28+D31+D39+E39</f>
        <v>166710.46948000003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11580.821399999997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178291.29088000002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14722.399119999958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-76096.310880000048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A38" sqref="A38:A46"/>
    </sheetView>
  </sheetViews>
  <sheetFormatPr defaultRowHeight="15" x14ac:dyDescent="0.25"/>
  <cols>
    <col min="1" max="1" width="7.28515625" customWidth="1"/>
    <col min="2" max="2" width="40" customWidth="1"/>
    <col min="4" max="4" width="11.5703125" customWidth="1"/>
    <col min="5" max="5" width="11.7109375" customWidth="1"/>
  </cols>
  <sheetData>
    <row r="1" spans="1:5" ht="15.75" x14ac:dyDescent="0.25">
      <c r="A1" s="37"/>
      <c r="B1" s="60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70</v>
      </c>
      <c r="C3" s="37"/>
      <c r="D3" s="37"/>
      <c r="E3" s="37"/>
    </row>
    <row r="4" spans="1:5" x14ac:dyDescent="0.25">
      <c r="A4" s="37"/>
      <c r="B4" s="61" t="s">
        <v>104</v>
      </c>
      <c r="C4" s="37"/>
      <c r="D4" s="37"/>
      <c r="E4" s="37"/>
    </row>
    <row r="5" spans="1:5" x14ac:dyDescent="0.25">
      <c r="A5" s="496"/>
      <c r="B5" s="496"/>
      <c r="C5" s="496"/>
      <c r="D5" s="419"/>
      <c r="E5" s="62"/>
    </row>
    <row r="6" spans="1:5" x14ac:dyDescent="0.25">
      <c r="A6" s="63"/>
      <c r="B6" s="63"/>
      <c r="C6" s="63"/>
      <c r="D6" s="34"/>
      <c r="E6" s="64"/>
    </row>
    <row r="7" spans="1:5" ht="15.75" x14ac:dyDescent="0.25">
      <c r="A7" s="65"/>
      <c r="B7" s="66" t="s">
        <v>3</v>
      </c>
      <c r="C7" s="67" t="s">
        <v>4</v>
      </c>
      <c r="D7" s="497" t="s">
        <v>5</v>
      </c>
      <c r="E7" s="498"/>
    </row>
    <row r="8" spans="1:5" ht="15.75" x14ac:dyDescent="0.25">
      <c r="A8" s="68"/>
      <c r="B8" s="66" t="s">
        <v>6</v>
      </c>
      <c r="C8" s="67" t="s">
        <v>7</v>
      </c>
      <c r="D8" s="499" t="s">
        <v>101</v>
      </c>
      <c r="E8" s="500"/>
    </row>
    <row r="9" spans="1:5" x14ac:dyDescent="0.25">
      <c r="A9" s="69"/>
      <c r="B9" s="69"/>
      <c r="C9" s="69"/>
      <c r="D9" s="70"/>
      <c r="E9" s="71"/>
    </row>
    <row r="10" spans="1:5" x14ac:dyDescent="0.25">
      <c r="A10" s="69"/>
      <c r="B10" s="72" t="s">
        <v>60</v>
      </c>
      <c r="C10" s="69"/>
      <c r="D10" s="20">
        <v>-39734.54</v>
      </c>
      <c r="E10" s="71"/>
    </row>
    <row r="11" spans="1:5" x14ac:dyDescent="0.25">
      <c r="A11" s="20"/>
      <c r="B11" s="73" t="s">
        <v>9</v>
      </c>
      <c r="C11" s="20" t="s">
        <v>10</v>
      </c>
      <c r="D11" s="20">
        <v>8417.7000000000007</v>
      </c>
      <c r="E11" s="20"/>
    </row>
    <row r="12" spans="1:5" x14ac:dyDescent="0.25">
      <c r="A12" s="20"/>
      <c r="B12" s="73" t="s">
        <v>11</v>
      </c>
      <c r="C12" s="20" t="s">
        <v>10</v>
      </c>
      <c r="D12" s="20">
        <v>5933.4</v>
      </c>
      <c r="E12" s="20"/>
    </row>
    <row r="13" spans="1:5" x14ac:dyDescent="0.25">
      <c r="A13" s="20"/>
      <c r="B13" s="25" t="s">
        <v>12</v>
      </c>
      <c r="C13" s="20" t="s">
        <v>13</v>
      </c>
      <c r="D13" s="22">
        <v>222101.74</v>
      </c>
      <c r="E13" s="20"/>
    </row>
    <row r="14" spans="1:5" x14ac:dyDescent="0.25">
      <c r="A14" s="20"/>
      <c r="B14" s="20"/>
      <c r="C14" s="20"/>
      <c r="D14" s="20"/>
      <c r="E14" s="20"/>
    </row>
    <row r="15" spans="1:5" ht="15.75" x14ac:dyDescent="0.25">
      <c r="A15" s="20"/>
      <c r="B15" s="21" t="s">
        <v>14</v>
      </c>
      <c r="C15" s="20"/>
      <c r="D15" s="20"/>
      <c r="E15" s="20"/>
    </row>
    <row r="16" spans="1:5" x14ac:dyDescent="0.25">
      <c r="A16" s="20">
        <v>1</v>
      </c>
      <c r="B16" s="20" t="s">
        <v>15</v>
      </c>
      <c r="C16" s="20" t="s">
        <v>13</v>
      </c>
      <c r="D16" s="22">
        <f>447657.64-214319.22</f>
        <v>233338.42</v>
      </c>
      <c r="E16" s="20"/>
    </row>
    <row r="17" spans="1:5" ht="15.75" x14ac:dyDescent="0.25">
      <c r="A17" s="20"/>
      <c r="B17" s="21" t="s">
        <v>17</v>
      </c>
      <c r="C17" s="20"/>
      <c r="D17" s="26">
        <f>D16</f>
        <v>233338.42</v>
      </c>
      <c r="E17" s="20"/>
    </row>
    <row r="18" spans="1:5" ht="15.75" x14ac:dyDescent="0.25">
      <c r="A18" s="20"/>
      <c r="B18" s="21"/>
      <c r="C18" s="20"/>
      <c r="D18" s="26"/>
      <c r="E18" s="20"/>
    </row>
    <row r="19" spans="1:5" ht="15.75" x14ac:dyDescent="0.25">
      <c r="A19" s="20"/>
      <c r="B19" s="21" t="s">
        <v>18</v>
      </c>
      <c r="C19" s="20"/>
      <c r="D19" s="22"/>
      <c r="E19" s="31" t="s">
        <v>62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31709.570000000003</v>
      </c>
      <c r="E20" s="26">
        <f>E21</f>
        <v>7676.3327600000011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D22+D25</f>
        <v>29298.980000000003</v>
      </c>
      <c r="E21" s="26">
        <f>E22+E23+E24+E25</f>
        <v>7676.3327600000011</v>
      </c>
    </row>
    <row r="22" spans="1:5" x14ac:dyDescent="0.25">
      <c r="A22" s="20"/>
      <c r="B22" s="20" t="s">
        <v>23</v>
      </c>
      <c r="C22" s="20"/>
      <c r="D22" s="433">
        <f>9904.45+9924.27</f>
        <v>19828.72</v>
      </c>
      <c r="E22" s="28">
        <f>D22*26.2%</f>
        <v>5195.1246400000009</v>
      </c>
    </row>
    <row r="23" spans="1:5" x14ac:dyDescent="0.25">
      <c r="A23" s="20"/>
      <c r="B23" s="20" t="s">
        <v>24</v>
      </c>
      <c r="C23" s="20"/>
      <c r="D23" s="433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433">
        <v>0</v>
      </c>
      <c r="E24" s="28">
        <f>D24*26.2%</f>
        <v>0</v>
      </c>
    </row>
    <row r="25" spans="1:5" x14ac:dyDescent="0.25">
      <c r="A25" s="20"/>
      <c r="B25" s="31" t="s">
        <v>81</v>
      </c>
      <c r="C25" s="20"/>
      <c r="D25" s="433">
        <f>5681.48+3788.78</f>
        <v>9470.26</v>
      </c>
      <c r="E25" s="28">
        <f>D25*26.2%</f>
        <v>2481.2081200000002</v>
      </c>
    </row>
    <row r="26" spans="1:5" x14ac:dyDescent="0.25">
      <c r="A26" s="20">
        <v>2</v>
      </c>
      <c r="B26" s="27" t="s">
        <v>26</v>
      </c>
      <c r="C26" s="20"/>
      <c r="D26" s="433">
        <v>2410.59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59973.53</v>
      </c>
      <c r="E27" s="26">
        <f>E28</f>
        <v>15195.85852</v>
      </c>
    </row>
    <row r="28" spans="1:5" x14ac:dyDescent="0.25">
      <c r="A28" s="20">
        <v>1</v>
      </c>
      <c r="B28" s="31" t="s">
        <v>105</v>
      </c>
      <c r="C28" s="20"/>
      <c r="D28" s="31">
        <f>28831.87+29167.59</f>
        <v>57999.46</v>
      </c>
      <c r="E28" s="33">
        <f>D28*26.2%</f>
        <v>15195.85852</v>
      </c>
    </row>
    <row r="29" spans="1:5" x14ac:dyDescent="0.25">
      <c r="A29" s="20">
        <v>2</v>
      </c>
      <c r="B29" s="31" t="s">
        <v>26</v>
      </c>
      <c r="C29" s="20"/>
      <c r="D29" s="31">
        <v>1974.07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32773.011000000006</v>
      </c>
      <c r="E30" s="20"/>
    </row>
    <row r="31" spans="1:5" x14ac:dyDescent="0.25">
      <c r="A31" s="20"/>
      <c r="B31" s="20" t="s">
        <v>32</v>
      </c>
      <c r="C31" s="20"/>
      <c r="D31" s="28">
        <f>D17*5%</f>
        <v>11666.921000000002</v>
      </c>
      <c r="E31" s="20"/>
    </row>
    <row r="32" spans="1:5" x14ac:dyDescent="0.25">
      <c r="A32" s="20"/>
      <c r="B32" s="20" t="s">
        <v>34</v>
      </c>
      <c r="C32" s="20"/>
      <c r="D32" s="28">
        <v>10303.59</v>
      </c>
      <c r="E32" s="20"/>
    </row>
    <row r="33" spans="1:5" x14ac:dyDescent="0.25">
      <c r="A33" s="433"/>
      <c r="B33" s="20" t="s">
        <v>61</v>
      </c>
      <c r="C33" s="433"/>
      <c r="D33" s="434">
        <v>349.11</v>
      </c>
      <c r="E33" s="433"/>
    </row>
    <row r="34" spans="1:5" x14ac:dyDescent="0.25">
      <c r="A34" s="20"/>
      <c r="B34" s="27" t="s">
        <v>35</v>
      </c>
      <c r="C34" s="20"/>
      <c r="D34" s="20">
        <v>765.58</v>
      </c>
      <c r="E34" s="20"/>
    </row>
    <row r="35" spans="1:5" x14ac:dyDescent="0.25">
      <c r="A35" s="20"/>
      <c r="B35" s="27" t="s">
        <v>36</v>
      </c>
      <c r="C35" s="20"/>
      <c r="D35" s="20">
        <v>1717.62</v>
      </c>
      <c r="E35" s="20"/>
    </row>
    <row r="36" spans="1:5" x14ac:dyDescent="0.25">
      <c r="A36" s="20"/>
      <c r="B36" s="27" t="s">
        <v>106</v>
      </c>
      <c r="C36" s="20"/>
      <c r="D36" s="28">
        <v>4000</v>
      </c>
      <c r="E36" s="20"/>
    </row>
    <row r="37" spans="1:5" x14ac:dyDescent="0.25">
      <c r="A37" s="20"/>
      <c r="B37" s="20" t="s">
        <v>38</v>
      </c>
      <c r="C37" s="20"/>
      <c r="D37" s="20">
        <v>3970.19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37003.229999999996</v>
      </c>
      <c r="E38" s="26">
        <f>E39</f>
        <v>7365.6295800000007</v>
      </c>
    </row>
    <row r="39" spans="1:5" x14ac:dyDescent="0.25">
      <c r="A39" s="73"/>
      <c r="B39" s="31" t="s">
        <v>63</v>
      </c>
      <c r="C39" s="31"/>
      <c r="D39" s="33">
        <f>13867.32+14245.77</f>
        <v>28113.09</v>
      </c>
      <c r="E39" s="33">
        <f>D39*26.2%</f>
        <v>7365.6295800000007</v>
      </c>
    </row>
    <row r="40" spans="1:5" x14ac:dyDescent="0.25">
      <c r="A40" s="73"/>
      <c r="B40" s="31" t="s">
        <v>41</v>
      </c>
      <c r="C40" s="20"/>
      <c r="D40" s="33">
        <v>8890.14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191697.16185999999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14000.305200000001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205697.46706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D17-D43</f>
        <v>27640.952940000017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-12093.587059999983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47</v>
      </c>
      <c r="C48" s="37"/>
      <c r="D48" s="37" t="s">
        <v>48</v>
      </c>
      <c r="E48" s="37"/>
    </row>
    <row r="49" spans="1:5" x14ac:dyDescent="0.25">
      <c r="A49" s="37"/>
      <c r="B49" s="37" t="s">
        <v>49</v>
      </c>
      <c r="C49" s="37"/>
      <c r="D49" s="37" t="s">
        <v>50</v>
      </c>
      <c r="E49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A37" sqref="A37:A45"/>
    </sheetView>
  </sheetViews>
  <sheetFormatPr defaultRowHeight="15" x14ac:dyDescent="0.25"/>
  <cols>
    <col min="1" max="1" width="6.42578125" customWidth="1"/>
    <col min="2" max="2" width="44.7109375" customWidth="1"/>
    <col min="4" max="4" width="11.140625" customWidth="1"/>
    <col min="5" max="5" width="11.28515625" customWidth="1"/>
  </cols>
  <sheetData>
    <row r="1" spans="1:5" ht="15.75" x14ac:dyDescent="0.25">
      <c r="A1" s="341"/>
      <c r="B1" s="342" t="s">
        <v>0</v>
      </c>
      <c r="C1" s="341"/>
      <c r="D1" s="341"/>
      <c r="E1" s="341"/>
    </row>
    <row r="2" spans="1:5" x14ac:dyDescent="0.25">
      <c r="A2" s="341"/>
      <c r="B2" s="341"/>
      <c r="C2" s="341"/>
      <c r="D2" s="341"/>
      <c r="E2" s="341"/>
    </row>
    <row r="3" spans="1:5" x14ac:dyDescent="0.25">
      <c r="A3" s="341"/>
      <c r="B3" s="341" t="s">
        <v>1</v>
      </c>
      <c r="C3" s="341"/>
      <c r="D3" s="341"/>
      <c r="E3" s="341"/>
    </row>
    <row r="4" spans="1:5" x14ac:dyDescent="0.25">
      <c r="A4" s="341"/>
      <c r="B4" s="461" t="s">
        <v>137</v>
      </c>
      <c r="C4" s="341"/>
      <c r="D4" s="341"/>
      <c r="E4" s="341"/>
    </row>
    <row r="5" spans="1:5" x14ac:dyDescent="0.25">
      <c r="A5" s="341"/>
      <c r="B5" s="341" t="s">
        <v>51</v>
      </c>
      <c r="C5" s="341"/>
      <c r="D5" s="341"/>
      <c r="E5" s="341"/>
    </row>
    <row r="6" spans="1:5" x14ac:dyDescent="0.25">
      <c r="A6" s="343"/>
      <c r="B6" s="343"/>
      <c r="C6" s="343"/>
      <c r="D6" s="344"/>
      <c r="E6" s="345"/>
    </row>
    <row r="7" spans="1:5" ht="15.75" x14ac:dyDescent="0.25">
      <c r="A7" s="346"/>
      <c r="B7" s="347" t="s">
        <v>3</v>
      </c>
      <c r="C7" s="348" t="s">
        <v>4</v>
      </c>
      <c r="D7" s="573" t="s">
        <v>5</v>
      </c>
      <c r="E7" s="574"/>
    </row>
    <row r="8" spans="1:5" ht="15.75" x14ac:dyDescent="0.25">
      <c r="A8" s="349"/>
      <c r="B8" s="347" t="s">
        <v>6</v>
      </c>
      <c r="C8" s="348" t="s">
        <v>7</v>
      </c>
      <c r="D8" s="575" t="s">
        <v>116</v>
      </c>
      <c r="E8" s="576"/>
    </row>
    <row r="9" spans="1:5" x14ac:dyDescent="0.25">
      <c r="A9" s="350"/>
      <c r="B9" s="350"/>
      <c r="C9" s="350"/>
      <c r="D9" s="351"/>
      <c r="E9" s="352"/>
    </row>
    <row r="10" spans="1:5" x14ac:dyDescent="0.25">
      <c r="A10" s="350"/>
      <c r="B10" s="353" t="s">
        <v>8</v>
      </c>
      <c r="C10" s="350"/>
      <c r="D10" s="351">
        <v>-108769.59</v>
      </c>
      <c r="E10" s="352"/>
    </row>
    <row r="11" spans="1:5" x14ac:dyDescent="0.25">
      <c r="A11" s="354"/>
      <c r="B11" s="355" t="s">
        <v>9</v>
      </c>
      <c r="C11" s="354" t="s">
        <v>10</v>
      </c>
      <c r="D11" s="354">
        <v>3614.7</v>
      </c>
      <c r="E11" s="354"/>
    </row>
    <row r="12" spans="1:5" x14ac:dyDescent="0.25">
      <c r="A12" s="354"/>
      <c r="B12" s="355" t="s">
        <v>11</v>
      </c>
      <c r="C12" s="354" t="s">
        <v>10</v>
      </c>
      <c r="D12" s="354">
        <v>2649.9</v>
      </c>
      <c r="E12" s="354"/>
    </row>
    <row r="13" spans="1:5" x14ac:dyDescent="0.25">
      <c r="A13" s="354"/>
      <c r="B13" s="356" t="s">
        <v>12</v>
      </c>
      <c r="C13" s="354" t="s">
        <v>55</v>
      </c>
      <c r="D13" s="357">
        <v>110961.60000000001</v>
      </c>
      <c r="E13" s="354"/>
    </row>
    <row r="14" spans="1:5" x14ac:dyDescent="0.25">
      <c r="A14" s="354"/>
      <c r="B14" s="354"/>
      <c r="C14" s="354"/>
      <c r="D14" s="354"/>
      <c r="E14" s="354"/>
    </row>
    <row r="15" spans="1:5" ht="15.75" x14ac:dyDescent="0.25">
      <c r="A15" s="354"/>
      <c r="B15" s="358" t="s">
        <v>14</v>
      </c>
      <c r="C15" s="354"/>
      <c r="D15" s="354"/>
      <c r="E15" s="354"/>
    </row>
    <row r="16" spans="1:5" x14ac:dyDescent="0.25">
      <c r="A16" s="354">
        <v>1</v>
      </c>
      <c r="B16" s="354" t="s">
        <v>15</v>
      </c>
      <c r="C16" s="354" t="s">
        <v>13</v>
      </c>
      <c r="D16" s="354">
        <f>229957.25-118450.51</f>
        <v>111506.74</v>
      </c>
      <c r="E16" s="354"/>
    </row>
    <row r="17" spans="1:5" x14ac:dyDescent="0.25">
      <c r="A17" s="354">
        <v>2</v>
      </c>
      <c r="B17" s="354" t="s">
        <v>102</v>
      </c>
      <c r="C17" s="354"/>
      <c r="D17" s="354">
        <v>3500</v>
      </c>
      <c r="E17" s="354"/>
    </row>
    <row r="18" spans="1:5" ht="15.75" x14ac:dyDescent="0.25">
      <c r="A18" s="354"/>
      <c r="B18" s="358" t="s">
        <v>17</v>
      </c>
      <c r="C18" s="354"/>
      <c r="D18" s="357">
        <f>D16+D17</f>
        <v>115006.74</v>
      </c>
      <c r="E18" s="354"/>
    </row>
    <row r="19" spans="1:5" ht="15.75" x14ac:dyDescent="0.25">
      <c r="A19" s="354"/>
      <c r="B19" s="358"/>
      <c r="C19" s="354"/>
      <c r="D19" s="357"/>
      <c r="E19" s="354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44668.909999999996</v>
      </c>
      <c r="E21" s="26">
        <f>E22</f>
        <v>11433.661660000002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43639.929999999993</v>
      </c>
      <c r="E22" s="26">
        <f>E23+E24+E25</f>
        <v>11433.661660000002</v>
      </c>
    </row>
    <row r="23" spans="1:5" x14ac:dyDescent="0.25">
      <c r="A23" s="20"/>
      <c r="B23" s="20" t="s">
        <v>23</v>
      </c>
      <c r="C23" s="20"/>
      <c r="D23" s="261">
        <v>13327.47</v>
      </c>
      <c r="E23" s="28">
        <f>D23*26.2%</f>
        <v>3491.7971400000001</v>
      </c>
    </row>
    <row r="24" spans="1:5" x14ac:dyDescent="0.25">
      <c r="A24" s="20"/>
      <c r="B24" s="20" t="s">
        <v>24</v>
      </c>
      <c r="C24" s="20"/>
      <c r="D24" s="261">
        <v>10593.95</v>
      </c>
      <c r="E24" s="28">
        <f>D24*26.2%</f>
        <v>2775.6149000000005</v>
      </c>
    </row>
    <row r="25" spans="1:5" x14ac:dyDescent="0.25">
      <c r="A25" s="20"/>
      <c r="B25" s="31" t="s">
        <v>25</v>
      </c>
      <c r="C25" s="20"/>
      <c r="D25" s="261">
        <v>19718.509999999998</v>
      </c>
      <c r="E25" s="28">
        <f>D25*26.2%</f>
        <v>5166.2496199999996</v>
      </c>
    </row>
    <row r="26" spans="1:5" x14ac:dyDescent="0.25">
      <c r="A26" s="20">
        <v>2</v>
      </c>
      <c r="B26" s="27" t="s">
        <v>26</v>
      </c>
      <c r="C26" s="20"/>
      <c r="D26" s="261">
        <v>1028.98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28177.16</v>
      </c>
      <c r="E27" s="26">
        <f>E28</f>
        <v>6486.4938200000006</v>
      </c>
    </row>
    <row r="28" spans="1:5" x14ac:dyDescent="0.25">
      <c r="A28" s="20">
        <v>1</v>
      </c>
      <c r="B28" s="31" t="s">
        <v>103</v>
      </c>
      <c r="C28" s="20"/>
      <c r="D28" s="261">
        <v>24757.61</v>
      </c>
      <c r="E28" s="28">
        <f>D28*26.2%</f>
        <v>6486.4938200000006</v>
      </c>
    </row>
    <row r="29" spans="1:5" x14ac:dyDescent="0.25">
      <c r="A29" s="20">
        <v>2</v>
      </c>
      <c r="B29" s="31" t="s">
        <v>26</v>
      </c>
      <c r="C29" s="20"/>
      <c r="D29" s="453">
        <v>3419.55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</f>
        <v>12848.796999999999</v>
      </c>
      <c r="E30" s="20"/>
    </row>
    <row r="31" spans="1:5" x14ac:dyDescent="0.25">
      <c r="A31" s="20"/>
      <c r="B31" s="20" t="s">
        <v>32</v>
      </c>
      <c r="C31" s="20"/>
      <c r="D31" s="28">
        <f>D18*5%</f>
        <v>5750.3370000000004</v>
      </c>
      <c r="E31" s="20"/>
    </row>
    <row r="32" spans="1:5" x14ac:dyDescent="0.25">
      <c r="A32" s="20"/>
      <c r="B32" s="20" t="s">
        <v>61</v>
      </c>
      <c r="C32" s="20"/>
      <c r="D32" s="20">
        <f>167.45+104.93</f>
        <v>272.38</v>
      </c>
      <c r="E32" s="20"/>
    </row>
    <row r="33" spans="1:5" x14ac:dyDescent="0.25">
      <c r="A33" s="20"/>
      <c r="B33" s="20" t="s">
        <v>34</v>
      </c>
      <c r="C33" s="20"/>
      <c r="D33" s="28">
        <v>4398.1899999999996</v>
      </c>
      <c r="E33" s="20"/>
    </row>
    <row r="34" spans="1:5" x14ac:dyDescent="0.25">
      <c r="A34" s="20"/>
      <c r="B34" s="27" t="s">
        <v>35</v>
      </c>
      <c r="C34" s="20"/>
      <c r="D34" s="20">
        <v>0</v>
      </c>
      <c r="E34" s="20"/>
    </row>
    <row r="35" spans="1:5" x14ac:dyDescent="0.25">
      <c r="A35" s="20"/>
      <c r="B35" s="27" t="s">
        <v>36</v>
      </c>
      <c r="C35" s="20"/>
      <c r="D35" s="20">
        <v>733.18</v>
      </c>
      <c r="E35" s="20"/>
    </row>
    <row r="36" spans="1:5" x14ac:dyDescent="0.25">
      <c r="A36" s="20"/>
      <c r="B36" s="20" t="s">
        <v>38</v>
      </c>
      <c r="C36" s="20"/>
      <c r="D36" s="20">
        <v>1694.71</v>
      </c>
      <c r="E36" s="20"/>
    </row>
    <row r="37" spans="1:5" x14ac:dyDescent="0.25">
      <c r="A37" s="73" t="s">
        <v>89</v>
      </c>
      <c r="B37" s="22" t="s">
        <v>39</v>
      </c>
      <c r="C37" s="20"/>
      <c r="D37" s="26">
        <f>D38+D39</f>
        <v>16121.96</v>
      </c>
      <c r="E37" s="26">
        <f>E38</f>
        <v>3144.08646</v>
      </c>
    </row>
    <row r="38" spans="1:5" x14ac:dyDescent="0.25">
      <c r="A38" s="73"/>
      <c r="B38" s="31" t="s">
        <v>40</v>
      </c>
      <c r="C38" s="31"/>
      <c r="D38" s="33">
        <v>12000.33</v>
      </c>
      <c r="E38" s="28">
        <f>D38*26.2%</f>
        <v>3144.08646</v>
      </c>
    </row>
    <row r="39" spans="1:5" x14ac:dyDescent="0.25">
      <c r="A39" s="73"/>
      <c r="B39" s="27" t="s">
        <v>41</v>
      </c>
      <c r="C39" s="20"/>
      <c r="D39" s="33">
        <v>4121.63</v>
      </c>
      <c r="E39" s="20"/>
    </row>
    <row r="40" spans="1:5" x14ac:dyDescent="0.25">
      <c r="A40" s="73" t="s">
        <v>90</v>
      </c>
      <c r="B40" s="22" t="s">
        <v>42</v>
      </c>
      <c r="C40" s="20"/>
      <c r="D40" s="26">
        <f>D21+E21+D27+E27+D30+D37+E37</f>
        <v>122881.06894000001</v>
      </c>
      <c r="E40" s="20"/>
    </row>
    <row r="41" spans="1:5" x14ac:dyDescent="0.25">
      <c r="A41" s="73" t="s">
        <v>91</v>
      </c>
      <c r="B41" s="20" t="s">
        <v>43</v>
      </c>
      <c r="C41" s="20"/>
      <c r="D41" s="26">
        <f>D18*6%</f>
        <v>6900.4044000000004</v>
      </c>
      <c r="E41" s="20"/>
    </row>
    <row r="42" spans="1:5" x14ac:dyDescent="0.25">
      <c r="A42" s="73" t="s">
        <v>92</v>
      </c>
      <c r="B42" s="22" t="s">
        <v>44</v>
      </c>
      <c r="C42" s="20"/>
      <c r="D42" s="26">
        <f>D40+D41</f>
        <v>129781.47334000001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93</v>
      </c>
      <c r="B44" s="22" t="s">
        <v>45</v>
      </c>
      <c r="C44" s="20"/>
      <c r="D44" s="26">
        <f>D18-D42</f>
        <v>-14774.733340000006</v>
      </c>
      <c r="E44" s="20"/>
    </row>
    <row r="45" spans="1:5" x14ac:dyDescent="0.25">
      <c r="A45" s="73" t="s">
        <v>94</v>
      </c>
      <c r="B45" s="22" t="s">
        <v>46</v>
      </c>
      <c r="C45" s="20"/>
      <c r="D45" s="26">
        <f>D10+D44</f>
        <v>-123544.32334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47</v>
      </c>
      <c r="C48" s="37"/>
      <c r="D48" s="37" t="s">
        <v>48</v>
      </c>
      <c r="E48" s="37"/>
    </row>
    <row r="49" spans="1:5" x14ac:dyDescent="0.25">
      <c r="A49" s="37"/>
      <c r="B49" s="37" t="s">
        <v>49</v>
      </c>
      <c r="C49" s="37"/>
      <c r="D49" s="37" t="s">
        <v>50</v>
      </c>
      <c r="E49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1" max="1" width="7.85546875" customWidth="1"/>
    <col min="2" max="2" width="40.42578125" customWidth="1"/>
    <col min="4" max="4" width="11.140625" customWidth="1"/>
    <col min="5" max="5" width="10.5703125" customWidth="1"/>
  </cols>
  <sheetData>
    <row r="1" spans="1:5" ht="15.75" x14ac:dyDescent="0.25">
      <c r="A1" s="359"/>
      <c r="B1" s="360" t="s">
        <v>0</v>
      </c>
      <c r="C1" s="359"/>
      <c r="D1" s="359"/>
      <c r="E1" s="359"/>
    </row>
    <row r="2" spans="1:5" x14ac:dyDescent="0.25">
      <c r="A2" s="359"/>
      <c r="B2" s="359"/>
      <c r="C2" s="359"/>
      <c r="D2" s="359"/>
      <c r="E2" s="359"/>
    </row>
    <row r="3" spans="1:5" x14ac:dyDescent="0.25">
      <c r="A3" s="359"/>
      <c r="B3" s="359" t="s">
        <v>1</v>
      </c>
      <c r="C3" s="359"/>
      <c r="D3" s="359"/>
      <c r="E3" s="359"/>
    </row>
    <row r="4" spans="1:5" x14ac:dyDescent="0.25">
      <c r="A4" s="359"/>
      <c r="B4" s="462" t="s">
        <v>138</v>
      </c>
      <c r="C4" s="359"/>
      <c r="D4" s="359"/>
      <c r="E4" s="359"/>
    </row>
    <row r="5" spans="1:5" x14ac:dyDescent="0.25">
      <c r="A5" s="359"/>
      <c r="B5" s="359" t="s">
        <v>82</v>
      </c>
      <c r="C5" s="359"/>
      <c r="D5" s="359"/>
      <c r="E5" s="359"/>
    </row>
    <row r="6" spans="1:5" x14ac:dyDescent="0.25">
      <c r="A6" s="577"/>
      <c r="B6" s="577"/>
      <c r="C6" s="577"/>
      <c r="D6" s="427"/>
      <c r="E6" s="361"/>
    </row>
    <row r="7" spans="1:5" x14ac:dyDescent="0.25">
      <c r="A7" s="362"/>
      <c r="B7" s="362"/>
      <c r="C7" s="362"/>
      <c r="D7" s="363"/>
      <c r="E7" s="364"/>
    </row>
    <row r="8" spans="1:5" ht="15.75" x14ac:dyDescent="0.25">
      <c r="A8" s="362"/>
      <c r="B8" s="365" t="s">
        <v>3</v>
      </c>
      <c r="C8" s="366" t="s">
        <v>4</v>
      </c>
      <c r="D8" s="578" t="s">
        <v>5</v>
      </c>
      <c r="E8" s="579"/>
    </row>
    <row r="9" spans="1:5" ht="15.75" x14ac:dyDescent="0.25">
      <c r="A9" s="367"/>
      <c r="B9" s="365" t="s">
        <v>6</v>
      </c>
      <c r="C9" s="366" t="s">
        <v>7</v>
      </c>
      <c r="D9" s="580" t="s">
        <v>116</v>
      </c>
      <c r="E9" s="581"/>
    </row>
    <row r="10" spans="1:5" x14ac:dyDescent="0.25">
      <c r="A10" s="368"/>
      <c r="B10" s="368"/>
      <c r="C10" s="368"/>
      <c r="D10" s="369"/>
      <c r="E10" s="370"/>
    </row>
    <row r="11" spans="1:5" x14ac:dyDescent="0.25">
      <c r="A11" s="368"/>
      <c r="B11" s="371" t="s">
        <v>8</v>
      </c>
      <c r="C11" s="368"/>
      <c r="D11" s="369">
        <v>-152979.15</v>
      </c>
      <c r="E11" s="370"/>
    </row>
    <row r="12" spans="1:5" x14ac:dyDescent="0.25">
      <c r="A12" s="372"/>
      <c r="B12" s="373" t="s">
        <v>9</v>
      </c>
      <c r="C12" s="372" t="s">
        <v>10</v>
      </c>
      <c r="D12" s="372">
        <v>5453.7</v>
      </c>
      <c r="E12" s="372"/>
    </row>
    <row r="13" spans="1:5" x14ac:dyDescent="0.25">
      <c r="A13" s="372"/>
      <c r="B13" s="373" t="s">
        <v>11</v>
      </c>
      <c r="C13" s="372" t="s">
        <v>10</v>
      </c>
      <c r="D13" s="372">
        <v>4435.2</v>
      </c>
      <c r="E13" s="372"/>
    </row>
    <row r="14" spans="1:5" x14ac:dyDescent="0.25">
      <c r="A14" s="372"/>
      <c r="B14" s="374" t="s">
        <v>12</v>
      </c>
      <c r="C14" s="372" t="s">
        <v>55</v>
      </c>
      <c r="D14" s="375">
        <f>91845.06</f>
        <v>91845.06</v>
      </c>
      <c r="E14" s="372"/>
    </row>
    <row r="15" spans="1:5" x14ac:dyDescent="0.25">
      <c r="A15" s="372"/>
      <c r="B15" s="372"/>
      <c r="C15" s="372"/>
      <c r="D15" s="372"/>
      <c r="E15" s="372"/>
    </row>
    <row r="16" spans="1:5" ht="15.75" x14ac:dyDescent="0.25">
      <c r="A16" s="372"/>
      <c r="B16" s="376" t="s">
        <v>14</v>
      </c>
      <c r="C16" s="372"/>
      <c r="D16" s="372"/>
      <c r="E16" s="372"/>
    </row>
    <row r="17" spans="1:5" x14ac:dyDescent="0.25">
      <c r="A17" s="372">
        <v>1</v>
      </c>
      <c r="B17" s="372" t="s">
        <v>15</v>
      </c>
      <c r="C17" s="372" t="s">
        <v>13</v>
      </c>
      <c r="D17" s="372">
        <v>98148.88</v>
      </c>
      <c r="E17" s="372"/>
    </row>
    <row r="18" spans="1:5" x14ac:dyDescent="0.25">
      <c r="A18" s="372">
        <v>2</v>
      </c>
      <c r="B18" s="372" t="s">
        <v>102</v>
      </c>
      <c r="C18" s="372"/>
      <c r="D18" s="372">
        <v>3000</v>
      </c>
      <c r="E18" s="372"/>
    </row>
    <row r="19" spans="1:5" ht="15.75" x14ac:dyDescent="0.25">
      <c r="A19" s="372"/>
      <c r="B19" s="376" t="s">
        <v>17</v>
      </c>
      <c r="C19" s="372"/>
      <c r="D19" s="375">
        <f>D17+D18</f>
        <v>101148.88</v>
      </c>
      <c r="E19" s="372"/>
    </row>
    <row r="20" spans="1:5" ht="15.75" x14ac:dyDescent="0.25">
      <c r="A20" s="372"/>
      <c r="B20" s="376"/>
      <c r="C20" s="372"/>
      <c r="D20" s="375"/>
      <c r="E20" s="372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D23+D27</f>
        <v>71892.430000000008</v>
      </c>
      <c r="E22" s="26">
        <f>E23</f>
        <v>18384.592400000001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70170.200000000012</v>
      </c>
      <c r="E23" s="26">
        <f>E24+E25+E26</f>
        <v>18384.592400000001</v>
      </c>
    </row>
    <row r="24" spans="1:5" x14ac:dyDescent="0.25">
      <c r="A24" s="20"/>
      <c r="B24" s="20" t="s">
        <v>23</v>
      </c>
      <c r="C24" s="20"/>
      <c r="D24" s="261">
        <v>16253.1</v>
      </c>
      <c r="E24" s="28">
        <f>D24*26.2%</f>
        <v>4258.3122000000003</v>
      </c>
    </row>
    <row r="25" spans="1:5" x14ac:dyDescent="0.25">
      <c r="A25" s="20"/>
      <c r="B25" s="20" t="s">
        <v>24</v>
      </c>
      <c r="C25" s="20"/>
      <c r="D25" s="261">
        <v>20848.48</v>
      </c>
      <c r="E25" s="28">
        <f>D25*26.2%</f>
        <v>5462.3017600000003</v>
      </c>
    </row>
    <row r="26" spans="1:5" x14ac:dyDescent="0.25">
      <c r="A26" s="20"/>
      <c r="B26" s="20" t="s">
        <v>25</v>
      </c>
      <c r="C26" s="20"/>
      <c r="D26" s="261">
        <v>33068.620000000003</v>
      </c>
      <c r="E26" s="28">
        <f>D26*26.2%</f>
        <v>8663.9784400000008</v>
      </c>
    </row>
    <row r="27" spans="1:5" x14ac:dyDescent="0.25">
      <c r="A27" s="20">
        <v>2</v>
      </c>
      <c r="B27" s="27" t="s">
        <v>26</v>
      </c>
      <c r="C27" s="20"/>
      <c r="D27" s="261">
        <v>1722.23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46674.31</v>
      </c>
      <c r="E28" s="26">
        <f>E29</f>
        <v>10856.598800000002</v>
      </c>
    </row>
    <row r="29" spans="1:5" x14ac:dyDescent="0.25">
      <c r="A29" s="20">
        <v>1</v>
      </c>
      <c r="B29" s="31" t="s">
        <v>103</v>
      </c>
      <c r="C29" s="20"/>
      <c r="D29" s="261">
        <v>41437.4</v>
      </c>
      <c r="E29" s="28">
        <f>D29*26.2%</f>
        <v>10856.598800000002</v>
      </c>
    </row>
    <row r="30" spans="1:5" x14ac:dyDescent="0.25">
      <c r="A30" s="20">
        <v>2</v>
      </c>
      <c r="B30" s="31" t="s">
        <v>26</v>
      </c>
      <c r="C30" s="20"/>
      <c r="D30" s="453">
        <v>5236.91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17122.103999999999</v>
      </c>
      <c r="E31" s="20"/>
    </row>
    <row r="32" spans="1:5" x14ac:dyDescent="0.25">
      <c r="A32" s="20"/>
      <c r="B32" s="20" t="s">
        <v>32</v>
      </c>
      <c r="C32" s="20"/>
      <c r="D32" s="28">
        <f>D19*5%</f>
        <v>5057.4440000000004</v>
      </c>
      <c r="E32" s="20"/>
    </row>
    <row r="33" spans="1:5" x14ac:dyDescent="0.25">
      <c r="A33" s="20"/>
      <c r="B33" s="20" t="s">
        <v>61</v>
      </c>
      <c r="C33" s="20"/>
      <c r="D33" s="20">
        <f>323.64+316.05</f>
        <v>639.69000000000005</v>
      </c>
      <c r="E33" s="20"/>
    </row>
    <row r="34" spans="1:5" x14ac:dyDescent="0.25">
      <c r="A34" s="20"/>
      <c r="B34" s="31" t="s">
        <v>34</v>
      </c>
      <c r="C34" s="20"/>
      <c r="D34" s="28">
        <v>7361.35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1227.1400000000001</v>
      </c>
      <c r="E36" s="20"/>
    </row>
    <row r="37" spans="1:5" x14ac:dyDescent="0.25">
      <c r="A37" s="20"/>
      <c r="B37" s="31" t="s">
        <v>38</v>
      </c>
      <c r="C37" s="20"/>
      <c r="D37" s="20">
        <v>2836.48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26983.72</v>
      </c>
      <c r="E38" s="26">
        <f>E39</f>
        <v>5262.3328800000008</v>
      </c>
    </row>
    <row r="39" spans="1:5" x14ac:dyDescent="0.25">
      <c r="A39" s="73"/>
      <c r="B39" s="31" t="s">
        <v>40</v>
      </c>
      <c r="C39" s="31"/>
      <c r="D39" s="33">
        <v>20085.240000000002</v>
      </c>
      <c r="E39" s="28">
        <f>D39*26.2%</f>
        <v>5262.3328800000008</v>
      </c>
    </row>
    <row r="40" spans="1:5" x14ac:dyDescent="0.25">
      <c r="A40" s="73"/>
      <c r="B40" s="27" t="s">
        <v>41</v>
      </c>
      <c r="C40" s="20"/>
      <c r="D40" s="33">
        <v>6898.48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D22+E22+D28+E28+D31+D38+E38</f>
        <v>197176.08808000002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D19*6%</f>
        <v>6068.9328000000005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203245.02088000003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D19-D43</f>
        <v>-102096.14088000002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D11+D45</f>
        <v>-255075.29088000002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1" max="1" width="7.140625" customWidth="1"/>
    <col min="2" max="2" width="41.5703125" customWidth="1"/>
    <col min="4" max="4" width="11.140625" customWidth="1"/>
    <col min="5" max="5" width="11" customWidth="1"/>
  </cols>
  <sheetData>
    <row r="1" spans="1:5" ht="15.75" x14ac:dyDescent="0.25">
      <c r="A1" s="377"/>
      <c r="B1" s="378" t="s">
        <v>0</v>
      </c>
      <c r="C1" s="377"/>
      <c r="D1" s="377"/>
      <c r="E1" s="377"/>
    </row>
    <row r="2" spans="1:5" x14ac:dyDescent="0.25">
      <c r="A2" s="377"/>
      <c r="B2" s="377"/>
      <c r="C2" s="377"/>
      <c r="D2" s="377"/>
      <c r="E2" s="377"/>
    </row>
    <row r="3" spans="1:5" x14ac:dyDescent="0.25">
      <c r="A3" s="377"/>
      <c r="B3" s="377" t="s">
        <v>1</v>
      </c>
      <c r="C3" s="377"/>
      <c r="D3" s="377"/>
      <c r="E3" s="377"/>
    </row>
    <row r="4" spans="1:5" x14ac:dyDescent="0.25">
      <c r="A4" s="377"/>
      <c r="B4" s="463" t="s">
        <v>139</v>
      </c>
      <c r="C4" s="377"/>
      <c r="D4" s="377"/>
      <c r="E4" s="377"/>
    </row>
    <row r="5" spans="1:5" x14ac:dyDescent="0.25">
      <c r="A5" s="582"/>
      <c r="B5" s="582"/>
      <c r="C5" s="582"/>
      <c r="D5" s="428"/>
      <c r="E5" s="379"/>
    </row>
    <row r="6" spans="1:5" ht="15.75" x14ac:dyDescent="0.25">
      <c r="A6" s="380"/>
      <c r="B6" s="381" t="s">
        <v>3</v>
      </c>
      <c r="C6" s="382" t="s">
        <v>4</v>
      </c>
      <c r="D6" s="583" t="s">
        <v>5</v>
      </c>
      <c r="E6" s="584"/>
    </row>
    <row r="7" spans="1:5" ht="15.75" x14ac:dyDescent="0.25">
      <c r="A7" s="383"/>
      <c r="B7" s="381" t="s">
        <v>6</v>
      </c>
      <c r="C7" s="382" t="s">
        <v>7</v>
      </c>
      <c r="D7" s="585" t="s">
        <v>116</v>
      </c>
      <c r="E7" s="586"/>
    </row>
    <row r="8" spans="1:5" x14ac:dyDescent="0.25">
      <c r="A8" s="384"/>
      <c r="B8" s="384"/>
      <c r="C8" s="384"/>
      <c r="D8" s="385"/>
      <c r="E8" s="386"/>
    </row>
    <row r="9" spans="1:5" x14ac:dyDescent="0.25">
      <c r="A9" s="384"/>
      <c r="B9" s="12" t="s">
        <v>126</v>
      </c>
      <c r="C9" s="384"/>
      <c r="D9" s="385">
        <v>-46961.29</v>
      </c>
      <c r="E9" s="386"/>
    </row>
    <row r="10" spans="1:5" x14ac:dyDescent="0.25">
      <c r="A10" s="384"/>
      <c r="B10" s="12" t="s">
        <v>127</v>
      </c>
      <c r="C10" s="384"/>
      <c r="D10" s="385">
        <v>28996.959999999999</v>
      </c>
      <c r="E10" s="386"/>
    </row>
    <row r="11" spans="1:5" x14ac:dyDescent="0.25">
      <c r="A11" s="387"/>
      <c r="B11" s="388" t="s">
        <v>9</v>
      </c>
      <c r="C11" s="387" t="s">
        <v>10</v>
      </c>
      <c r="D11" s="387">
        <v>7865.6</v>
      </c>
      <c r="E11" s="387"/>
    </row>
    <row r="12" spans="1:5" x14ac:dyDescent="0.25">
      <c r="A12" s="387"/>
      <c r="B12" s="388" t="s">
        <v>11</v>
      </c>
      <c r="C12" s="387" t="s">
        <v>10</v>
      </c>
      <c r="D12" s="387">
        <v>3607.56</v>
      </c>
      <c r="E12" s="387"/>
    </row>
    <row r="13" spans="1:5" x14ac:dyDescent="0.25">
      <c r="A13" s="387"/>
      <c r="B13" s="389" t="s">
        <v>12</v>
      </c>
      <c r="C13" s="387" t="s">
        <v>55</v>
      </c>
      <c r="D13" s="390">
        <v>107908.02</v>
      </c>
      <c r="E13" s="387"/>
    </row>
    <row r="14" spans="1:5" ht="15.75" x14ac:dyDescent="0.25">
      <c r="A14" s="387"/>
      <c r="B14" s="391" t="s">
        <v>14</v>
      </c>
      <c r="C14" s="387"/>
      <c r="D14" s="387"/>
      <c r="E14" s="387"/>
    </row>
    <row r="15" spans="1:5" x14ac:dyDescent="0.25">
      <c r="A15" s="387">
        <v>1</v>
      </c>
      <c r="B15" s="387" t="s">
        <v>15</v>
      </c>
      <c r="C15" s="387" t="s">
        <v>13</v>
      </c>
      <c r="D15" s="387">
        <f>218380.52-114344.6</f>
        <v>104035.91999999998</v>
      </c>
      <c r="E15" s="387"/>
    </row>
    <row r="16" spans="1:5" x14ac:dyDescent="0.25">
      <c r="A16" s="387">
        <v>2</v>
      </c>
      <c r="B16" s="464" t="s">
        <v>16</v>
      </c>
      <c r="C16" s="387"/>
      <c r="D16" s="387">
        <f>79553.98-28996.96</f>
        <v>50557.02</v>
      </c>
      <c r="E16" s="387"/>
    </row>
    <row r="17" spans="1:5" x14ac:dyDescent="0.25">
      <c r="A17" s="387">
        <v>3</v>
      </c>
      <c r="B17" s="464" t="s">
        <v>102</v>
      </c>
      <c r="C17" s="387"/>
      <c r="D17" s="387">
        <v>3500</v>
      </c>
      <c r="E17" s="387"/>
    </row>
    <row r="18" spans="1:5" ht="15.75" x14ac:dyDescent="0.25">
      <c r="A18" s="387"/>
      <c r="B18" s="391" t="s">
        <v>17</v>
      </c>
      <c r="C18" s="387"/>
      <c r="D18" s="390">
        <f>D15+D16+D17</f>
        <v>158092.93999999997</v>
      </c>
      <c r="E18" s="387"/>
    </row>
    <row r="19" spans="1:5" ht="15.75" x14ac:dyDescent="0.25">
      <c r="A19" s="387"/>
      <c r="B19" s="391"/>
      <c r="C19" s="387"/>
      <c r="D19" s="390"/>
      <c r="E19" s="387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37782.570000000007</v>
      </c>
      <c r="E21" s="26">
        <f>E22</f>
        <v>9637.2743800000007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36783.490000000005</v>
      </c>
      <c r="E22" s="26">
        <f>E23+E24+E25</f>
        <v>9637.2743800000007</v>
      </c>
    </row>
    <row r="23" spans="1:5" x14ac:dyDescent="0.25">
      <c r="A23" s="20"/>
      <c r="B23" s="20" t="s">
        <v>23</v>
      </c>
      <c r="C23" s="20"/>
      <c r="D23" s="261">
        <v>5851.07</v>
      </c>
      <c r="E23" s="28">
        <f>D23*26.2%</f>
        <v>1532.9803400000001</v>
      </c>
    </row>
    <row r="24" spans="1:5" x14ac:dyDescent="0.25">
      <c r="A24" s="20"/>
      <c r="B24" s="20" t="s">
        <v>24</v>
      </c>
      <c r="C24" s="20"/>
      <c r="D24" s="261">
        <v>11727.27</v>
      </c>
      <c r="E24" s="28">
        <f>D24*26.2%</f>
        <v>3072.5447400000003</v>
      </c>
    </row>
    <row r="25" spans="1:5" x14ac:dyDescent="0.25">
      <c r="A25" s="20"/>
      <c r="B25" s="20" t="s">
        <v>25</v>
      </c>
      <c r="C25" s="20"/>
      <c r="D25" s="261">
        <v>19205.150000000001</v>
      </c>
      <c r="E25" s="28">
        <f>D25*26.2%</f>
        <v>5031.7493000000004</v>
      </c>
    </row>
    <row r="26" spans="1:5" x14ac:dyDescent="0.25">
      <c r="A26" s="20">
        <v>2</v>
      </c>
      <c r="B26" s="27" t="s">
        <v>26</v>
      </c>
      <c r="C26" s="20"/>
      <c r="D26" s="261">
        <v>999.08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25907.219999999998</v>
      </c>
      <c r="E27" s="26">
        <f>E28</f>
        <v>6298.0110199999999</v>
      </c>
    </row>
    <row r="28" spans="1:5" x14ac:dyDescent="0.25">
      <c r="A28" s="20">
        <v>1</v>
      </c>
      <c r="B28" s="31" t="s">
        <v>103</v>
      </c>
      <c r="C28" s="20"/>
      <c r="D28" s="261">
        <v>24038.21</v>
      </c>
      <c r="E28" s="28">
        <f>D28*26.2%</f>
        <v>6298.0110199999999</v>
      </c>
    </row>
    <row r="29" spans="1:5" x14ac:dyDescent="0.25">
      <c r="A29" s="20">
        <v>2</v>
      </c>
      <c r="B29" s="31" t="s">
        <v>26</v>
      </c>
      <c r="C29" s="20"/>
      <c r="D29" s="453">
        <v>1869.01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D31+D32+D34+D35+D36+D37</f>
        <v>14815.536999999997</v>
      </c>
      <c r="E30" s="20"/>
    </row>
    <row r="31" spans="1:5" x14ac:dyDescent="0.25">
      <c r="A31" s="20"/>
      <c r="B31" s="20" t="s">
        <v>32</v>
      </c>
      <c r="C31" s="20"/>
      <c r="D31" s="28">
        <f>D18*5%</f>
        <v>7904.646999999999</v>
      </c>
      <c r="E31" s="20"/>
    </row>
    <row r="32" spans="1:5" x14ac:dyDescent="0.25">
      <c r="A32" s="20"/>
      <c r="B32" s="261" t="s">
        <v>61</v>
      </c>
      <c r="C32" s="261"/>
      <c r="D32" s="452">
        <f>181.15+102.01</f>
        <v>283.16000000000003</v>
      </c>
      <c r="E32" s="20"/>
    </row>
    <row r="33" spans="1:5" x14ac:dyDescent="0.25">
      <c r="A33" s="20"/>
      <c r="B33" s="261" t="s">
        <v>33</v>
      </c>
      <c r="C33" s="261"/>
      <c r="D33" s="261">
        <v>907.5</v>
      </c>
      <c r="E33" s="20"/>
    </row>
    <row r="34" spans="1:5" x14ac:dyDescent="0.25">
      <c r="A34" s="20"/>
      <c r="B34" s="261" t="s">
        <v>34</v>
      </c>
      <c r="C34" s="261"/>
      <c r="D34" s="261">
        <v>4270.38</v>
      </c>
      <c r="E34" s="20"/>
    </row>
    <row r="35" spans="1:5" x14ac:dyDescent="0.25">
      <c r="A35" s="20"/>
      <c r="B35" s="31" t="s">
        <v>36</v>
      </c>
      <c r="C35" s="20"/>
      <c r="D35" s="27">
        <v>711.88</v>
      </c>
      <c r="E35" s="20"/>
    </row>
    <row r="36" spans="1:5" x14ac:dyDescent="0.25">
      <c r="A36" s="20"/>
      <c r="B36" s="31" t="s">
        <v>35</v>
      </c>
      <c r="C36" s="20"/>
      <c r="D36" s="27"/>
      <c r="E36" s="20"/>
    </row>
    <row r="37" spans="1:5" x14ac:dyDescent="0.25">
      <c r="A37" s="20"/>
      <c r="B37" s="20" t="s">
        <v>38</v>
      </c>
      <c r="C37" s="20"/>
      <c r="D37" s="20">
        <v>1645.47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15653.509999999998</v>
      </c>
      <c r="E38" s="26">
        <f>E39</f>
        <v>3052.7270599999997</v>
      </c>
    </row>
    <row r="39" spans="1:5" x14ac:dyDescent="0.25">
      <c r="A39" s="73"/>
      <c r="B39" s="31" t="s">
        <v>40</v>
      </c>
      <c r="C39" s="31"/>
      <c r="D39" s="33">
        <v>11651.63</v>
      </c>
      <c r="E39" s="28">
        <f>D39*26.2%</f>
        <v>3052.7270599999997</v>
      </c>
    </row>
    <row r="40" spans="1:5" x14ac:dyDescent="0.25">
      <c r="A40" s="73"/>
      <c r="B40" s="27" t="s">
        <v>41</v>
      </c>
      <c r="C40" s="20"/>
      <c r="D40" s="33">
        <v>4001.88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D21+E21+D27+E27+D30+D38+E38</f>
        <v>113146.84946000001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9485.5763999999981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122632.42586000002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D15+D17-D43</f>
        <v>-15096.505860000034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D9+D45</f>
        <v>-62057.795860000035</v>
      </c>
      <c r="E46" s="20"/>
    </row>
    <row r="47" spans="1:5" x14ac:dyDescent="0.25">
      <c r="A47" s="34"/>
      <c r="B47" s="465" t="s">
        <v>16</v>
      </c>
      <c r="C47" s="34"/>
      <c r="D47" s="36">
        <f>D10+D16</f>
        <v>79553.98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1" workbookViewId="0">
      <selection activeCell="A42" sqref="A42:A50"/>
    </sheetView>
  </sheetViews>
  <sheetFormatPr defaultRowHeight="15" x14ac:dyDescent="0.25"/>
  <cols>
    <col min="1" max="1" width="8.140625" customWidth="1"/>
    <col min="2" max="2" width="41.7109375" customWidth="1"/>
    <col min="4" max="5" width="10.85546875" customWidth="1"/>
  </cols>
  <sheetData>
    <row r="1" spans="1:5" ht="15.75" x14ac:dyDescent="0.25">
      <c r="A1" s="392"/>
      <c r="B1" s="393" t="s">
        <v>0</v>
      </c>
      <c r="C1" s="392"/>
      <c r="D1" s="392"/>
      <c r="E1" s="392"/>
    </row>
    <row r="2" spans="1:5" x14ac:dyDescent="0.25">
      <c r="A2" s="392"/>
      <c r="B2" s="392"/>
      <c r="C2" s="392"/>
      <c r="D2" s="392"/>
      <c r="E2" s="392"/>
    </row>
    <row r="3" spans="1:5" x14ac:dyDescent="0.25">
      <c r="A3" s="392"/>
      <c r="B3" s="392" t="s">
        <v>1</v>
      </c>
      <c r="C3" s="392"/>
      <c r="D3" s="392"/>
      <c r="E3" s="392"/>
    </row>
    <row r="4" spans="1:5" x14ac:dyDescent="0.25">
      <c r="A4" s="392"/>
      <c r="B4" s="466" t="s">
        <v>140</v>
      </c>
      <c r="C4" s="392"/>
      <c r="D4" s="392"/>
      <c r="E4" s="392"/>
    </row>
    <row r="5" spans="1:5" x14ac:dyDescent="0.25">
      <c r="A5" s="589"/>
      <c r="B5" s="589"/>
      <c r="C5" s="589"/>
      <c r="D5" s="429"/>
      <c r="E5" s="394"/>
    </row>
    <row r="6" spans="1:5" x14ac:dyDescent="0.25">
      <c r="A6" s="395"/>
      <c r="B6" s="395"/>
      <c r="C6" s="395"/>
      <c r="D6" s="396"/>
      <c r="E6" s="397"/>
    </row>
    <row r="7" spans="1:5" ht="15.75" x14ac:dyDescent="0.25">
      <c r="A7" s="395"/>
      <c r="B7" s="398" t="s">
        <v>3</v>
      </c>
      <c r="C7" s="399" t="s">
        <v>4</v>
      </c>
      <c r="D7" s="590" t="s">
        <v>5</v>
      </c>
      <c r="E7" s="591"/>
    </row>
    <row r="8" spans="1:5" ht="15.75" x14ac:dyDescent="0.25">
      <c r="A8" s="400"/>
      <c r="B8" s="398" t="s">
        <v>6</v>
      </c>
      <c r="C8" s="399" t="s">
        <v>7</v>
      </c>
      <c r="D8" s="587" t="s">
        <v>116</v>
      </c>
      <c r="E8" s="588"/>
    </row>
    <row r="9" spans="1:5" x14ac:dyDescent="0.25">
      <c r="A9" s="401"/>
      <c r="B9" s="401"/>
      <c r="C9" s="401"/>
      <c r="D9" s="402"/>
      <c r="E9" s="403"/>
    </row>
    <row r="10" spans="1:5" x14ac:dyDescent="0.25">
      <c r="A10" s="401"/>
      <c r="B10" s="12" t="s">
        <v>126</v>
      </c>
      <c r="C10" s="401"/>
      <c r="D10" s="402">
        <v>-100309.75999999999</v>
      </c>
      <c r="E10" s="403"/>
    </row>
    <row r="11" spans="1:5" x14ac:dyDescent="0.25">
      <c r="A11" s="401"/>
      <c r="B11" s="12" t="s">
        <v>127</v>
      </c>
      <c r="C11" s="401"/>
      <c r="D11" s="402">
        <v>51077.64</v>
      </c>
      <c r="E11" s="403"/>
    </row>
    <row r="12" spans="1:5" x14ac:dyDescent="0.25">
      <c r="A12" s="404"/>
      <c r="B12" s="405" t="s">
        <v>9</v>
      </c>
      <c r="C12" s="404" t="s">
        <v>10</v>
      </c>
      <c r="D12" s="404">
        <v>3706.66</v>
      </c>
      <c r="E12" s="404"/>
    </row>
    <row r="13" spans="1:5" x14ac:dyDescent="0.25">
      <c r="A13" s="404"/>
      <c r="B13" s="405" t="s">
        <v>11</v>
      </c>
      <c r="C13" s="404" t="s">
        <v>10</v>
      </c>
      <c r="D13" s="404">
        <v>2662.9</v>
      </c>
      <c r="E13" s="404"/>
    </row>
    <row r="14" spans="1:5" x14ac:dyDescent="0.25">
      <c r="A14" s="404"/>
      <c r="B14" s="406" t="s">
        <v>12</v>
      </c>
      <c r="C14" s="404" t="s">
        <v>55</v>
      </c>
      <c r="D14" s="407">
        <v>108411</v>
      </c>
      <c r="E14" s="404"/>
    </row>
    <row r="15" spans="1:5" x14ac:dyDescent="0.25">
      <c r="A15" s="404"/>
      <c r="B15" s="404"/>
      <c r="C15" s="404"/>
      <c r="D15" s="404"/>
      <c r="E15" s="404"/>
    </row>
    <row r="16" spans="1:5" ht="15.75" x14ac:dyDescent="0.25">
      <c r="A16" s="404"/>
      <c r="B16" s="408" t="s">
        <v>14</v>
      </c>
      <c r="C16" s="404"/>
      <c r="D16" s="404"/>
      <c r="E16" s="404"/>
    </row>
    <row r="17" spans="1:5" x14ac:dyDescent="0.25">
      <c r="A17" s="404">
        <v>1</v>
      </c>
      <c r="B17" s="404" t="s">
        <v>15</v>
      </c>
      <c r="C17" s="404" t="s">
        <v>13</v>
      </c>
      <c r="D17" s="404">
        <f>212515.08-100751.25</f>
        <v>111763.82999999999</v>
      </c>
      <c r="E17" s="404"/>
    </row>
    <row r="18" spans="1:5" x14ac:dyDescent="0.25">
      <c r="A18" s="404">
        <v>2</v>
      </c>
      <c r="B18" s="404" t="s">
        <v>16</v>
      </c>
      <c r="C18" s="404"/>
      <c r="D18" s="404">
        <f>86447.2-38188.06</f>
        <v>48259.14</v>
      </c>
      <c r="E18" s="404"/>
    </row>
    <row r="19" spans="1:5" x14ac:dyDescent="0.25">
      <c r="A19" s="404">
        <v>3</v>
      </c>
      <c r="B19" s="404" t="s">
        <v>102</v>
      </c>
      <c r="C19" s="404"/>
      <c r="D19" s="404">
        <v>3500</v>
      </c>
      <c r="E19" s="404"/>
    </row>
    <row r="20" spans="1:5" ht="15.75" x14ac:dyDescent="0.25">
      <c r="A20" s="404"/>
      <c r="B20" s="408" t="s">
        <v>17</v>
      </c>
      <c r="C20" s="404"/>
      <c r="D20" s="407">
        <f>D17+D18+D19</f>
        <v>163522.96999999997</v>
      </c>
      <c r="E20" s="404"/>
    </row>
    <row r="21" spans="1:5" ht="15.75" x14ac:dyDescent="0.25">
      <c r="A21" s="404"/>
      <c r="B21" s="408"/>
      <c r="C21" s="404"/>
      <c r="D21" s="407"/>
      <c r="E21" s="404"/>
    </row>
    <row r="22" spans="1:5" ht="15.75" x14ac:dyDescent="0.25">
      <c r="A22" s="20"/>
      <c r="B22" s="21" t="s">
        <v>18</v>
      </c>
      <c r="C22" s="20"/>
      <c r="D22" s="22"/>
      <c r="E22" s="23" t="s">
        <v>19</v>
      </c>
    </row>
    <row r="23" spans="1:5" x14ac:dyDescent="0.25">
      <c r="A23" s="24" t="s">
        <v>20</v>
      </c>
      <c r="B23" s="25" t="s">
        <v>21</v>
      </c>
      <c r="C23" s="20"/>
      <c r="D23" s="26">
        <f>D24+D29</f>
        <v>45698.35</v>
      </c>
      <c r="E23" s="26">
        <f>E24</f>
        <v>11702.05184</v>
      </c>
    </row>
    <row r="24" spans="1:5" x14ac:dyDescent="0.25">
      <c r="A24" s="20">
        <v>1</v>
      </c>
      <c r="B24" s="22" t="s">
        <v>22</v>
      </c>
      <c r="C24" s="27" t="s">
        <v>13</v>
      </c>
      <c r="D24" s="26">
        <f>D25+D26+D27+D28</f>
        <v>44664.32</v>
      </c>
      <c r="E24" s="26">
        <f>E25+E26+E27+E28</f>
        <v>11702.05184</v>
      </c>
    </row>
    <row r="25" spans="1:5" x14ac:dyDescent="0.25">
      <c r="A25" s="20"/>
      <c r="B25" s="20" t="s">
        <v>23</v>
      </c>
      <c r="C25" s="20"/>
      <c r="D25" s="261">
        <v>13977.58</v>
      </c>
      <c r="E25" s="28">
        <f>D25*26.2%</f>
        <v>3662.1259600000003</v>
      </c>
    </row>
    <row r="26" spans="1:5" x14ac:dyDescent="0.25">
      <c r="A26" s="20"/>
      <c r="B26" s="20" t="s">
        <v>24</v>
      </c>
      <c r="C26" s="20"/>
      <c r="D26" s="261">
        <v>12053.02</v>
      </c>
      <c r="E26" s="28">
        <f>D26*26.2%</f>
        <v>3157.8912400000004</v>
      </c>
    </row>
    <row r="27" spans="1:5" x14ac:dyDescent="0.25">
      <c r="A27" s="20"/>
      <c r="B27" s="20" t="s">
        <v>25</v>
      </c>
      <c r="C27" s="20"/>
      <c r="D27" s="261">
        <v>17662.650000000001</v>
      </c>
      <c r="E27" s="28">
        <f>D27*26.2%</f>
        <v>4627.6143000000002</v>
      </c>
    </row>
    <row r="28" spans="1:5" x14ac:dyDescent="0.25">
      <c r="A28" s="20"/>
      <c r="B28" s="31" t="s">
        <v>81</v>
      </c>
      <c r="C28" s="20"/>
      <c r="D28" s="261">
        <v>971.07</v>
      </c>
      <c r="E28" s="28">
        <f>D28*26.2%</f>
        <v>254.42034000000001</v>
      </c>
    </row>
    <row r="29" spans="1:5" x14ac:dyDescent="0.25">
      <c r="A29" s="20">
        <v>2</v>
      </c>
      <c r="B29" s="27" t="s">
        <v>26</v>
      </c>
      <c r="C29" s="20"/>
      <c r="D29" s="261">
        <v>1034.03</v>
      </c>
      <c r="E29" s="28"/>
    </row>
    <row r="30" spans="1:5" x14ac:dyDescent="0.25">
      <c r="A30" s="24" t="s">
        <v>27</v>
      </c>
      <c r="B30" s="30" t="s">
        <v>28</v>
      </c>
      <c r="C30" s="20"/>
      <c r="D30" s="22">
        <f>D31+D32</f>
        <v>25493.22</v>
      </c>
      <c r="E30" s="26">
        <f>E31</f>
        <v>6518.3163400000003</v>
      </c>
    </row>
    <row r="31" spans="1:5" x14ac:dyDescent="0.25">
      <c r="A31" s="20">
        <v>1</v>
      </c>
      <c r="B31" s="31" t="s">
        <v>103</v>
      </c>
      <c r="C31" s="20"/>
      <c r="D31" s="261">
        <v>24879.07</v>
      </c>
      <c r="E31" s="28">
        <f>D31*26.2%</f>
        <v>6518.3163400000003</v>
      </c>
    </row>
    <row r="32" spans="1:5" x14ac:dyDescent="0.25">
      <c r="A32" s="20">
        <v>2</v>
      </c>
      <c r="B32" s="31" t="s">
        <v>26</v>
      </c>
      <c r="C32" s="20"/>
      <c r="D32" s="453">
        <v>614.15</v>
      </c>
      <c r="E32" s="20"/>
    </row>
    <row r="33" spans="1:5" x14ac:dyDescent="0.25">
      <c r="A33" s="24" t="s">
        <v>30</v>
      </c>
      <c r="B33" s="22" t="s">
        <v>31</v>
      </c>
      <c r="C33" s="20"/>
      <c r="D33" s="26">
        <f>D34+D35+D37+D38+D39+D40+D41+D36</f>
        <v>16164.3585</v>
      </c>
      <c r="E33" s="20"/>
    </row>
    <row r="34" spans="1:5" x14ac:dyDescent="0.25">
      <c r="A34" s="20"/>
      <c r="B34" s="20" t="s">
        <v>32</v>
      </c>
      <c r="C34" s="20"/>
      <c r="D34" s="28">
        <f>D20*5%</f>
        <v>8176.1484999999993</v>
      </c>
      <c r="E34" s="20"/>
    </row>
    <row r="35" spans="1:5" x14ac:dyDescent="0.25">
      <c r="A35" s="20"/>
      <c r="B35" s="261" t="s">
        <v>61</v>
      </c>
      <c r="C35" s="261"/>
      <c r="D35" s="452">
        <f>111.89+109.26</f>
        <v>221.15</v>
      </c>
      <c r="E35" s="20"/>
    </row>
    <row r="36" spans="1:5" x14ac:dyDescent="0.25">
      <c r="A36" s="20"/>
      <c r="B36" s="261" t="s">
        <v>33</v>
      </c>
      <c r="C36" s="261"/>
      <c r="D36" s="261">
        <v>907.5</v>
      </c>
      <c r="E36" s="20"/>
    </row>
    <row r="37" spans="1:5" x14ac:dyDescent="0.25">
      <c r="A37" s="20"/>
      <c r="B37" s="261" t="s">
        <v>34</v>
      </c>
      <c r="C37" s="261"/>
      <c r="D37" s="261">
        <v>4419.76</v>
      </c>
      <c r="E37" s="20"/>
    </row>
    <row r="38" spans="1:5" x14ac:dyDescent="0.25">
      <c r="A38" s="20"/>
      <c r="B38" s="31" t="s">
        <v>36</v>
      </c>
      <c r="C38" s="20"/>
      <c r="D38" s="20">
        <v>736.78</v>
      </c>
      <c r="E38" s="20"/>
    </row>
    <row r="39" spans="1:5" x14ac:dyDescent="0.25">
      <c r="A39" s="20"/>
      <c r="B39" s="27" t="s">
        <v>66</v>
      </c>
      <c r="C39" s="20"/>
      <c r="D39" s="20">
        <v>0</v>
      </c>
      <c r="E39" s="20"/>
    </row>
    <row r="40" spans="1:5" x14ac:dyDescent="0.25">
      <c r="A40" s="20"/>
      <c r="B40" s="27" t="s">
        <v>35</v>
      </c>
      <c r="C40" s="20"/>
      <c r="D40" s="20">
        <v>0</v>
      </c>
      <c r="E40" s="20"/>
    </row>
    <row r="41" spans="1:5" x14ac:dyDescent="0.25">
      <c r="A41" s="20"/>
      <c r="B41" s="20" t="s">
        <v>38</v>
      </c>
      <c r="C41" s="20"/>
      <c r="D41" s="20">
        <v>1703.02</v>
      </c>
      <c r="E41" s="20"/>
    </row>
    <row r="42" spans="1:5" x14ac:dyDescent="0.25">
      <c r="A42" s="73" t="s">
        <v>89</v>
      </c>
      <c r="B42" s="22" t="s">
        <v>39</v>
      </c>
      <c r="C42" s="20"/>
      <c r="D42" s="26">
        <f>D43+D44</f>
        <v>12059.2</v>
      </c>
      <c r="E42" s="26">
        <f>E43</f>
        <v>3159.5104000000001</v>
      </c>
    </row>
    <row r="43" spans="1:5" x14ac:dyDescent="0.25">
      <c r="A43" s="73"/>
      <c r="B43" s="31" t="s">
        <v>40</v>
      </c>
      <c r="C43" s="31"/>
      <c r="D43" s="33">
        <v>12059.2</v>
      </c>
      <c r="E43" s="28">
        <f>D43*26.2%</f>
        <v>3159.5104000000001</v>
      </c>
    </row>
    <row r="44" spans="1:5" x14ac:dyDescent="0.25">
      <c r="A44" s="73"/>
      <c r="B44" s="27" t="s">
        <v>41</v>
      </c>
      <c r="C44" s="20"/>
      <c r="D44" s="33"/>
      <c r="E44" s="20"/>
    </row>
    <row r="45" spans="1:5" x14ac:dyDescent="0.25">
      <c r="A45" s="73" t="s">
        <v>90</v>
      </c>
      <c r="B45" s="22" t="s">
        <v>42</v>
      </c>
      <c r="C45" s="20"/>
      <c r="D45" s="26">
        <f>D23+E23+D30+E30+D33+D42+E42</f>
        <v>120795.00708000001</v>
      </c>
      <c r="E45" s="20"/>
    </row>
    <row r="46" spans="1:5" x14ac:dyDescent="0.25">
      <c r="A46" s="73" t="s">
        <v>91</v>
      </c>
      <c r="B46" s="20" t="s">
        <v>43</v>
      </c>
      <c r="C46" s="20"/>
      <c r="D46" s="26">
        <f>D20*6%</f>
        <v>9811.3781999999974</v>
      </c>
      <c r="E46" s="20"/>
    </row>
    <row r="47" spans="1:5" x14ac:dyDescent="0.25">
      <c r="A47" s="73" t="s">
        <v>92</v>
      </c>
      <c r="B47" s="22" t="s">
        <v>44</v>
      </c>
      <c r="C47" s="20"/>
      <c r="D47" s="26">
        <f>D45+D46</f>
        <v>130606.38528</v>
      </c>
      <c r="E47" s="20"/>
    </row>
    <row r="48" spans="1:5" x14ac:dyDescent="0.25">
      <c r="A48" s="73"/>
      <c r="B48" s="20"/>
      <c r="C48" s="20"/>
      <c r="D48" s="20"/>
      <c r="E48" s="20"/>
    </row>
    <row r="49" spans="1:5" x14ac:dyDescent="0.25">
      <c r="A49" s="73" t="s">
        <v>93</v>
      </c>
      <c r="B49" s="22" t="s">
        <v>45</v>
      </c>
      <c r="C49" s="20"/>
      <c r="D49" s="26">
        <f>D17+D19-D47</f>
        <v>-15342.555280000015</v>
      </c>
      <c r="E49" s="20"/>
    </row>
    <row r="50" spans="1:5" x14ac:dyDescent="0.25">
      <c r="A50" s="73" t="s">
        <v>94</v>
      </c>
      <c r="B50" s="22" t="s">
        <v>46</v>
      </c>
      <c r="C50" s="20"/>
      <c r="D50" s="26">
        <f>D10+D49</f>
        <v>-115652.31528000001</v>
      </c>
      <c r="E50" s="20"/>
    </row>
    <row r="51" spans="1:5" x14ac:dyDescent="0.25">
      <c r="A51" s="34"/>
      <c r="B51" s="35"/>
      <c r="C51" s="34"/>
      <c r="D51" s="36"/>
      <c r="E51" s="34"/>
    </row>
    <row r="52" spans="1:5" x14ac:dyDescent="0.25">
      <c r="A52" s="34"/>
      <c r="B52" s="35"/>
      <c r="C52" s="34"/>
      <c r="D52" s="36"/>
      <c r="E52" s="34"/>
    </row>
    <row r="53" spans="1:5" x14ac:dyDescent="0.25">
      <c r="A53" s="34"/>
      <c r="B53" s="35"/>
      <c r="C53" s="34"/>
      <c r="D53" s="36"/>
      <c r="E53" s="34"/>
    </row>
    <row r="54" spans="1:5" x14ac:dyDescent="0.25">
      <c r="A54" s="34"/>
      <c r="B54" s="35" t="s">
        <v>141</v>
      </c>
      <c r="C54" s="34"/>
      <c r="D54" s="36">
        <f>D18+D11</f>
        <v>99336.78</v>
      </c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35" t="s">
        <v>142</v>
      </c>
      <c r="C56" s="34"/>
      <c r="D56" s="36">
        <f>35819.58+59000</f>
        <v>94819.58</v>
      </c>
      <c r="E56" s="34"/>
    </row>
    <row r="57" spans="1:5" x14ac:dyDescent="0.25">
      <c r="A57" s="34"/>
      <c r="B57" s="35"/>
      <c r="C57" s="34"/>
      <c r="D57" s="36"/>
      <c r="E57" s="34"/>
    </row>
    <row r="58" spans="1:5" x14ac:dyDescent="0.25">
      <c r="A58" s="34"/>
      <c r="B58" s="35" t="s">
        <v>143</v>
      </c>
      <c r="C58" s="34"/>
      <c r="D58" s="36">
        <f>D54-D56</f>
        <v>4517.1999999999971</v>
      </c>
      <c r="E58" s="34"/>
    </row>
    <row r="59" spans="1:5" x14ac:dyDescent="0.25">
      <c r="A59" s="34"/>
      <c r="B59" s="35"/>
      <c r="C59" s="34"/>
      <c r="D59" s="36"/>
      <c r="E59" s="34"/>
    </row>
    <row r="60" spans="1:5" x14ac:dyDescent="0.25">
      <c r="A60" s="34"/>
      <c r="B60" s="35"/>
      <c r="C60" s="34"/>
      <c r="D60" s="36"/>
      <c r="E60" s="34"/>
    </row>
    <row r="61" spans="1:5" x14ac:dyDescent="0.25">
      <c r="A61" s="34"/>
      <c r="B61" s="35"/>
      <c r="C61" s="34"/>
      <c r="D61" s="36"/>
      <c r="E61" s="34"/>
    </row>
    <row r="62" spans="1:5" x14ac:dyDescent="0.25">
      <c r="A62" s="37"/>
      <c r="B62" s="37" t="s">
        <v>47</v>
      </c>
      <c r="C62" s="37"/>
      <c r="D62" s="37" t="s">
        <v>48</v>
      </c>
      <c r="E62" s="37"/>
    </row>
    <row r="64" spans="1:5" x14ac:dyDescent="0.25">
      <c r="B64" t="s">
        <v>49</v>
      </c>
      <c r="D64" t="s">
        <v>50</v>
      </c>
    </row>
  </sheetData>
  <mergeCells count="3">
    <mergeCell ref="D8:E8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27" workbookViewId="0">
      <selection activeCell="B39" sqref="B39:B47"/>
    </sheetView>
  </sheetViews>
  <sheetFormatPr defaultRowHeight="15" x14ac:dyDescent="0.25"/>
  <cols>
    <col min="1" max="1" width="5.42578125" customWidth="1"/>
    <col min="3" max="3" width="35.5703125" customWidth="1"/>
    <col min="5" max="5" width="13.5703125" customWidth="1"/>
    <col min="6" max="6" width="11" customWidth="1"/>
  </cols>
  <sheetData>
    <row r="1" spans="2:6" ht="15.75" x14ac:dyDescent="0.25">
      <c r="C1" s="1" t="s">
        <v>0</v>
      </c>
    </row>
    <row r="3" spans="2:6" x14ac:dyDescent="0.25">
      <c r="C3" t="s">
        <v>58</v>
      </c>
    </row>
    <row r="4" spans="2:6" x14ac:dyDescent="0.25">
      <c r="C4" t="s">
        <v>211</v>
      </c>
    </row>
    <row r="5" spans="2:6" x14ac:dyDescent="0.25">
      <c r="B5" s="592"/>
      <c r="C5" s="592"/>
      <c r="D5" s="592"/>
      <c r="E5" s="592"/>
      <c r="F5" s="57"/>
    </row>
    <row r="6" spans="2:6" ht="15.75" x14ac:dyDescent="0.25">
      <c r="B6" s="2"/>
      <c r="C6" s="488" t="s">
        <v>3</v>
      </c>
      <c r="D6" s="489" t="s">
        <v>4</v>
      </c>
      <c r="E6" s="593" t="s">
        <v>5</v>
      </c>
      <c r="F6" s="594"/>
    </row>
    <row r="7" spans="2:6" ht="15.75" x14ac:dyDescent="0.25">
      <c r="B7" s="8"/>
      <c r="C7" s="6" t="s">
        <v>6</v>
      </c>
      <c r="D7" s="7" t="s">
        <v>53</v>
      </c>
      <c r="E7" s="595" t="s">
        <v>112</v>
      </c>
      <c r="F7" s="596"/>
    </row>
    <row r="8" spans="2:6" x14ac:dyDescent="0.25">
      <c r="B8" s="9"/>
      <c r="C8" s="9"/>
      <c r="D8" s="9"/>
      <c r="E8" s="10"/>
      <c r="F8" s="11"/>
    </row>
    <row r="9" spans="2:6" x14ac:dyDescent="0.25">
      <c r="B9" s="9"/>
      <c r="C9" s="12" t="s">
        <v>8</v>
      </c>
      <c r="D9" s="9"/>
      <c r="E9" s="10">
        <v>102378.59</v>
      </c>
      <c r="F9" s="11"/>
    </row>
    <row r="10" spans="2:6" x14ac:dyDescent="0.25">
      <c r="B10" s="13"/>
      <c r="C10" s="14" t="s">
        <v>9</v>
      </c>
      <c r="D10" s="12" t="s">
        <v>54</v>
      </c>
      <c r="E10" s="13">
        <v>6474.6</v>
      </c>
      <c r="F10" s="13"/>
    </row>
    <row r="11" spans="2:6" x14ac:dyDescent="0.25">
      <c r="B11" s="13"/>
      <c r="C11" s="14" t="s">
        <v>11</v>
      </c>
      <c r="D11" s="12" t="s">
        <v>54</v>
      </c>
      <c r="E11" s="13">
        <v>4182.8999999999996</v>
      </c>
      <c r="F11" s="13"/>
    </row>
    <row r="12" spans="2:6" x14ac:dyDescent="0.25">
      <c r="B12" s="13"/>
      <c r="C12" s="15" t="s">
        <v>12</v>
      </c>
      <c r="D12" s="12" t="s">
        <v>55</v>
      </c>
      <c r="E12" s="19">
        <v>160874.76</v>
      </c>
      <c r="F12" s="13"/>
    </row>
    <row r="13" spans="2:6" ht="15.75" x14ac:dyDescent="0.25">
      <c r="B13" s="13"/>
      <c r="C13" s="16" t="s">
        <v>14</v>
      </c>
      <c r="D13" s="9"/>
      <c r="E13" s="13"/>
      <c r="F13" s="13"/>
    </row>
    <row r="14" spans="2:6" x14ac:dyDescent="0.25">
      <c r="B14" s="13">
        <v>1</v>
      </c>
      <c r="C14" s="13" t="s">
        <v>15</v>
      </c>
      <c r="D14" s="12" t="s">
        <v>13</v>
      </c>
      <c r="E14" s="13">
        <f>313449.84-143510.59</f>
        <v>169939.25000000003</v>
      </c>
      <c r="F14" s="13"/>
    </row>
    <row r="15" spans="2:6" x14ac:dyDescent="0.25">
      <c r="B15" s="13">
        <v>3</v>
      </c>
      <c r="C15" s="13" t="s">
        <v>144</v>
      </c>
      <c r="D15" s="9"/>
      <c r="E15" s="13">
        <f>2776.81+17659.74+2776.81</f>
        <v>23213.360000000004</v>
      </c>
      <c r="F15" s="13"/>
    </row>
    <row r="16" spans="2:6" ht="15.75" x14ac:dyDescent="0.25">
      <c r="B16" s="13"/>
      <c r="C16" s="16" t="s">
        <v>17</v>
      </c>
      <c r="D16" s="9"/>
      <c r="E16" s="19">
        <f>E14+E15</f>
        <v>193152.61000000004</v>
      </c>
      <c r="F16" s="13"/>
    </row>
    <row r="17" spans="2:6" ht="15.75" x14ac:dyDescent="0.25">
      <c r="B17" s="13"/>
      <c r="C17" s="16"/>
      <c r="D17" s="9"/>
      <c r="E17" s="19"/>
      <c r="F17" s="13"/>
    </row>
    <row r="18" spans="2:6" ht="15.75" x14ac:dyDescent="0.25">
      <c r="B18" s="20"/>
      <c r="C18" s="21" t="s">
        <v>18</v>
      </c>
      <c r="D18" s="20"/>
      <c r="E18" s="22"/>
      <c r="F18" s="23" t="s">
        <v>19</v>
      </c>
    </row>
    <row r="19" spans="2:6" x14ac:dyDescent="0.25">
      <c r="B19" s="24" t="s">
        <v>20</v>
      </c>
      <c r="C19" s="25" t="s">
        <v>21</v>
      </c>
      <c r="D19" s="20"/>
      <c r="E19" s="22">
        <f>E20+E25</f>
        <v>32783.509999999995</v>
      </c>
      <c r="F19" s="26">
        <f>F20</f>
        <v>8163.7444599999999</v>
      </c>
    </row>
    <row r="20" spans="2:6" x14ac:dyDescent="0.25">
      <c r="B20" s="20">
        <v>1</v>
      </c>
      <c r="C20" s="22" t="s">
        <v>22</v>
      </c>
      <c r="D20" s="27" t="s">
        <v>13</v>
      </c>
      <c r="E20" s="22">
        <f>E21+E24</f>
        <v>31159.329999999998</v>
      </c>
      <c r="F20" s="26">
        <f>F21+F24</f>
        <v>8163.7444599999999</v>
      </c>
    </row>
    <row r="21" spans="2:6" x14ac:dyDescent="0.25">
      <c r="B21" s="20"/>
      <c r="C21" s="20" t="s">
        <v>23</v>
      </c>
      <c r="D21" s="20"/>
      <c r="E21" s="20">
        <v>29098.21</v>
      </c>
      <c r="F21" s="28">
        <f>E21*26.2%</f>
        <v>7623.7310200000002</v>
      </c>
    </row>
    <row r="22" spans="2:6" x14ac:dyDescent="0.25">
      <c r="B22" s="20"/>
      <c r="C22" s="20" t="s">
        <v>24</v>
      </c>
      <c r="D22" s="20"/>
      <c r="E22" s="29"/>
      <c r="F22" s="28">
        <f>E22*26.2%</f>
        <v>0</v>
      </c>
    </row>
    <row r="23" spans="2:6" x14ac:dyDescent="0.25">
      <c r="B23" s="20"/>
      <c r="C23" s="20" t="s">
        <v>25</v>
      </c>
      <c r="D23" s="20"/>
      <c r="E23" s="20"/>
      <c r="F23" s="28">
        <f>E23*26.2%</f>
        <v>0</v>
      </c>
    </row>
    <row r="24" spans="2:6" x14ac:dyDescent="0.25">
      <c r="B24" s="20"/>
      <c r="C24" s="20" t="s">
        <v>81</v>
      </c>
      <c r="D24" s="20"/>
      <c r="E24" s="20">
        <v>2061.12</v>
      </c>
      <c r="F24" s="28">
        <f>E24*26.2%</f>
        <v>540.01343999999995</v>
      </c>
    </row>
    <row r="25" spans="2:6" x14ac:dyDescent="0.25">
      <c r="B25" s="20">
        <v>2</v>
      </c>
      <c r="C25" s="27" t="s">
        <v>26</v>
      </c>
      <c r="D25" s="20"/>
      <c r="E25" s="20">
        <v>1624.18</v>
      </c>
      <c r="F25" s="28"/>
    </row>
    <row r="26" spans="2:6" x14ac:dyDescent="0.25">
      <c r="B26" s="24" t="s">
        <v>27</v>
      </c>
      <c r="C26" s="30" t="s">
        <v>28</v>
      </c>
      <c r="D26" s="20"/>
      <c r="E26" s="22">
        <f>E27+E28+E29</f>
        <v>91792.08</v>
      </c>
      <c r="F26" s="26">
        <f>F27</f>
        <v>10238.52246</v>
      </c>
    </row>
    <row r="27" spans="2:6" x14ac:dyDescent="0.25">
      <c r="B27" s="20">
        <v>1</v>
      </c>
      <c r="C27" s="31" t="s">
        <v>103</v>
      </c>
      <c r="D27" s="20"/>
      <c r="E27" s="31">
        <v>39078.33</v>
      </c>
      <c r="F27" s="28">
        <f>E27*26.2%</f>
        <v>10238.52246</v>
      </c>
    </row>
    <row r="28" spans="2:6" x14ac:dyDescent="0.25">
      <c r="B28" s="20">
        <v>2</v>
      </c>
      <c r="C28" s="31" t="s">
        <v>26</v>
      </c>
      <c r="D28" s="20"/>
      <c r="E28" s="31">
        <v>50763.75</v>
      </c>
      <c r="F28" s="20"/>
    </row>
    <row r="29" spans="2:6" x14ac:dyDescent="0.25">
      <c r="B29" s="20">
        <v>2</v>
      </c>
      <c r="C29" s="31" t="s">
        <v>65</v>
      </c>
      <c r="D29" s="20"/>
      <c r="E29" s="31">
        <v>1950</v>
      </c>
      <c r="F29" s="20"/>
    </row>
    <row r="30" spans="2:6" x14ac:dyDescent="0.25">
      <c r="B30" s="24" t="s">
        <v>30</v>
      </c>
      <c r="C30" s="22" t="s">
        <v>31</v>
      </c>
      <c r="D30" s="20"/>
      <c r="E30" s="26">
        <f>E31+E32+E33+E34+E36+E37+E38+E35</f>
        <v>168674.77267000001</v>
      </c>
      <c r="F30" s="20"/>
    </row>
    <row r="31" spans="2:6" x14ac:dyDescent="0.25">
      <c r="B31" s="20"/>
      <c r="C31" s="20" t="s">
        <v>32</v>
      </c>
      <c r="D31" s="20"/>
      <c r="E31" s="28">
        <f>E16*4.7%</f>
        <v>9078.1726700000017</v>
      </c>
      <c r="F31" s="20"/>
    </row>
    <row r="32" spans="2:6" x14ac:dyDescent="0.25">
      <c r="B32" s="20"/>
      <c r="C32" s="20" t="s">
        <v>61</v>
      </c>
      <c r="D32" s="20"/>
      <c r="E32" s="20">
        <f>162.94+159.13</f>
        <v>322.07</v>
      </c>
      <c r="F32" s="20"/>
    </row>
    <row r="33" spans="2:6" x14ac:dyDescent="0.25">
      <c r="B33" s="20"/>
      <c r="C33" s="20" t="s">
        <v>34</v>
      </c>
      <c r="D33" s="20"/>
      <c r="E33" s="28">
        <v>6942.26</v>
      </c>
      <c r="F33" s="20"/>
    </row>
    <row r="34" spans="2:6" x14ac:dyDescent="0.25">
      <c r="B34" s="20"/>
      <c r="C34" s="31" t="s">
        <v>145</v>
      </c>
      <c r="D34" s="20"/>
      <c r="E34" s="20">
        <v>3500</v>
      </c>
      <c r="F34" s="20"/>
    </row>
    <row r="35" spans="2:6" x14ac:dyDescent="0.25">
      <c r="B35" s="20"/>
      <c r="C35" s="31" t="s">
        <v>146</v>
      </c>
      <c r="D35" s="9"/>
      <c r="E35" s="13">
        <v>145000</v>
      </c>
      <c r="F35" s="20"/>
    </row>
    <row r="36" spans="2:6" x14ac:dyDescent="0.25">
      <c r="B36" s="20"/>
      <c r="C36" s="27" t="s">
        <v>36</v>
      </c>
      <c r="D36" s="20"/>
      <c r="E36" s="20">
        <v>1157.28</v>
      </c>
      <c r="F36" s="20"/>
    </row>
    <row r="37" spans="2:6" x14ac:dyDescent="0.25">
      <c r="B37" s="20"/>
      <c r="C37" s="31" t="s">
        <v>35</v>
      </c>
      <c r="D37" s="20"/>
      <c r="E37" s="20"/>
      <c r="F37" s="20"/>
    </row>
    <row r="38" spans="2:6" x14ac:dyDescent="0.25">
      <c r="B38" s="20"/>
      <c r="C38" s="20" t="s">
        <v>38</v>
      </c>
      <c r="D38" s="20"/>
      <c r="E38" s="20">
        <v>2674.99</v>
      </c>
      <c r="F38" s="20"/>
    </row>
    <row r="39" spans="2:6" x14ac:dyDescent="0.25">
      <c r="B39" s="73" t="s">
        <v>89</v>
      </c>
      <c r="C39" s="22" t="s">
        <v>39</v>
      </c>
      <c r="D39" s="20"/>
      <c r="E39" s="26">
        <f>E40+E41</f>
        <v>24931.7</v>
      </c>
      <c r="F39" s="26">
        <f>F40</f>
        <v>4962.7437399999999</v>
      </c>
    </row>
    <row r="40" spans="2:6" x14ac:dyDescent="0.25">
      <c r="B40" s="73"/>
      <c r="C40" s="31" t="s">
        <v>57</v>
      </c>
      <c r="D40" s="31"/>
      <c r="E40" s="33">
        <v>18941.77</v>
      </c>
      <c r="F40" s="28">
        <f>E40*26.2%</f>
        <v>4962.7437399999999</v>
      </c>
    </row>
    <row r="41" spans="2:6" x14ac:dyDescent="0.25">
      <c r="B41" s="73"/>
      <c r="C41" s="27" t="s">
        <v>41</v>
      </c>
      <c r="D41" s="20"/>
      <c r="E41" s="33">
        <v>5989.93</v>
      </c>
      <c r="F41" s="20"/>
    </row>
    <row r="42" spans="2:6" x14ac:dyDescent="0.25">
      <c r="B42" s="73" t="s">
        <v>90</v>
      </c>
      <c r="C42" s="22" t="s">
        <v>42</v>
      </c>
      <c r="D42" s="20"/>
      <c r="E42" s="26">
        <f>E19+F19+E26+F26+E30+E39+F39</f>
        <v>341547.07333000004</v>
      </c>
      <c r="F42" s="20"/>
    </row>
    <row r="43" spans="2:6" x14ac:dyDescent="0.25">
      <c r="B43" s="73" t="s">
        <v>91</v>
      </c>
      <c r="C43" s="20" t="s">
        <v>43</v>
      </c>
      <c r="D43" s="20"/>
      <c r="E43" s="26">
        <f>E16*6%</f>
        <v>11589.156600000002</v>
      </c>
      <c r="F43" s="20"/>
    </row>
    <row r="44" spans="2:6" x14ac:dyDescent="0.25">
      <c r="B44" s="73" t="s">
        <v>92</v>
      </c>
      <c r="C44" s="22" t="s">
        <v>44</v>
      </c>
      <c r="D44" s="20"/>
      <c r="E44" s="26">
        <f>E42+E43</f>
        <v>353136.22993000003</v>
      </c>
      <c r="F44" s="20"/>
    </row>
    <row r="45" spans="2:6" x14ac:dyDescent="0.25">
      <c r="B45" s="73"/>
      <c r="C45" s="20"/>
      <c r="D45" s="20"/>
      <c r="E45" s="20"/>
      <c r="F45" s="20"/>
    </row>
    <row r="46" spans="2:6" x14ac:dyDescent="0.25">
      <c r="B46" s="73" t="s">
        <v>93</v>
      </c>
      <c r="C46" s="22" t="s">
        <v>45</v>
      </c>
      <c r="D46" s="20"/>
      <c r="E46" s="26">
        <f>E16-E44</f>
        <v>-159983.61992999999</v>
      </c>
      <c r="F46" s="20"/>
    </row>
    <row r="47" spans="2:6" x14ac:dyDescent="0.25">
      <c r="B47" s="73" t="s">
        <v>94</v>
      </c>
      <c r="C47" s="22" t="s">
        <v>46</v>
      </c>
      <c r="D47" s="20"/>
      <c r="E47" s="26">
        <f>E9+E46</f>
        <v>-57605.02992999999</v>
      </c>
      <c r="F47" s="20"/>
    </row>
    <row r="48" spans="2:6" x14ac:dyDescent="0.25">
      <c r="B48" s="34"/>
      <c r="C48" s="35"/>
      <c r="D48" s="34"/>
      <c r="E48" s="36"/>
      <c r="F48" s="34"/>
    </row>
    <row r="49" spans="2:6" x14ac:dyDescent="0.25">
      <c r="B49" s="37"/>
      <c r="C49" s="37" t="s">
        <v>47</v>
      </c>
      <c r="D49" s="37"/>
      <c r="E49" s="37" t="s">
        <v>48</v>
      </c>
      <c r="F49" s="37"/>
    </row>
    <row r="50" spans="2:6" x14ac:dyDescent="0.25">
      <c r="B50" s="37"/>
      <c r="C50" s="37" t="s">
        <v>49</v>
      </c>
      <c r="D50" s="37"/>
      <c r="E50" s="37" t="s">
        <v>50</v>
      </c>
      <c r="F50" s="37"/>
    </row>
  </sheetData>
  <mergeCells count="4">
    <mergeCell ref="B5:C5"/>
    <mergeCell ref="D5:E5"/>
    <mergeCell ref="E6:F6"/>
    <mergeCell ref="E7:F7"/>
  </mergeCells>
  <pageMargins left="0.7" right="0.7" top="0.75" bottom="0.75" header="0.3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1" max="1" width="7.7109375" customWidth="1"/>
    <col min="2" max="2" width="41.85546875" customWidth="1"/>
    <col min="4" max="4" width="10.85546875" customWidth="1"/>
    <col min="5" max="5" width="12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147</v>
      </c>
    </row>
    <row r="5" spans="1:5" x14ac:dyDescent="0.25">
      <c r="A5" s="592"/>
      <c r="B5" s="592"/>
      <c r="C5" s="592"/>
      <c r="D5" s="599"/>
      <c r="E5" s="58"/>
    </row>
    <row r="6" spans="1:5" x14ac:dyDescent="0.25">
      <c r="A6" s="2"/>
      <c r="B6" s="2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53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409">
        <v>-331429.65000000002</v>
      </c>
      <c r="E10" s="11"/>
    </row>
    <row r="11" spans="1:5" x14ac:dyDescent="0.25">
      <c r="A11" s="13"/>
      <c r="B11" s="14" t="s">
        <v>9</v>
      </c>
      <c r="C11" s="12" t="s">
        <v>54</v>
      </c>
      <c r="D11" s="13">
        <v>6474.6</v>
      </c>
      <c r="E11" s="13"/>
    </row>
    <row r="12" spans="1:5" x14ac:dyDescent="0.25">
      <c r="A12" s="13"/>
      <c r="B12" s="14" t="s">
        <v>11</v>
      </c>
      <c r="C12" s="12" t="s">
        <v>54</v>
      </c>
      <c r="D12" s="13">
        <v>3358.2</v>
      </c>
      <c r="E12" s="13"/>
    </row>
    <row r="13" spans="1:5" x14ac:dyDescent="0.25">
      <c r="A13" s="13"/>
      <c r="B13" s="15" t="s">
        <v>12</v>
      </c>
      <c r="C13" s="12" t="s">
        <v>13</v>
      </c>
      <c r="D13" s="19">
        <v>266823.90000000002</v>
      </c>
      <c r="E13" s="13"/>
    </row>
    <row r="14" spans="1:5" ht="15.75" x14ac:dyDescent="0.25">
      <c r="A14" s="13"/>
      <c r="B14" s="16" t="s">
        <v>14</v>
      </c>
      <c r="C14" s="9"/>
      <c r="D14" s="13"/>
      <c r="E14" s="13"/>
    </row>
    <row r="15" spans="1:5" x14ac:dyDescent="0.25">
      <c r="A15" s="13">
        <v>1</v>
      </c>
      <c r="B15" s="13" t="s">
        <v>15</v>
      </c>
      <c r="C15" s="12" t="s">
        <v>13</v>
      </c>
      <c r="D15" s="13">
        <f>280153+79086.19-139651.16</f>
        <v>219588.03</v>
      </c>
      <c r="E15" s="13"/>
    </row>
    <row r="16" spans="1:5" x14ac:dyDescent="0.25">
      <c r="A16" s="13">
        <v>2</v>
      </c>
      <c r="B16" s="13" t="s">
        <v>102</v>
      </c>
      <c r="C16" s="9"/>
      <c r="D16" s="13">
        <v>3500</v>
      </c>
      <c r="E16" s="13"/>
    </row>
    <row r="17" spans="1:5" ht="15.75" x14ac:dyDescent="0.25">
      <c r="A17" s="13"/>
      <c r="B17" s="16" t="s">
        <v>17</v>
      </c>
      <c r="C17" s="9"/>
      <c r="D17" s="19">
        <f>D15+D16</f>
        <v>223088.03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85625.37000000001</v>
      </c>
      <c r="E20" s="26">
        <f>E21</f>
        <v>22092.193700000003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D22+D23+D24+D25</f>
        <v>84321.35</v>
      </c>
      <c r="E21" s="26">
        <f>E22+E23+E24+E25</f>
        <v>22092.193700000003</v>
      </c>
    </row>
    <row r="22" spans="1:5" x14ac:dyDescent="0.25">
      <c r="A22" s="20"/>
      <c r="B22" s="20" t="s">
        <v>23</v>
      </c>
      <c r="C22" s="20"/>
      <c r="D22" s="20">
        <v>17878.3</v>
      </c>
      <c r="E22" s="28">
        <f>D22*26.2%</f>
        <v>4684.1145999999999</v>
      </c>
    </row>
    <row r="23" spans="1:5" x14ac:dyDescent="0.25">
      <c r="A23" s="20"/>
      <c r="B23" s="20" t="s">
        <v>24</v>
      </c>
      <c r="C23" s="20"/>
      <c r="D23" s="29">
        <v>37467.230000000003</v>
      </c>
      <c r="E23" s="28">
        <f>D23*26.2%</f>
        <v>9816.4142600000014</v>
      </c>
    </row>
    <row r="24" spans="1:5" x14ac:dyDescent="0.25">
      <c r="A24" s="20"/>
      <c r="B24" s="20" t="s">
        <v>25</v>
      </c>
      <c r="C24" s="20"/>
      <c r="D24" s="20">
        <v>25717.32</v>
      </c>
      <c r="E24" s="28">
        <f>D24*26.2%</f>
        <v>6737.9378400000005</v>
      </c>
    </row>
    <row r="25" spans="1:5" x14ac:dyDescent="0.25">
      <c r="A25" s="20"/>
      <c r="B25" s="20" t="s">
        <v>81</v>
      </c>
      <c r="C25" s="20"/>
      <c r="D25" s="20">
        <v>3258.5</v>
      </c>
      <c r="E25" s="28">
        <f>D25*26.2%</f>
        <v>853.72700000000009</v>
      </c>
    </row>
    <row r="26" spans="1:5" x14ac:dyDescent="0.25">
      <c r="A26" s="20">
        <v>2</v>
      </c>
      <c r="B26" s="27" t="s">
        <v>26</v>
      </c>
      <c r="C26" s="20"/>
      <c r="D26" s="20">
        <v>1304.02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52735.26</v>
      </c>
      <c r="E27" s="26">
        <f>E28</f>
        <v>8220.2893000000004</v>
      </c>
    </row>
    <row r="28" spans="1:5" x14ac:dyDescent="0.25">
      <c r="A28" s="20">
        <v>1</v>
      </c>
      <c r="B28" s="31" t="s">
        <v>103</v>
      </c>
      <c r="C28" s="20"/>
      <c r="D28" s="31">
        <v>31375.15</v>
      </c>
      <c r="E28" s="28">
        <f>D28*26.2%</f>
        <v>8220.2893000000004</v>
      </c>
    </row>
    <row r="29" spans="1:5" x14ac:dyDescent="0.25">
      <c r="A29" s="20">
        <v>2</v>
      </c>
      <c r="B29" s="31" t="s">
        <v>26</v>
      </c>
      <c r="C29" s="20"/>
      <c r="D29" s="31">
        <v>21360.11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D31+D32+D33+D34+D35+D36+D37+D38</f>
        <v>24906.6715</v>
      </c>
      <c r="E30" s="20"/>
    </row>
    <row r="31" spans="1:5" x14ac:dyDescent="0.25">
      <c r="A31" s="20"/>
      <c r="B31" s="20" t="s">
        <v>32</v>
      </c>
      <c r="C31" s="20"/>
      <c r="D31" s="28">
        <f>D17*5%</f>
        <v>11154.4015</v>
      </c>
      <c r="E31" s="20"/>
    </row>
    <row r="32" spans="1:5" x14ac:dyDescent="0.25">
      <c r="A32" s="20"/>
      <c r="B32" s="20" t="s">
        <v>61</v>
      </c>
      <c r="C32" s="20"/>
      <c r="D32" s="20">
        <f>253.79+247.83</f>
        <v>501.62</v>
      </c>
      <c r="E32" s="20"/>
    </row>
    <row r="33" spans="1:5" x14ac:dyDescent="0.25">
      <c r="A33" s="20"/>
      <c r="B33" s="20" t="s">
        <v>34</v>
      </c>
      <c r="C33" s="20"/>
      <c r="D33" s="28">
        <v>5573.79</v>
      </c>
      <c r="E33" s="20"/>
    </row>
    <row r="34" spans="1:5" x14ac:dyDescent="0.25">
      <c r="A34" s="20"/>
      <c r="B34" s="31" t="s">
        <v>33</v>
      </c>
      <c r="C34" s="20"/>
      <c r="D34" s="20">
        <v>0</v>
      </c>
      <c r="E34" s="20"/>
    </row>
    <row r="35" spans="1:5" x14ac:dyDescent="0.25">
      <c r="A35" s="20"/>
      <c r="B35" s="27" t="s">
        <v>36</v>
      </c>
      <c r="C35" s="20"/>
      <c r="D35" s="20">
        <v>929.16</v>
      </c>
      <c r="E35" s="20"/>
    </row>
    <row r="36" spans="1:5" x14ac:dyDescent="0.25">
      <c r="A36" s="20"/>
      <c r="B36" s="27" t="s">
        <v>148</v>
      </c>
      <c r="C36" s="20"/>
      <c r="D36" s="20">
        <v>4600</v>
      </c>
      <c r="E36" s="20"/>
    </row>
    <row r="37" spans="1:5" x14ac:dyDescent="0.25">
      <c r="A37" s="20"/>
      <c r="B37" s="27" t="s">
        <v>35</v>
      </c>
      <c r="C37" s="20"/>
      <c r="D37" s="20">
        <v>0</v>
      </c>
      <c r="E37" s="20"/>
    </row>
    <row r="38" spans="1:5" x14ac:dyDescent="0.25">
      <c r="A38" s="20"/>
      <c r="B38" s="20" t="s">
        <v>38</v>
      </c>
      <c r="C38" s="20"/>
      <c r="D38" s="20">
        <v>2147.6999999999998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20431.28</v>
      </c>
      <c r="E39" s="26">
        <f>E40</f>
        <v>3984.4802800000002</v>
      </c>
    </row>
    <row r="40" spans="1:5" x14ac:dyDescent="0.25">
      <c r="A40" s="73"/>
      <c r="B40" s="31" t="s">
        <v>40</v>
      </c>
      <c r="C40" s="31"/>
      <c r="D40" s="33">
        <v>15207.94</v>
      </c>
      <c r="E40" s="28">
        <f>D40*26.2%</f>
        <v>3984.4802800000002</v>
      </c>
    </row>
    <row r="41" spans="1:5" x14ac:dyDescent="0.25">
      <c r="A41" s="73"/>
      <c r="B41" s="27" t="s">
        <v>41</v>
      </c>
      <c r="C41" s="20"/>
      <c r="D41" s="33">
        <v>5223.34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D20+E20+D27+E27+D30+D39+E39</f>
        <v>217995.54478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13385.281799999999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231380.82657999999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-8292.7965799999947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-339722.44657999999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D7:E7"/>
    <mergeCell ref="D8:E8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38" sqref="A38:A46"/>
    </sheetView>
  </sheetViews>
  <sheetFormatPr defaultRowHeight="15" x14ac:dyDescent="0.25"/>
  <cols>
    <col min="2" max="2" width="39.28515625" customWidth="1"/>
    <col min="4" max="4" width="10.42578125" customWidth="1"/>
    <col min="5" max="5" width="12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149</v>
      </c>
    </row>
    <row r="5" spans="1:5" x14ac:dyDescent="0.25">
      <c r="A5" s="592"/>
      <c r="B5" s="592"/>
      <c r="C5" s="592"/>
      <c r="D5" s="592"/>
      <c r="E5" s="57"/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53</v>
      </c>
      <c r="D7" s="595" t="s">
        <v>112</v>
      </c>
      <c r="E7" s="596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-212157.73</v>
      </c>
      <c r="E9" s="11"/>
    </row>
    <row r="10" spans="1:5" x14ac:dyDescent="0.25">
      <c r="A10" s="13"/>
      <c r="B10" s="14" t="s">
        <v>9</v>
      </c>
      <c r="C10" s="12" t="s">
        <v>54</v>
      </c>
      <c r="D10" s="13">
        <v>6784.41</v>
      </c>
      <c r="E10" s="13"/>
    </row>
    <row r="11" spans="1:5" x14ac:dyDescent="0.25">
      <c r="A11" s="13"/>
      <c r="B11" s="14" t="s">
        <v>11</v>
      </c>
      <c r="C11" s="12" t="s">
        <v>54</v>
      </c>
      <c r="D11" s="13">
        <v>5045.5200000000004</v>
      </c>
      <c r="E11" s="13"/>
    </row>
    <row r="12" spans="1:5" x14ac:dyDescent="0.25">
      <c r="A12" s="13"/>
      <c r="B12" s="15" t="s">
        <v>12</v>
      </c>
      <c r="C12" s="12" t="s">
        <v>13</v>
      </c>
      <c r="D12" s="19">
        <v>211060.26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3">
        <f>433789.14-213072.99</f>
        <v>220716.15000000002</v>
      </c>
      <c r="E14" s="13"/>
    </row>
    <row r="15" spans="1:5" x14ac:dyDescent="0.25">
      <c r="A15" s="13"/>
      <c r="B15" s="13"/>
      <c r="C15" s="9"/>
      <c r="D15" s="13"/>
      <c r="E15" s="13"/>
    </row>
    <row r="16" spans="1:5" ht="15.75" x14ac:dyDescent="0.25">
      <c r="A16" s="13"/>
      <c r="B16" s="16" t="s">
        <v>17</v>
      </c>
      <c r="C16" s="9"/>
      <c r="D16" s="19">
        <f>D14</f>
        <v>220716.15000000002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</f>
        <v>92858.87</v>
      </c>
      <c r="E19" s="26">
        <f>E20</f>
        <v>23815.708300000002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D21+D22+D24+D23</f>
        <v>90899.65</v>
      </c>
      <c r="E20" s="26">
        <f>E21+E22+E24+E23</f>
        <v>23815.708300000002</v>
      </c>
    </row>
    <row r="21" spans="1:5" x14ac:dyDescent="0.25">
      <c r="A21" s="20"/>
      <c r="B21" s="20" t="s">
        <v>23</v>
      </c>
      <c r="C21" s="20"/>
      <c r="D21" s="20">
        <v>16958.02</v>
      </c>
      <c r="E21" s="28">
        <f>D21*26.2%</f>
        <v>4443.0012400000005</v>
      </c>
    </row>
    <row r="22" spans="1:5" x14ac:dyDescent="0.25">
      <c r="A22" s="20"/>
      <c r="B22" s="20" t="s">
        <v>24</v>
      </c>
      <c r="C22" s="20"/>
      <c r="D22" s="29">
        <v>40793.769999999997</v>
      </c>
      <c r="E22" s="28">
        <f>D22*26.2%</f>
        <v>10687.96774</v>
      </c>
    </row>
    <row r="23" spans="1:5" x14ac:dyDescent="0.25">
      <c r="A23" s="20"/>
      <c r="B23" s="20" t="s">
        <v>25</v>
      </c>
      <c r="C23" s="20"/>
      <c r="D23" s="20">
        <v>30932.98</v>
      </c>
      <c r="E23" s="28">
        <f>D23*26.2%</f>
        <v>8104.4407600000004</v>
      </c>
    </row>
    <row r="24" spans="1:5" x14ac:dyDescent="0.25">
      <c r="A24" s="20"/>
      <c r="B24" s="31" t="s">
        <v>81</v>
      </c>
      <c r="C24" s="20"/>
      <c r="D24" s="20">
        <v>2214.88</v>
      </c>
      <c r="E24" s="28">
        <f>D24*26.2%</f>
        <v>580.29856000000007</v>
      </c>
    </row>
    <row r="25" spans="1:5" x14ac:dyDescent="0.25">
      <c r="A25" s="20">
        <v>2</v>
      </c>
      <c r="B25" s="27" t="s">
        <v>26</v>
      </c>
      <c r="C25" s="20"/>
      <c r="D25" s="20">
        <v>1959.22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63826.869999999995</v>
      </c>
      <c r="E26" s="26">
        <f>E27</f>
        <v>12350.556860000001</v>
      </c>
    </row>
    <row r="27" spans="1:5" x14ac:dyDescent="0.25">
      <c r="A27" s="20">
        <v>1</v>
      </c>
      <c r="B27" s="31" t="s">
        <v>103</v>
      </c>
      <c r="C27" s="20"/>
      <c r="D27" s="31">
        <v>47139.53</v>
      </c>
      <c r="E27" s="28">
        <f>D27*26.2%</f>
        <v>12350.556860000001</v>
      </c>
    </row>
    <row r="28" spans="1:5" x14ac:dyDescent="0.25">
      <c r="A28" s="20">
        <v>2</v>
      </c>
      <c r="B28" s="31" t="s">
        <v>26</v>
      </c>
      <c r="C28" s="20"/>
      <c r="D28" s="31">
        <v>16687.34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D30+D31+D32+D33+D34+D35+D36+D37</f>
        <v>29810.867499999997</v>
      </c>
      <c r="E29" s="20"/>
    </row>
    <row r="30" spans="1:5" x14ac:dyDescent="0.25">
      <c r="A30" s="20"/>
      <c r="B30" s="20" t="s">
        <v>32</v>
      </c>
      <c r="C30" s="20"/>
      <c r="D30" s="28">
        <f>D16*5%</f>
        <v>11035.807500000003</v>
      </c>
      <c r="E30" s="20"/>
    </row>
    <row r="31" spans="1:5" x14ac:dyDescent="0.25">
      <c r="A31" s="20"/>
      <c r="B31" s="20" t="s">
        <v>61</v>
      </c>
      <c r="C31" s="20"/>
      <c r="D31" s="20">
        <f>429.78+419.7</f>
        <v>849.48</v>
      </c>
      <c r="E31" s="20"/>
    </row>
    <row r="32" spans="1:5" x14ac:dyDescent="0.25">
      <c r="A32" s="20"/>
      <c r="B32" s="20" t="s">
        <v>34</v>
      </c>
      <c r="C32" s="20"/>
      <c r="D32" s="28">
        <v>8374.33</v>
      </c>
      <c r="E32" s="20"/>
    </row>
    <row r="33" spans="1:5" x14ac:dyDescent="0.25">
      <c r="A33" s="20"/>
      <c r="B33" s="31" t="s">
        <v>33</v>
      </c>
      <c r="C33" s="20"/>
      <c r="D33" s="20">
        <v>0</v>
      </c>
      <c r="E33" s="20"/>
    </row>
    <row r="34" spans="1:5" x14ac:dyDescent="0.25">
      <c r="A34" s="20"/>
      <c r="B34" s="27" t="s">
        <v>36</v>
      </c>
      <c r="C34" s="20"/>
      <c r="D34" s="20">
        <v>1396.01</v>
      </c>
      <c r="E34" s="20"/>
    </row>
    <row r="35" spans="1:5" x14ac:dyDescent="0.25">
      <c r="A35" s="20"/>
      <c r="B35" s="13" t="s">
        <v>150</v>
      </c>
      <c r="C35" s="20"/>
      <c r="D35" s="20">
        <v>4928.4399999999996</v>
      </c>
      <c r="E35" s="20"/>
    </row>
    <row r="36" spans="1:5" x14ac:dyDescent="0.25">
      <c r="A36" s="20"/>
      <c r="B36" s="27" t="s">
        <v>35</v>
      </c>
      <c r="C36" s="20"/>
      <c r="D36" s="20"/>
      <c r="E36" s="20"/>
    </row>
    <row r="37" spans="1:5" x14ac:dyDescent="0.25">
      <c r="A37" s="20"/>
      <c r="B37" s="20" t="s">
        <v>38</v>
      </c>
      <c r="C37" s="20"/>
      <c r="D37" s="20">
        <v>3226.8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30696.89</v>
      </c>
      <c r="E38" s="26">
        <f>E39</f>
        <v>5986.4720600000001</v>
      </c>
    </row>
    <row r="39" spans="1:5" x14ac:dyDescent="0.25">
      <c r="A39" s="73"/>
      <c r="B39" s="31" t="s">
        <v>40</v>
      </c>
      <c r="C39" s="31"/>
      <c r="D39" s="33">
        <v>22849.13</v>
      </c>
      <c r="E39" s="28">
        <f>D39*26.2%</f>
        <v>5986.4720600000001</v>
      </c>
    </row>
    <row r="40" spans="1:5" x14ac:dyDescent="0.25">
      <c r="A40" s="73"/>
      <c r="B40" s="27" t="s">
        <v>41</v>
      </c>
      <c r="C40" s="20"/>
      <c r="D40" s="33">
        <v>7847.76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D19+E19+D26+E26+D29+D38+E38</f>
        <v>259346.23472000001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D16*6%</f>
        <v>13242.969000000001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272589.20371999999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D16-D43</f>
        <v>-51873.053719999967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D9+D45</f>
        <v>-264030.78371999995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39" sqref="A39:A47"/>
    </sheetView>
  </sheetViews>
  <sheetFormatPr defaultRowHeight="15" x14ac:dyDescent="0.25"/>
  <cols>
    <col min="1" max="1" width="7.7109375" customWidth="1"/>
    <col min="2" max="2" width="41" customWidth="1"/>
    <col min="4" max="4" width="10.85546875" customWidth="1"/>
    <col min="5" max="5" width="10.71093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151</v>
      </c>
      <c r="D4" s="13"/>
    </row>
    <row r="5" spans="1:5" x14ac:dyDescent="0.25">
      <c r="A5" s="592"/>
      <c r="B5" s="592"/>
      <c r="C5" s="592"/>
      <c r="D5" s="599"/>
      <c r="E5" s="58"/>
    </row>
    <row r="6" spans="1:5" x14ac:dyDescent="0.25">
      <c r="A6" s="2"/>
      <c r="B6" s="2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53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-260866.44</v>
      </c>
      <c r="E10" s="11"/>
    </row>
    <row r="11" spans="1:5" x14ac:dyDescent="0.25">
      <c r="A11" s="13"/>
      <c r="B11" s="14" t="s">
        <v>9</v>
      </c>
      <c r="C11" s="12" t="s">
        <v>54</v>
      </c>
      <c r="D11" s="13">
        <v>7643.96</v>
      </c>
      <c r="E11" s="13"/>
    </row>
    <row r="12" spans="1:5" x14ac:dyDescent="0.25">
      <c r="A12" s="13"/>
      <c r="B12" s="14" t="s">
        <v>11</v>
      </c>
      <c r="C12" s="12" t="s">
        <v>54</v>
      </c>
      <c r="D12" s="13">
        <v>5799.3</v>
      </c>
      <c r="E12" s="13"/>
    </row>
    <row r="13" spans="1:5" x14ac:dyDescent="0.25">
      <c r="A13" s="13"/>
      <c r="B13" s="15" t="s">
        <v>12</v>
      </c>
      <c r="C13" s="12" t="s">
        <v>13</v>
      </c>
      <c r="D13" s="13">
        <v>240129.96</v>
      </c>
      <c r="E13" s="13"/>
    </row>
    <row r="14" spans="1:5" ht="15.75" x14ac:dyDescent="0.25">
      <c r="A14" s="13"/>
      <c r="B14" s="16" t="s">
        <v>14</v>
      </c>
      <c r="C14" s="9"/>
      <c r="D14" s="13"/>
      <c r="E14" s="13"/>
    </row>
    <row r="15" spans="1:5" x14ac:dyDescent="0.25">
      <c r="A15" s="13">
        <v>1</v>
      </c>
      <c r="B15" s="13" t="s">
        <v>15</v>
      </c>
      <c r="C15" s="12" t="s">
        <v>13</v>
      </c>
      <c r="D15" s="13">
        <f>475451.25-221705.67</f>
        <v>253745.58</v>
      </c>
      <c r="E15" s="13"/>
    </row>
    <row r="16" spans="1:5" x14ac:dyDescent="0.25">
      <c r="A16" s="13"/>
      <c r="B16" s="13"/>
      <c r="C16" s="9"/>
      <c r="D16" s="13"/>
      <c r="E16" s="13"/>
    </row>
    <row r="17" spans="1:5" ht="15.75" x14ac:dyDescent="0.25">
      <c r="A17" s="13"/>
      <c r="B17" s="16" t="s">
        <v>17</v>
      </c>
      <c r="C17" s="9"/>
      <c r="D17" s="19">
        <f>D15</f>
        <v>253745.58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99711.419999999984</v>
      </c>
      <c r="E20" s="26">
        <f>E21</f>
        <v>25534.8606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D22+D23+D25+D24</f>
        <v>97461.299999999988</v>
      </c>
      <c r="E21" s="26">
        <f>E22+E23+E25+E24</f>
        <v>25534.8606</v>
      </c>
    </row>
    <row r="22" spans="1:5" x14ac:dyDescent="0.25">
      <c r="A22" s="20"/>
      <c r="B22" s="20" t="s">
        <v>23</v>
      </c>
      <c r="C22" s="20"/>
      <c r="D22" s="20">
        <v>14349.1</v>
      </c>
      <c r="E22" s="28">
        <f>D22*26.2%</f>
        <v>3759.4642000000003</v>
      </c>
    </row>
    <row r="23" spans="1:5" x14ac:dyDescent="0.25">
      <c r="A23" s="20"/>
      <c r="B23" s="20" t="s">
        <v>24</v>
      </c>
      <c r="C23" s="20"/>
      <c r="D23" s="29">
        <v>49875.28</v>
      </c>
      <c r="E23" s="28">
        <f>D23*26.2%</f>
        <v>13067.32336</v>
      </c>
    </row>
    <row r="24" spans="1:5" x14ac:dyDescent="0.25">
      <c r="A24" s="20"/>
      <c r="B24" s="20" t="s">
        <v>25</v>
      </c>
      <c r="C24" s="20"/>
      <c r="D24" s="20">
        <v>32123.97</v>
      </c>
      <c r="E24" s="28">
        <f>D24*26.2%</f>
        <v>8416.4801400000015</v>
      </c>
    </row>
    <row r="25" spans="1:5" x14ac:dyDescent="0.25">
      <c r="A25" s="20"/>
      <c r="B25" s="31" t="s">
        <v>81</v>
      </c>
      <c r="C25" s="20"/>
      <c r="D25" s="20">
        <v>1112.95</v>
      </c>
      <c r="E25" s="28">
        <f>D25*26.2%</f>
        <v>291.59290000000004</v>
      </c>
    </row>
    <row r="26" spans="1:5" x14ac:dyDescent="0.25">
      <c r="A26" s="20">
        <v>2</v>
      </c>
      <c r="B26" s="27" t="s">
        <v>26</v>
      </c>
      <c r="C26" s="20"/>
      <c r="D26" s="20">
        <v>2250.12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65847.19</v>
      </c>
      <c r="E27" s="26">
        <f>E28</f>
        <v>14184.297480000001</v>
      </c>
    </row>
    <row r="28" spans="1:5" x14ac:dyDescent="0.25">
      <c r="A28" s="20">
        <v>1</v>
      </c>
      <c r="B28" s="31" t="s">
        <v>103</v>
      </c>
      <c r="C28" s="20"/>
      <c r="D28" s="31">
        <v>54138.54</v>
      </c>
      <c r="E28" s="28">
        <f>D28*26.2%</f>
        <v>14184.297480000001</v>
      </c>
    </row>
    <row r="29" spans="1:5" x14ac:dyDescent="0.25">
      <c r="A29" s="20">
        <v>2</v>
      </c>
      <c r="B29" s="31" t="s">
        <v>26</v>
      </c>
      <c r="C29" s="20"/>
      <c r="D29" s="31">
        <v>11708.65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D31+D32+D33+D34+D35+D36+D37+D38</f>
        <v>28782.269</v>
      </c>
      <c r="E30" s="20"/>
    </row>
    <row r="31" spans="1:5" x14ac:dyDescent="0.25">
      <c r="A31" s="20"/>
      <c r="B31" s="20" t="s">
        <v>32</v>
      </c>
      <c r="C31" s="20"/>
      <c r="D31" s="28">
        <f>D17*5%</f>
        <v>12687.279</v>
      </c>
      <c r="E31" s="20"/>
    </row>
    <row r="32" spans="1:5" x14ac:dyDescent="0.25">
      <c r="A32" s="20"/>
      <c r="B32" s="20" t="s">
        <v>61</v>
      </c>
      <c r="C32" s="20"/>
      <c r="D32" s="20">
        <f>590.98+577.13</f>
        <v>1168.1100000000001</v>
      </c>
      <c r="E32" s="20"/>
    </row>
    <row r="33" spans="1:5" x14ac:dyDescent="0.25">
      <c r="A33" s="20"/>
      <c r="B33" s="20" t="s">
        <v>34</v>
      </c>
      <c r="C33" s="20"/>
      <c r="D33" s="28">
        <v>9617.7000000000007</v>
      </c>
      <c r="E33" s="20"/>
    </row>
    <row r="34" spans="1:5" x14ac:dyDescent="0.25">
      <c r="A34" s="20"/>
      <c r="B34" s="31" t="s">
        <v>33</v>
      </c>
      <c r="C34" s="20"/>
      <c r="D34" s="20">
        <v>0</v>
      </c>
      <c r="E34" s="20"/>
    </row>
    <row r="35" spans="1:5" x14ac:dyDescent="0.25">
      <c r="A35" s="20"/>
      <c r="B35" s="27" t="s">
        <v>36</v>
      </c>
      <c r="C35" s="20"/>
      <c r="D35" s="20">
        <v>1603.28</v>
      </c>
      <c r="E35" s="20"/>
    </row>
    <row r="36" spans="1:5" x14ac:dyDescent="0.25">
      <c r="A36" s="20"/>
      <c r="B36" s="27" t="s">
        <v>152</v>
      </c>
      <c r="C36" s="20"/>
      <c r="D36" s="20">
        <v>0</v>
      </c>
      <c r="E36" s="20"/>
    </row>
    <row r="37" spans="1:5" x14ac:dyDescent="0.25">
      <c r="A37" s="20"/>
      <c r="B37" s="27" t="s">
        <v>35</v>
      </c>
      <c r="C37" s="20"/>
      <c r="D37" s="20">
        <v>0</v>
      </c>
      <c r="E37" s="20"/>
    </row>
    <row r="38" spans="1:5" x14ac:dyDescent="0.25">
      <c r="A38" s="20"/>
      <c r="B38" s="20" t="s">
        <v>38</v>
      </c>
      <c r="C38" s="20"/>
      <c r="D38" s="20">
        <v>3705.9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35254.61</v>
      </c>
      <c r="E39" s="26">
        <f>E40</f>
        <v>6875.3096800000003</v>
      </c>
    </row>
    <row r="40" spans="1:5" x14ac:dyDescent="0.25">
      <c r="A40" s="73"/>
      <c r="B40" s="31" t="s">
        <v>40</v>
      </c>
      <c r="C40" s="31"/>
      <c r="D40" s="33">
        <v>26241.64</v>
      </c>
      <c r="E40" s="28">
        <f>D40*26.2%</f>
        <v>6875.3096800000003</v>
      </c>
    </row>
    <row r="41" spans="1:5" x14ac:dyDescent="0.25">
      <c r="A41" s="73"/>
      <c r="B41" s="27" t="s">
        <v>41</v>
      </c>
      <c r="C41" s="20"/>
      <c r="D41" s="33">
        <v>9012.9699999999993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D20+E20+D27+E27+D30+D39+E39</f>
        <v>276189.95676000003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15224.734799999998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291414.69156000001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-37669.111560000019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-298535.55156000005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A5:B5"/>
    <mergeCell ref="C5:D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1" max="1" width="7.5703125" customWidth="1"/>
    <col min="2" max="2" width="45.140625" customWidth="1"/>
    <col min="4" max="4" width="12.42578125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153</v>
      </c>
    </row>
    <row r="5" spans="1:5" x14ac:dyDescent="0.25">
      <c r="A5" s="599"/>
      <c r="B5" s="599"/>
      <c r="C5" s="599"/>
      <c r="D5" s="599"/>
      <c r="E5" s="58"/>
    </row>
    <row r="6" spans="1:5" x14ac:dyDescent="0.25">
      <c r="A6" s="5"/>
      <c r="B6" s="5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53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126</v>
      </c>
      <c r="C10" s="9"/>
      <c r="D10" s="10">
        <v>-298192.94</v>
      </c>
      <c r="E10" s="11"/>
    </row>
    <row r="11" spans="1:5" x14ac:dyDescent="0.25">
      <c r="A11" s="9"/>
      <c r="B11" s="12" t="s">
        <v>127</v>
      </c>
      <c r="C11" s="9"/>
      <c r="D11" s="10">
        <v>77993.179999999993</v>
      </c>
      <c r="E11" s="11"/>
    </row>
    <row r="12" spans="1:5" x14ac:dyDescent="0.25">
      <c r="A12" s="13"/>
      <c r="B12" s="14" t="s">
        <v>9</v>
      </c>
      <c r="C12" s="12" t="s">
        <v>54</v>
      </c>
      <c r="D12" s="13">
        <v>8218.36</v>
      </c>
      <c r="E12" s="13"/>
    </row>
    <row r="13" spans="1:5" x14ac:dyDescent="0.25">
      <c r="A13" s="13"/>
      <c r="B13" s="14" t="s">
        <v>11</v>
      </c>
      <c r="C13" s="12" t="s">
        <v>54</v>
      </c>
      <c r="D13" s="17">
        <v>5705.6</v>
      </c>
      <c r="E13" s="13"/>
    </row>
    <row r="14" spans="1:5" x14ac:dyDescent="0.25">
      <c r="A14" s="13"/>
      <c r="B14" s="15" t="s">
        <v>12</v>
      </c>
      <c r="C14" s="12" t="s">
        <v>13</v>
      </c>
      <c r="D14" s="13">
        <v>254355.5</v>
      </c>
      <c r="E14" s="13"/>
    </row>
    <row r="15" spans="1:5" ht="15.75" x14ac:dyDescent="0.25">
      <c r="A15" s="13"/>
      <c r="B15" s="16" t="s">
        <v>14</v>
      </c>
      <c r="C15" s="9"/>
      <c r="D15" s="13"/>
      <c r="E15" s="13"/>
    </row>
    <row r="16" spans="1:5" x14ac:dyDescent="0.25">
      <c r="A16" s="13">
        <v>1</v>
      </c>
      <c r="B16" s="13" t="s">
        <v>15</v>
      </c>
      <c r="C16" s="12" t="s">
        <v>13</v>
      </c>
      <c r="D16" s="17">
        <f>4180.1+583523.01-289543.06</f>
        <v>298160.05</v>
      </c>
      <c r="E16" s="13"/>
    </row>
    <row r="17" spans="1:5" x14ac:dyDescent="0.25">
      <c r="A17" s="13">
        <v>2</v>
      </c>
      <c r="B17" s="13" t="s">
        <v>16</v>
      </c>
      <c r="C17" s="9"/>
      <c r="D17" s="13">
        <f>184710.65-77993.18</f>
        <v>106717.47</v>
      </c>
      <c r="E17" s="13"/>
    </row>
    <row r="18" spans="1:5" ht="15.75" x14ac:dyDescent="0.25">
      <c r="A18" s="13"/>
      <c r="B18" s="16" t="s">
        <v>17</v>
      </c>
      <c r="C18" s="9"/>
      <c r="D18" s="18">
        <f>D16+D17</f>
        <v>404877.52</v>
      </c>
      <c r="E18" s="13"/>
    </row>
    <row r="19" spans="1:5" ht="15.75" x14ac:dyDescent="0.25">
      <c r="A19" s="13"/>
      <c r="B19" s="16"/>
      <c r="C19" s="9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140655.01</v>
      </c>
      <c r="E21" s="26">
        <f>E22+E26</f>
        <v>36271.92452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138442.46000000002</v>
      </c>
      <c r="E22" s="26">
        <f>E23+E24+E25</f>
        <v>36271.92452</v>
      </c>
    </row>
    <row r="23" spans="1:5" x14ac:dyDescent="0.25">
      <c r="A23" s="20"/>
      <c r="B23" s="20" t="s">
        <v>23</v>
      </c>
      <c r="C23" s="20"/>
      <c r="D23" s="28">
        <v>38044.6</v>
      </c>
      <c r="E23" s="28">
        <f>D23*26.2%</f>
        <v>9967.6851999999999</v>
      </c>
    </row>
    <row r="24" spans="1:5" x14ac:dyDescent="0.25">
      <c r="A24" s="20"/>
      <c r="B24" s="20" t="s">
        <v>24</v>
      </c>
      <c r="C24" s="20"/>
      <c r="D24" s="29">
        <v>58736.81</v>
      </c>
      <c r="E24" s="28">
        <f>D24*26.2%</f>
        <v>15389.04422</v>
      </c>
    </row>
    <row r="25" spans="1:5" x14ac:dyDescent="0.25">
      <c r="A25" s="20"/>
      <c r="B25" s="20" t="s">
        <v>25</v>
      </c>
      <c r="C25" s="20"/>
      <c r="D25" s="20">
        <v>41661.050000000003</v>
      </c>
      <c r="E25" s="28">
        <f>D25*26.2%</f>
        <v>10915.195100000001</v>
      </c>
    </row>
    <row r="26" spans="1:5" x14ac:dyDescent="0.25">
      <c r="A26" s="20">
        <v>2</v>
      </c>
      <c r="B26" s="27" t="s">
        <v>26</v>
      </c>
      <c r="C26" s="20"/>
      <c r="D26" s="20">
        <v>2212.5500000000002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57627.520000000004</v>
      </c>
      <c r="E27" s="26">
        <f>E28</f>
        <v>13423.470440000001</v>
      </c>
    </row>
    <row r="28" spans="1:5" x14ac:dyDescent="0.25">
      <c r="A28" s="20">
        <v>1</v>
      </c>
      <c r="B28" s="31" t="s">
        <v>103</v>
      </c>
      <c r="C28" s="20"/>
      <c r="D28" s="31">
        <v>51234.62</v>
      </c>
      <c r="E28" s="20">
        <f>D28*26.2%</f>
        <v>13423.470440000001</v>
      </c>
    </row>
    <row r="29" spans="1:5" x14ac:dyDescent="0.25">
      <c r="A29" s="20">
        <v>2</v>
      </c>
      <c r="B29" s="31" t="s">
        <v>26</v>
      </c>
      <c r="C29" s="20"/>
      <c r="D29" s="31">
        <v>6392.9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42383.663439999997</v>
      </c>
      <c r="E30" s="20"/>
    </row>
    <row r="31" spans="1:5" x14ac:dyDescent="0.25">
      <c r="A31" s="20"/>
      <c r="B31" s="20" t="s">
        <v>32</v>
      </c>
      <c r="C31" s="20"/>
      <c r="D31" s="28">
        <f>D18*4.7%</f>
        <v>19029.243440000002</v>
      </c>
      <c r="E31" s="20"/>
    </row>
    <row r="32" spans="1:5" x14ac:dyDescent="0.25">
      <c r="A32" s="20"/>
      <c r="B32" s="20" t="s">
        <v>61</v>
      </c>
      <c r="C32" s="20"/>
      <c r="D32" s="20">
        <f>591.69+577.81</f>
        <v>1169.5</v>
      </c>
      <c r="E32" s="20"/>
    </row>
    <row r="33" spans="1:5" x14ac:dyDescent="0.25">
      <c r="A33" s="20"/>
      <c r="B33" s="20" t="s">
        <v>34</v>
      </c>
      <c r="C33" s="20"/>
      <c r="D33" s="28">
        <v>9457.1200000000008</v>
      </c>
      <c r="E33" s="20"/>
    </row>
    <row r="34" spans="1:5" x14ac:dyDescent="0.25">
      <c r="A34" s="20"/>
      <c r="B34" s="31" t="s">
        <v>33</v>
      </c>
      <c r="C34" s="20"/>
      <c r="D34" s="20">
        <v>2773.43</v>
      </c>
      <c r="E34" s="20"/>
    </row>
    <row r="35" spans="1:5" x14ac:dyDescent="0.25">
      <c r="A35" s="20"/>
      <c r="B35" s="27" t="s">
        <v>36</v>
      </c>
      <c r="C35" s="20"/>
      <c r="D35" s="20">
        <v>1310.3499999999999</v>
      </c>
      <c r="E35" s="20"/>
    </row>
    <row r="36" spans="1:5" x14ac:dyDescent="0.25">
      <c r="A36" s="20"/>
      <c r="B36" s="13" t="s">
        <v>154</v>
      </c>
      <c r="C36" s="20"/>
      <c r="D36" s="20">
        <v>5000</v>
      </c>
      <c r="E36" s="20"/>
    </row>
    <row r="37" spans="1:5" x14ac:dyDescent="0.25">
      <c r="A37" s="20"/>
      <c r="B37" s="20" t="s">
        <v>38</v>
      </c>
      <c r="C37" s="20"/>
      <c r="D37" s="20">
        <v>3644.02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34665.97</v>
      </c>
      <c r="E38" s="26">
        <f>E39</f>
        <v>6760.5169999999998</v>
      </c>
    </row>
    <row r="39" spans="1:5" x14ac:dyDescent="0.25">
      <c r="A39" s="73"/>
      <c r="B39" s="31" t="s">
        <v>40</v>
      </c>
      <c r="C39" s="31"/>
      <c r="D39" s="33">
        <v>25803.5</v>
      </c>
      <c r="E39" s="28">
        <f>D39*26.2%</f>
        <v>6760.5169999999998</v>
      </c>
    </row>
    <row r="40" spans="1:5" x14ac:dyDescent="0.25">
      <c r="A40" s="73"/>
      <c r="B40" s="27" t="s">
        <v>41</v>
      </c>
      <c r="C40" s="20"/>
      <c r="D40" s="33">
        <v>8862.4699999999993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D21+E21+D27+E27+D30+D38+E38</f>
        <v>331788.07539999997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24292.6512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356080.72659999999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D16-D43</f>
        <v>-57920.676600000006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-356113.61660000001</v>
      </c>
      <c r="E46" s="20"/>
    </row>
    <row r="47" spans="1:5" x14ac:dyDescent="0.25">
      <c r="A47" s="34"/>
      <c r="B47" s="35" t="s">
        <v>16</v>
      </c>
      <c r="C47" s="34"/>
      <c r="D47" s="36">
        <f>D11+D17</f>
        <v>184710.65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D7:E7"/>
    <mergeCell ref="D8:E8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A49" sqref="A1:XFD49"/>
    </sheetView>
  </sheetViews>
  <sheetFormatPr defaultRowHeight="15" x14ac:dyDescent="0.25"/>
  <cols>
    <col min="2" max="2" width="43.7109375" customWidth="1"/>
    <col min="4" max="4" width="10.8554687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58</v>
      </c>
    </row>
    <row r="4" spans="1:5" x14ac:dyDescent="0.25">
      <c r="B4" t="s">
        <v>155</v>
      </c>
    </row>
    <row r="5" spans="1:5" x14ac:dyDescent="0.25">
      <c r="A5" s="592"/>
      <c r="B5" s="592"/>
      <c r="C5" s="592"/>
      <c r="D5" s="599"/>
      <c r="E5" s="58"/>
    </row>
    <row r="6" spans="1:5" x14ac:dyDescent="0.25">
      <c r="A6" s="2"/>
      <c r="B6" s="2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53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409">
        <v>-21874.1</v>
      </c>
      <c r="E10" s="11"/>
    </row>
    <row r="11" spans="1:5" x14ac:dyDescent="0.25">
      <c r="A11" s="13"/>
      <c r="B11" s="14" t="s">
        <v>9</v>
      </c>
      <c r="C11" s="12" t="s">
        <v>54</v>
      </c>
      <c r="D11" s="13">
        <v>7083</v>
      </c>
      <c r="E11" s="13"/>
    </row>
    <row r="12" spans="1:5" x14ac:dyDescent="0.25">
      <c r="A12" s="13"/>
      <c r="B12" s="14" t="s">
        <v>11</v>
      </c>
      <c r="C12" s="12" t="s">
        <v>54</v>
      </c>
      <c r="D12" s="13">
        <v>5084.0200000000004</v>
      </c>
      <c r="E12" s="13"/>
    </row>
    <row r="13" spans="1:5" x14ac:dyDescent="0.25">
      <c r="A13" s="13"/>
      <c r="B13" s="15" t="s">
        <v>12</v>
      </c>
      <c r="C13" s="12" t="s">
        <v>13</v>
      </c>
      <c r="D13" s="17">
        <v>214431.35999999999</v>
      </c>
      <c r="E13" s="13"/>
    </row>
    <row r="14" spans="1:5" ht="15.75" x14ac:dyDescent="0.25">
      <c r="A14" s="13"/>
      <c r="B14" s="16" t="s">
        <v>14</v>
      </c>
      <c r="C14" s="9"/>
      <c r="D14" s="13"/>
      <c r="E14" s="13"/>
    </row>
    <row r="15" spans="1:5" x14ac:dyDescent="0.25">
      <c r="A15" s="13">
        <v>1</v>
      </c>
      <c r="B15" s="13" t="s">
        <v>15</v>
      </c>
      <c r="C15" s="12" t="s">
        <v>13</v>
      </c>
      <c r="D15" s="17">
        <f>418085.45-190717.82</f>
        <v>227367.63</v>
      </c>
      <c r="E15" s="13"/>
    </row>
    <row r="16" spans="1:5" x14ac:dyDescent="0.25">
      <c r="A16" s="13"/>
      <c r="B16" s="13"/>
      <c r="C16" s="9"/>
      <c r="D16" s="13"/>
      <c r="E16" s="13"/>
    </row>
    <row r="17" spans="1:5" ht="15.75" x14ac:dyDescent="0.25">
      <c r="A17" s="13"/>
      <c r="B17" s="16" t="s">
        <v>17</v>
      </c>
      <c r="C17" s="9"/>
      <c r="D17" s="18">
        <f>D15</f>
        <v>227367.63</v>
      </c>
      <c r="E17" s="13"/>
    </row>
    <row r="18" spans="1:5" ht="15.75" x14ac:dyDescent="0.25">
      <c r="A18" s="13"/>
      <c r="B18" s="16" t="s">
        <v>156</v>
      </c>
      <c r="C18" s="9"/>
      <c r="D18" s="19"/>
      <c r="E18" s="13" t="s">
        <v>19</v>
      </c>
    </row>
    <row r="19" spans="1:5" ht="15.75" x14ac:dyDescent="0.25">
      <c r="A19" s="13"/>
      <c r="B19" s="16" t="s">
        <v>157</v>
      </c>
      <c r="C19" s="9"/>
      <c r="D19" s="19">
        <f>D20+D25</f>
        <v>61442.329999999994</v>
      </c>
      <c r="E19" s="410">
        <f>E20</f>
        <v>15577.66588</v>
      </c>
    </row>
    <row r="20" spans="1:5" x14ac:dyDescent="0.25">
      <c r="A20" s="13">
        <v>1</v>
      </c>
      <c r="B20" s="19" t="s">
        <v>22</v>
      </c>
      <c r="C20" s="9"/>
      <c r="D20" s="18">
        <f>D21+D22+D24+D23</f>
        <v>59456.74</v>
      </c>
      <c r="E20" s="18">
        <f>SUM(E21:E24)</f>
        <v>15577.66588</v>
      </c>
    </row>
    <row r="21" spans="1:5" x14ac:dyDescent="0.25">
      <c r="A21" s="13"/>
      <c r="B21" s="13" t="s">
        <v>23</v>
      </c>
      <c r="C21" s="9"/>
      <c r="D21" s="13">
        <v>7633.62</v>
      </c>
      <c r="E21" s="17">
        <f>D21*26.2%</f>
        <v>2000.0084400000001</v>
      </c>
    </row>
    <row r="22" spans="1:5" x14ac:dyDescent="0.25">
      <c r="A22" s="13"/>
      <c r="B22" s="13" t="s">
        <v>24</v>
      </c>
      <c r="C22" s="9"/>
      <c r="D22" s="17">
        <v>23617.08</v>
      </c>
      <c r="E22" s="17">
        <f>D22*26.2%</f>
        <v>6187.6749600000003</v>
      </c>
    </row>
    <row r="23" spans="1:5" x14ac:dyDescent="0.25">
      <c r="A23" s="13"/>
      <c r="B23" s="13" t="s">
        <v>25</v>
      </c>
      <c r="C23" s="9"/>
      <c r="D23" s="13">
        <v>27503.01</v>
      </c>
      <c r="E23" s="17">
        <f>D23*26.2%</f>
        <v>7205.7886200000003</v>
      </c>
    </row>
    <row r="24" spans="1:5" x14ac:dyDescent="0.25">
      <c r="A24" s="13"/>
      <c r="B24" s="13" t="s">
        <v>81</v>
      </c>
      <c r="C24" s="9"/>
      <c r="D24" s="13">
        <v>703.03</v>
      </c>
      <c r="E24" s="17">
        <f>D24*26.2%</f>
        <v>184.19386</v>
      </c>
    </row>
    <row r="25" spans="1:5" x14ac:dyDescent="0.25">
      <c r="A25" s="13">
        <v>2</v>
      </c>
      <c r="B25" s="13" t="s">
        <v>26</v>
      </c>
      <c r="C25" s="9"/>
      <c r="D25" s="13">
        <v>1985.59</v>
      </c>
      <c r="E25" s="17"/>
    </row>
    <row r="26" spans="1:5" x14ac:dyDescent="0.25">
      <c r="A26" s="13"/>
      <c r="B26" s="467" t="s">
        <v>28</v>
      </c>
      <c r="C26" s="9"/>
      <c r="D26" s="467">
        <f>D28+D29</f>
        <v>58177.530000000006</v>
      </c>
      <c r="E26" s="410">
        <f>E28</f>
        <v>12516.764420000001</v>
      </c>
    </row>
    <row r="27" spans="1:5" x14ac:dyDescent="0.25">
      <c r="A27" s="13">
        <v>1</v>
      </c>
      <c r="B27" s="13" t="s">
        <v>103</v>
      </c>
      <c r="C27" s="9"/>
      <c r="D27" s="13">
        <v>24025.22</v>
      </c>
      <c r="E27" s="17">
        <f>D27*26.2%</f>
        <v>6294.6076400000002</v>
      </c>
    </row>
    <row r="28" spans="1:5" x14ac:dyDescent="0.25">
      <c r="A28" s="13">
        <v>1</v>
      </c>
      <c r="B28" s="13" t="s">
        <v>103</v>
      </c>
      <c r="C28" s="9"/>
      <c r="D28" s="13">
        <v>47773.91</v>
      </c>
      <c r="E28" s="17">
        <f>D28*26.2%</f>
        <v>12516.764420000001</v>
      </c>
    </row>
    <row r="29" spans="1:5" x14ac:dyDescent="0.25">
      <c r="A29" s="13">
        <v>2</v>
      </c>
      <c r="B29" s="468" t="s">
        <v>26</v>
      </c>
      <c r="C29" s="469"/>
      <c r="D29" s="468">
        <v>10403.620000000001</v>
      </c>
      <c r="E29" s="13"/>
    </row>
    <row r="30" spans="1:5" x14ac:dyDescent="0.25">
      <c r="A30" s="13">
        <v>3</v>
      </c>
      <c r="B30" s="19" t="s">
        <v>31</v>
      </c>
      <c r="C30" s="9"/>
      <c r="D30" s="18">
        <f>SUM(D31:D37)</f>
        <v>21602.06</v>
      </c>
      <c r="E30" s="13"/>
    </row>
    <row r="31" spans="1:5" x14ac:dyDescent="0.25">
      <c r="A31" s="13"/>
      <c r="B31" s="13" t="s">
        <v>32</v>
      </c>
      <c r="C31" s="9"/>
      <c r="D31" s="17">
        <v>5944.01</v>
      </c>
      <c r="E31" s="13"/>
    </row>
    <row r="32" spans="1:5" x14ac:dyDescent="0.25">
      <c r="A32" s="13"/>
      <c r="B32" s="13" t="s">
        <v>61</v>
      </c>
      <c r="C32" s="9"/>
      <c r="D32" s="13">
        <f>373.05+364.31</f>
        <v>737.36</v>
      </c>
      <c r="E32" s="13"/>
    </row>
    <row r="33" spans="1:5" x14ac:dyDescent="0.25">
      <c r="A33" s="13"/>
      <c r="B33" s="13" t="s">
        <v>33</v>
      </c>
      <c r="C33" s="9"/>
      <c r="D33" s="13">
        <v>1748.64</v>
      </c>
      <c r="E33" s="13"/>
    </row>
    <row r="34" spans="1:5" x14ac:dyDescent="0.25">
      <c r="A34" s="13"/>
      <c r="B34" s="13" t="s">
        <v>34</v>
      </c>
      <c r="C34" s="9"/>
      <c r="D34" s="13">
        <v>8487.0300000000007</v>
      </c>
      <c r="E34" s="13"/>
    </row>
    <row r="35" spans="1:5" x14ac:dyDescent="0.25">
      <c r="A35" s="13"/>
      <c r="B35" s="13" t="s">
        <v>36</v>
      </c>
      <c r="C35" s="9"/>
      <c r="D35" s="13">
        <v>1414.8</v>
      </c>
      <c r="E35" s="13"/>
    </row>
    <row r="36" spans="1:5" x14ac:dyDescent="0.25">
      <c r="A36" s="13"/>
      <c r="B36" s="13" t="s">
        <v>154</v>
      </c>
      <c r="C36" s="9"/>
      <c r="D36" s="13">
        <v>0</v>
      </c>
      <c r="E36" s="13"/>
    </row>
    <row r="37" spans="1:5" x14ac:dyDescent="0.25">
      <c r="A37" s="13"/>
      <c r="B37" s="13" t="s">
        <v>38</v>
      </c>
      <c r="C37" s="9"/>
      <c r="D37" s="13">
        <v>3270.22</v>
      </c>
      <c r="E37" s="13"/>
    </row>
    <row r="38" spans="1:5" x14ac:dyDescent="0.25">
      <c r="A38" s="14" t="s">
        <v>89</v>
      </c>
      <c r="B38" s="19" t="s">
        <v>39</v>
      </c>
      <c r="C38" s="9"/>
      <c r="D38" s="18">
        <f>SUM(D39:D40)</f>
        <v>31110.010000000002</v>
      </c>
      <c r="E38" s="410">
        <f>E39</f>
        <v>6067.0370600000006</v>
      </c>
    </row>
    <row r="39" spans="1:5" x14ac:dyDescent="0.25">
      <c r="A39" s="14"/>
      <c r="B39" s="468" t="s">
        <v>40</v>
      </c>
      <c r="C39" s="469"/>
      <c r="D39" s="411">
        <v>23156.63</v>
      </c>
      <c r="E39" s="470">
        <f>D39*26.2%</f>
        <v>6067.0370600000006</v>
      </c>
    </row>
    <row r="40" spans="1:5" x14ac:dyDescent="0.25">
      <c r="A40" s="14"/>
      <c r="B40" s="27" t="s">
        <v>41</v>
      </c>
      <c r="C40" s="9"/>
      <c r="D40" s="411">
        <v>7953.38</v>
      </c>
      <c r="E40" s="13"/>
    </row>
    <row r="41" spans="1:5" x14ac:dyDescent="0.25">
      <c r="A41" s="14" t="s">
        <v>90</v>
      </c>
      <c r="B41" s="19" t="s">
        <v>42</v>
      </c>
      <c r="C41" s="9"/>
      <c r="D41" s="18">
        <f>D19+E19+D26+E26+D30+D38+E38</f>
        <v>206493.39736</v>
      </c>
      <c r="E41" s="13"/>
    </row>
    <row r="42" spans="1:5" x14ac:dyDescent="0.25">
      <c r="A42" s="14" t="s">
        <v>91</v>
      </c>
      <c r="B42" s="19" t="s">
        <v>43</v>
      </c>
      <c r="C42" s="9"/>
      <c r="D42" s="18">
        <f>D17*6%</f>
        <v>13642.0578</v>
      </c>
      <c r="E42" s="13"/>
    </row>
    <row r="43" spans="1:5" x14ac:dyDescent="0.25">
      <c r="A43" s="14" t="s">
        <v>92</v>
      </c>
      <c r="B43" s="19" t="s">
        <v>44</v>
      </c>
      <c r="C43" s="9"/>
      <c r="D43" s="18">
        <f>D41+D42</f>
        <v>220135.45516000001</v>
      </c>
      <c r="E43" s="13"/>
    </row>
    <row r="44" spans="1:5" x14ac:dyDescent="0.25">
      <c r="A44" s="14"/>
      <c r="B44" s="19"/>
      <c r="C44" s="9"/>
      <c r="D44" s="18"/>
      <c r="E44" s="13"/>
    </row>
    <row r="45" spans="1:5" x14ac:dyDescent="0.25">
      <c r="A45" s="14" t="s">
        <v>93</v>
      </c>
      <c r="B45" s="19" t="s">
        <v>45</v>
      </c>
      <c r="C45" s="13"/>
      <c r="D45" s="18">
        <f>D17-D43</f>
        <v>7232.1748399999924</v>
      </c>
      <c r="E45" s="13"/>
    </row>
    <row r="46" spans="1:5" x14ac:dyDescent="0.25">
      <c r="A46" s="495" t="s">
        <v>94</v>
      </c>
      <c r="B46" s="412" t="s">
        <v>83</v>
      </c>
      <c r="C46" s="13"/>
      <c r="D46" s="18">
        <f>D10+D45</f>
        <v>-14641.925160000006</v>
      </c>
      <c r="E46" s="413"/>
    </row>
    <row r="47" spans="1:5" x14ac:dyDescent="0.25">
      <c r="A47" s="57"/>
      <c r="B47" s="57"/>
      <c r="C47" s="57"/>
      <c r="D47" s="415"/>
      <c r="E47" s="57"/>
    </row>
    <row r="48" spans="1:5" x14ac:dyDescent="0.25">
      <c r="B48" t="s">
        <v>158</v>
      </c>
    </row>
    <row r="49" spans="2:2" ht="17.25" customHeight="1" x14ac:dyDescent="0.25">
      <c r="B49" t="s">
        <v>159</v>
      </c>
    </row>
  </sheetData>
  <mergeCells count="4">
    <mergeCell ref="A5:B5"/>
    <mergeCell ref="C5:D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2" max="2" width="39.140625" customWidth="1"/>
    <col min="4" max="5" width="11.42578125" customWidth="1"/>
  </cols>
  <sheetData>
    <row r="1" spans="1:5" ht="15.75" x14ac:dyDescent="0.25">
      <c r="A1" s="74"/>
      <c r="B1" s="75" t="s">
        <v>0</v>
      </c>
      <c r="C1" s="74"/>
      <c r="D1" s="74"/>
      <c r="E1" s="74"/>
    </row>
    <row r="2" spans="1:5" x14ac:dyDescent="0.25">
      <c r="A2" s="74"/>
      <c r="B2" s="74"/>
      <c r="C2" s="74"/>
      <c r="D2" s="74"/>
      <c r="E2" s="74"/>
    </row>
    <row r="3" spans="1:5" x14ac:dyDescent="0.25">
      <c r="A3" s="74"/>
      <c r="B3" s="74" t="s">
        <v>107</v>
      </c>
      <c r="C3" s="74"/>
      <c r="D3" s="74"/>
      <c r="E3" s="74"/>
    </row>
    <row r="4" spans="1:5" x14ac:dyDescent="0.25">
      <c r="A4" s="74"/>
      <c r="B4" s="435" t="s">
        <v>108</v>
      </c>
      <c r="C4" s="74"/>
      <c r="D4" s="74"/>
      <c r="E4" s="74"/>
    </row>
    <row r="5" spans="1:5" x14ac:dyDescent="0.25">
      <c r="A5" s="74"/>
      <c r="B5" s="74" t="s">
        <v>64</v>
      </c>
      <c r="C5" s="74"/>
      <c r="D5" s="74"/>
      <c r="E5" s="74"/>
    </row>
    <row r="6" spans="1:5" x14ac:dyDescent="0.25">
      <c r="A6" s="76"/>
      <c r="B6" s="76"/>
      <c r="C6" s="76"/>
      <c r="D6" s="77"/>
      <c r="E6" s="78"/>
    </row>
    <row r="7" spans="1:5" ht="15.75" x14ac:dyDescent="0.25">
      <c r="A7" s="79"/>
      <c r="B7" s="80" t="s">
        <v>3</v>
      </c>
      <c r="C7" s="81" t="s">
        <v>4</v>
      </c>
      <c r="D7" s="501" t="s">
        <v>5</v>
      </c>
      <c r="E7" s="502"/>
    </row>
    <row r="8" spans="1:5" ht="15.75" x14ac:dyDescent="0.25">
      <c r="A8" s="82"/>
      <c r="B8" s="80" t="s">
        <v>6</v>
      </c>
      <c r="C8" s="81" t="s">
        <v>7</v>
      </c>
      <c r="D8" s="503" t="s">
        <v>101</v>
      </c>
      <c r="E8" s="504"/>
    </row>
    <row r="9" spans="1:5" x14ac:dyDescent="0.25">
      <c r="A9" s="83"/>
      <c r="B9" s="83"/>
      <c r="C9" s="83"/>
      <c r="D9" s="84"/>
      <c r="E9" s="85"/>
    </row>
    <row r="10" spans="1:5" x14ac:dyDescent="0.25">
      <c r="A10" s="83"/>
      <c r="B10" s="86" t="s">
        <v>8</v>
      </c>
      <c r="C10" s="83"/>
      <c r="D10" s="84">
        <v>-607679.81999999995</v>
      </c>
      <c r="E10" s="85"/>
    </row>
    <row r="11" spans="1:5" x14ac:dyDescent="0.25">
      <c r="A11" s="87"/>
      <c r="B11" s="88" t="s">
        <v>9</v>
      </c>
      <c r="C11" s="87" t="s">
        <v>10</v>
      </c>
      <c r="D11" s="87">
        <v>11857</v>
      </c>
      <c r="E11" s="87"/>
    </row>
    <row r="12" spans="1:5" x14ac:dyDescent="0.25">
      <c r="A12" s="87"/>
      <c r="B12" s="88" t="s">
        <v>11</v>
      </c>
      <c r="C12" s="87" t="s">
        <v>10</v>
      </c>
      <c r="D12" s="87">
        <v>8903.2000000000007</v>
      </c>
      <c r="E12" s="87"/>
    </row>
    <row r="13" spans="1:5" x14ac:dyDescent="0.25">
      <c r="A13" s="87"/>
      <c r="B13" s="89" t="s">
        <v>12</v>
      </c>
      <c r="C13" s="87" t="s">
        <v>13</v>
      </c>
      <c r="D13" s="87">
        <v>372294.6</v>
      </c>
      <c r="E13" s="87"/>
    </row>
    <row r="14" spans="1:5" x14ac:dyDescent="0.25">
      <c r="A14" s="87"/>
      <c r="B14" s="87"/>
      <c r="C14" s="87"/>
      <c r="D14" s="87"/>
      <c r="E14" s="87"/>
    </row>
    <row r="15" spans="1:5" ht="15.75" x14ac:dyDescent="0.25">
      <c r="A15" s="87"/>
      <c r="B15" s="90" t="s">
        <v>14</v>
      </c>
      <c r="C15" s="87"/>
      <c r="D15" s="87"/>
      <c r="E15" s="87"/>
    </row>
    <row r="16" spans="1:5" x14ac:dyDescent="0.25">
      <c r="A16" s="87">
        <v>1</v>
      </c>
      <c r="B16" s="87" t="s">
        <v>15</v>
      </c>
      <c r="C16" s="87" t="s">
        <v>13</v>
      </c>
      <c r="D16" s="87">
        <f>759459.63-353805.84</f>
        <v>405653.79</v>
      </c>
      <c r="E16" s="87"/>
    </row>
    <row r="17" spans="1:5" x14ac:dyDescent="0.25">
      <c r="A17" s="87"/>
      <c r="B17" s="87"/>
      <c r="C17" s="87"/>
      <c r="D17" s="87"/>
      <c r="E17" s="87"/>
    </row>
    <row r="18" spans="1:5" ht="15.75" x14ac:dyDescent="0.25">
      <c r="A18" s="87"/>
      <c r="B18" s="90" t="s">
        <v>17</v>
      </c>
      <c r="C18" s="87"/>
      <c r="D18" s="91">
        <f>D16</f>
        <v>405653.79</v>
      </c>
      <c r="E18" s="87"/>
    </row>
    <row r="19" spans="1:5" ht="15.75" x14ac:dyDescent="0.25">
      <c r="A19" s="87"/>
      <c r="B19" s="90"/>
      <c r="C19" s="87"/>
      <c r="D19" s="91"/>
      <c r="E19" s="87"/>
    </row>
    <row r="20" spans="1:5" ht="15.75" x14ac:dyDescent="0.25">
      <c r="A20" s="20"/>
      <c r="B20" s="21" t="s">
        <v>18</v>
      </c>
      <c r="C20" s="20"/>
      <c r="D20" s="22"/>
      <c r="E20" s="20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</f>
        <v>176328.15</v>
      </c>
      <c r="E21" s="26">
        <f>E22</f>
        <v>45292.188900000008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D23+D24+D25+D26</f>
        <v>172870.94999999998</v>
      </c>
      <c r="E22" s="26">
        <f>E23+E24+E25+E26</f>
        <v>45292.188900000008</v>
      </c>
    </row>
    <row r="23" spans="1:5" x14ac:dyDescent="0.25">
      <c r="A23" s="20"/>
      <c r="B23" s="20" t="s">
        <v>23</v>
      </c>
      <c r="C23" s="20"/>
      <c r="D23" s="87">
        <f>26037.99+23915.83</f>
        <v>49953.820000000007</v>
      </c>
      <c r="E23" s="28">
        <f>D23*26.2%</f>
        <v>13087.900840000002</v>
      </c>
    </row>
    <row r="24" spans="1:5" x14ac:dyDescent="0.25">
      <c r="A24" s="20"/>
      <c r="B24" s="20" t="s">
        <v>24</v>
      </c>
      <c r="C24" s="20"/>
      <c r="D24" s="87">
        <f>33288.32+33752.28</f>
        <v>67040.600000000006</v>
      </c>
      <c r="E24" s="28">
        <f>D24*26.2%</f>
        <v>17564.637200000001</v>
      </c>
    </row>
    <row r="25" spans="1:5" x14ac:dyDescent="0.25">
      <c r="A25" s="20"/>
      <c r="B25" s="20" t="s">
        <v>25</v>
      </c>
      <c r="C25" s="20"/>
      <c r="D25" s="87">
        <f>29289.14+23246.56</f>
        <v>52535.7</v>
      </c>
      <c r="E25" s="28">
        <f>D25*26.2%</f>
        <v>13764.3534</v>
      </c>
    </row>
    <row r="26" spans="1:5" x14ac:dyDescent="0.25">
      <c r="A26" s="20"/>
      <c r="B26" s="31" t="s">
        <v>81</v>
      </c>
      <c r="C26" s="20"/>
      <c r="D26" s="87">
        <v>3340.83</v>
      </c>
      <c r="E26" s="28">
        <f>D26*26.2%</f>
        <v>875.29746</v>
      </c>
    </row>
    <row r="27" spans="1:5" x14ac:dyDescent="0.25">
      <c r="A27" s="20">
        <v>2</v>
      </c>
      <c r="B27" s="27" t="s">
        <v>26</v>
      </c>
      <c r="C27" s="20"/>
      <c r="D27" s="87">
        <v>3457.2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110268.51</v>
      </c>
      <c r="E28" s="26">
        <f>E29</f>
        <v>21793.48488</v>
      </c>
    </row>
    <row r="29" spans="1:5" x14ac:dyDescent="0.25">
      <c r="A29" s="20">
        <v>1</v>
      </c>
      <c r="B29" s="31" t="s">
        <v>103</v>
      </c>
      <c r="C29" s="20"/>
      <c r="D29" s="31">
        <f>41349.88+41831.36</f>
        <v>83181.239999999991</v>
      </c>
      <c r="E29" s="33">
        <f>D29*26.2%</f>
        <v>21793.48488</v>
      </c>
    </row>
    <row r="30" spans="1:5" x14ac:dyDescent="0.25">
      <c r="A30" s="20">
        <v>2</v>
      </c>
      <c r="B30" s="31" t="s">
        <v>26</v>
      </c>
      <c r="C30" s="20"/>
      <c r="D30" s="33">
        <v>27087.27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44922.788730000007</v>
      </c>
      <c r="E31" s="20"/>
    </row>
    <row r="32" spans="1:5" x14ac:dyDescent="0.25">
      <c r="A32" s="20"/>
      <c r="B32" s="20" t="s">
        <v>32</v>
      </c>
      <c r="C32" s="20"/>
      <c r="D32" s="28">
        <f>D18*4.7%</f>
        <v>19065.72813</v>
      </c>
      <c r="E32" s="20"/>
    </row>
    <row r="33" spans="1:5" x14ac:dyDescent="0.25">
      <c r="A33" s="20"/>
      <c r="B33" s="20" t="s">
        <v>61</v>
      </c>
      <c r="C33" s="20"/>
      <c r="D33" s="20">
        <f>923.16+901.51</f>
        <v>1824.67</v>
      </c>
      <c r="E33" s="20"/>
    </row>
    <row r="34" spans="1:5" x14ac:dyDescent="0.25">
      <c r="A34" s="20"/>
      <c r="B34" s="20" t="s">
        <v>34</v>
      </c>
      <c r="C34" s="20"/>
      <c r="D34" s="28">
        <f>5866.3+5866.3*26.2%+7373.86</f>
        <v>14777.1306</v>
      </c>
      <c r="E34" s="20"/>
    </row>
    <row r="35" spans="1:5" x14ac:dyDescent="0.25">
      <c r="A35" s="20"/>
      <c r="B35" s="27" t="s">
        <v>35</v>
      </c>
      <c r="C35" s="20"/>
      <c r="D35" s="20">
        <v>1097.97</v>
      </c>
      <c r="E35" s="20"/>
    </row>
    <row r="36" spans="1:5" x14ac:dyDescent="0.25">
      <c r="A36" s="20"/>
      <c r="B36" s="27" t="s">
        <v>36</v>
      </c>
      <c r="C36" s="20"/>
      <c r="D36" s="20">
        <v>2463.36</v>
      </c>
      <c r="E36" s="20"/>
    </row>
    <row r="37" spans="1:5" x14ac:dyDescent="0.25">
      <c r="A37" s="20"/>
      <c r="B37" s="20" t="s">
        <v>38</v>
      </c>
      <c r="C37" s="20"/>
      <c r="D37" s="20">
        <v>5693.93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53068.999999999993</v>
      </c>
      <c r="E38" s="26">
        <f>E39</f>
        <v>10563.580619999999</v>
      </c>
    </row>
    <row r="39" spans="1:5" x14ac:dyDescent="0.25">
      <c r="A39" s="73"/>
      <c r="B39" s="31" t="s">
        <v>40</v>
      </c>
      <c r="C39" s="31"/>
      <c r="D39" s="33">
        <f>19888.12+20430.89</f>
        <v>40319.009999999995</v>
      </c>
      <c r="E39" s="33">
        <f>D39*26.2%</f>
        <v>10563.580619999999</v>
      </c>
    </row>
    <row r="40" spans="1:5" x14ac:dyDescent="0.25">
      <c r="A40" s="73"/>
      <c r="B40" s="20" t="s">
        <v>41</v>
      </c>
      <c r="C40" s="20"/>
      <c r="D40" s="33">
        <v>12749.99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D21+E21+D28+E28+D31+D38+E38</f>
        <v>462237.70313000004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24339.227399999996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486576.93053000001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-80923.140530000033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-688602.96053000004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8" sqref="A38:A46"/>
    </sheetView>
  </sheetViews>
  <sheetFormatPr defaultRowHeight="15" x14ac:dyDescent="0.25"/>
  <cols>
    <col min="2" max="2" width="40.7109375" customWidth="1"/>
    <col min="4" max="4" width="10.42578125" customWidth="1"/>
    <col min="5" max="5" width="10.140625" customWidth="1"/>
  </cols>
  <sheetData>
    <row r="1" spans="1:5" ht="15.75" x14ac:dyDescent="0.25">
      <c r="B1" s="1" t="s">
        <v>0</v>
      </c>
    </row>
    <row r="3" spans="1:5" x14ac:dyDescent="0.25">
      <c r="B3" t="s">
        <v>58</v>
      </c>
    </row>
    <row r="4" spans="1:5" x14ac:dyDescent="0.25">
      <c r="B4" t="s">
        <v>212</v>
      </c>
    </row>
    <row r="5" spans="1:5" x14ac:dyDescent="0.25">
      <c r="A5" s="599"/>
      <c r="B5" s="599"/>
      <c r="C5" s="599"/>
      <c r="D5" s="599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53</v>
      </c>
      <c r="D7" s="595" t="s">
        <v>114</v>
      </c>
      <c r="E7" s="596"/>
    </row>
    <row r="8" spans="1:5" x14ac:dyDescent="0.25">
      <c r="A8" s="13"/>
      <c r="B8" s="14" t="s">
        <v>126</v>
      </c>
      <c r="C8" s="13"/>
      <c r="D8" s="471">
        <v>184184.07</v>
      </c>
      <c r="E8" s="413"/>
    </row>
    <row r="9" spans="1:5" x14ac:dyDescent="0.25">
      <c r="A9" s="9"/>
      <c r="B9" s="12" t="s">
        <v>127</v>
      </c>
      <c r="C9" s="9"/>
      <c r="D9" s="10">
        <v>73112.070000000007</v>
      </c>
      <c r="E9" s="11"/>
    </row>
    <row r="10" spans="1:5" x14ac:dyDescent="0.25">
      <c r="A10" s="13"/>
      <c r="B10" s="14" t="s">
        <v>9</v>
      </c>
      <c r="C10" s="12" t="s">
        <v>54</v>
      </c>
      <c r="D10" s="17">
        <v>9546.7999999999993</v>
      </c>
      <c r="E10" s="13"/>
    </row>
    <row r="11" spans="1:5" x14ac:dyDescent="0.25">
      <c r="A11" s="13"/>
      <c r="B11" s="14" t="s">
        <v>11</v>
      </c>
      <c r="C11" s="12" t="s">
        <v>54</v>
      </c>
      <c r="D11" s="17">
        <v>5841.2</v>
      </c>
      <c r="E11" s="13"/>
    </row>
    <row r="12" spans="1:5" x14ac:dyDescent="0.25">
      <c r="A12" s="13"/>
      <c r="B12" s="15" t="s">
        <v>12</v>
      </c>
      <c r="C12" s="12" t="s">
        <v>13</v>
      </c>
      <c r="D12" s="17">
        <v>224653.26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7">
        <f>449104.48-218591.43</f>
        <v>230513.05</v>
      </c>
      <c r="E14" s="13"/>
    </row>
    <row r="15" spans="1:5" x14ac:dyDescent="0.25">
      <c r="A15" s="13">
        <v>2</v>
      </c>
      <c r="B15" s="13" t="s">
        <v>16</v>
      </c>
      <c r="C15" s="9"/>
      <c r="D15" s="17">
        <f>129605.68-73112.07+7609.2</f>
        <v>64102.809999999983</v>
      </c>
      <c r="E15" s="13"/>
    </row>
    <row r="16" spans="1:5" ht="15.75" x14ac:dyDescent="0.25">
      <c r="A16" s="13"/>
      <c r="B16" s="16" t="s">
        <v>17</v>
      </c>
      <c r="C16" s="9"/>
      <c r="D16" s="18">
        <f>D14+D15</f>
        <v>294615.86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D20+D25</f>
        <v>23109.93</v>
      </c>
      <c r="E19" s="26">
        <f>E20</f>
        <v>5460.5358800000013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D21+D24</f>
        <v>20841.740000000002</v>
      </c>
      <c r="E20" s="26">
        <f>E21+E24</f>
        <v>5460.5358800000013</v>
      </c>
    </row>
    <row r="21" spans="1:5" x14ac:dyDescent="0.25">
      <c r="A21" s="20"/>
      <c r="B21" s="20" t="s">
        <v>23</v>
      </c>
      <c r="C21" s="20"/>
      <c r="D21" s="20">
        <v>18588.63</v>
      </c>
      <c r="E21" s="28">
        <f>D21*26.2%</f>
        <v>4870.2210600000008</v>
      </c>
    </row>
    <row r="22" spans="1:5" x14ac:dyDescent="0.25">
      <c r="A22" s="20"/>
      <c r="B22" s="20" t="s">
        <v>24</v>
      </c>
      <c r="C22" s="20"/>
      <c r="D22" s="29">
        <v>0</v>
      </c>
      <c r="E22" s="28">
        <f>D22*26.2%</f>
        <v>0</v>
      </c>
    </row>
    <row r="23" spans="1:5" x14ac:dyDescent="0.25">
      <c r="A23" s="20"/>
      <c r="B23" s="20" t="s">
        <v>25</v>
      </c>
      <c r="C23" s="20"/>
      <c r="D23" s="20">
        <v>0</v>
      </c>
      <c r="E23" s="28">
        <f>D23*26.2%</f>
        <v>0</v>
      </c>
    </row>
    <row r="24" spans="1:5" x14ac:dyDescent="0.25">
      <c r="A24" s="20"/>
      <c r="B24" s="20" t="s">
        <v>81</v>
      </c>
      <c r="C24" s="20"/>
      <c r="D24" s="20">
        <v>2253.11</v>
      </c>
      <c r="E24" s="28">
        <f>D24*26.2%</f>
        <v>590.31482000000005</v>
      </c>
    </row>
    <row r="25" spans="1:5" x14ac:dyDescent="0.25">
      <c r="A25" s="20">
        <v>2</v>
      </c>
      <c r="B25" s="27" t="s">
        <v>26</v>
      </c>
      <c r="C25" s="20"/>
      <c r="D25" s="20">
        <v>2268.19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59190.96</v>
      </c>
      <c r="E26" s="26">
        <f>E27</f>
        <v>14298.243899999999</v>
      </c>
    </row>
    <row r="27" spans="1:5" x14ac:dyDescent="0.25">
      <c r="A27" s="20">
        <v>1</v>
      </c>
      <c r="B27" s="31" t="s">
        <v>103</v>
      </c>
      <c r="C27" s="20"/>
      <c r="D27" s="31">
        <v>54573.45</v>
      </c>
      <c r="E27" s="28">
        <f>D27*26.2%</f>
        <v>14298.243899999999</v>
      </c>
    </row>
    <row r="28" spans="1:5" x14ac:dyDescent="0.25">
      <c r="A28" s="20">
        <v>2</v>
      </c>
      <c r="B28" s="31" t="s">
        <v>26</v>
      </c>
      <c r="C28" s="20"/>
      <c r="D28" s="31">
        <v>4617.51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D30+D31+D32+D33+D34+D35+D36+D37</f>
        <v>47917.273000000001</v>
      </c>
      <c r="E29" s="20"/>
    </row>
    <row r="30" spans="1:5" x14ac:dyDescent="0.25">
      <c r="A30" s="20"/>
      <c r="B30" s="20" t="s">
        <v>32</v>
      </c>
      <c r="C30" s="20"/>
      <c r="D30" s="28">
        <f>D16*5%</f>
        <v>14730.793</v>
      </c>
      <c r="E30" s="20"/>
    </row>
    <row r="31" spans="1:5" x14ac:dyDescent="0.25">
      <c r="A31" s="20"/>
      <c r="B31" s="20" t="s">
        <v>61</v>
      </c>
      <c r="C31" s="20"/>
      <c r="D31" s="20">
        <f>724.02+707.04</f>
        <v>1431.06</v>
      </c>
      <c r="E31" s="20"/>
    </row>
    <row r="32" spans="1:5" x14ac:dyDescent="0.25">
      <c r="A32" s="20"/>
      <c r="B32" s="20" t="s">
        <v>34</v>
      </c>
      <c r="C32" s="20"/>
      <c r="D32" s="28">
        <v>9694.9599999999991</v>
      </c>
      <c r="E32" s="20"/>
    </row>
    <row r="33" spans="1:5" x14ac:dyDescent="0.25">
      <c r="A33" s="20"/>
      <c r="B33" s="31" t="s">
        <v>33</v>
      </c>
      <c r="C33" s="20"/>
      <c r="D33" s="28">
        <v>5358</v>
      </c>
      <c r="E33" s="20"/>
    </row>
    <row r="34" spans="1:5" x14ac:dyDescent="0.25">
      <c r="A34" s="20"/>
      <c r="B34" s="27" t="s">
        <v>36</v>
      </c>
      <c r="C34" s="20"/>
      <c r="D34" s="20">
        <v>1616.16</v>
      </c>
      <c r="E34" s="20"/>
    </row>
    <row r="35" spans="1:5" x14ac:dyDescent="0.25">
      <c r="A35" s="20"/>
      <c r="B35" s="27" t="s">
        <v>66</v>
      </c>
      <c r="C35" s="20"/>
      <c r="D35" s="20">
        <v>10630.27</v>
      </c>
      <c r="E35" s="20"/>
    </row>
    <row r="36" spans="1:5" x14ac:dyDescent="0.25">
      <c r="A36" s="20"/>
      <c r="B36" s="27" t="s">
        <v>35</v>
      </c>
      <c r="C36" s="20"/>
      <c r="D36" s="20">
        <v>720.36</v>
      </c>
      <c r="E36" s="20"/>
    </row>
    <row r="37" spans="1:5" x14ac:dyDescent="0.25">
      <c r="A37" s="20"/>
      <c r="B37" s="20" t="s">
        <v>38</v>
      </c>
      <c r="C37" s="20"/>
      <c r="D37" s="20">
        <v>3735.67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34807.449999999997</v>
      </c>
      <c r="E38" s="26">
        <f>E39</f>
        <v>6930.5419000000002</v>
      </c>
    </row>
    <row r="39" spans="1:5" x14ac:dyDescent="0.25">
      <c r="A39" s="73"/>
      <c r="B39" s="31" t="s">
        <v>40</v>
      </c>
      <c r="C39" s="31"/>
      <c r="D39" s="33">
        <v>26452.45</v>
      </c>
      <c r="E39" s="28">
        <f>D39*26.2%</f>
        <v>6930.5419000000002</v>
      </c>
    </row>
    <row r="40" spans="1:5" x14ac:dyDescent="0.25">
      <c r="A40" s="73"/>
      <c r="B40" s="27" t="s">
        <v>41</v>
      </c>
      <c r="C40" s="20"/>
      <c r="D40" s="33">
        <v>8355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D19+E19+D26+E26+D29+D38+E38</f>
        <v>191714.93468000001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D16*6%</f>
        <v>17676.9516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209391.88628000001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160</v>
      </c>
      <c r="C45" s="20"/>
      <c r="D45" s="26">
        <f>D14-D43</f>
        <v>21121.163719999982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D8+D45</f>
        <v>205305.23371999999</v>
      </c>
      <c r="E46" s="20"/>
    </row>
    <row r="47" spans="1:5" x14ac:dyDescent="0.25">
      <c r="A47" s="34"/>
      <c r="B47" s="35" t="s">
        <v>16</v>
      </c>
      <c r="C47" s="34"/>
      <c r="D47" s="36">
        <f>D15+D9</f>
        <v>137214.88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D7:E7"/>
    <mergeCell ref="D6:E6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9" sqref="A39:A47"/>
    </sheetView>
  </sheetViews>
  <sheetFormatPr defaultRowHeight="15" x14ac:dyDescent="0.25"/>
  <cols>
    <col min="2" max="2" width="38.855468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161</v>
      </c>
    </row>
    <row r="5" spans="1:5" x14ac:dyDescent="0.25">
      <c r="A5" s="592"/>
      <c r="B5" s="592"/>
      <c r="C5" s="592"/>
      <c r="D5" s="599"/>
      <c r="E5" s="58"/>
    </row>
    <row r="6" spans="1:5" ht="15.75" x14ac:dyDescent="0.25">
      <c r="A6" s="2"/>
      <c r="B6" s="488" t="s">
        <v>3</v>
      </c>
      <c r="C6" s="489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53</v>
      </c>
      <c r="D7" s="595" t="s">
        <v>162</v>
      </c>
      <c r="E7" s="596"/>
    </row>
    <row r="8" spans="1:5" x14ac:dyDescent="0.25">
      <c r="A8" s="13"/>
      <c r="B8" s="14" t="s">
        <v>126</v>
      </c>
      <c r="C8" s="13"/>
      <c r="D8" s="471">
        <v>190021.76000000001</v>
      </c>
      <c r="E8" s="413"/>
    </row>
    <row r="9" spans="1:5" x14ac:dyDescent="0.25">
      <c r="A9" s="9"/>
      <c r="B9" s="12" t="s">
        <v>127</v>
      </c>
      <c r="C9" s="9"/>
      <c r="D9" s="10">
        <v>41650.839999999997</v>
      </c>
      <c r="E9" s="11"/>
    </row>
    <row r="10" spans="1:5" x14ac:dyDescent="0.25">
      <c r="A10" s="13"/>
      <c r="B10" s="14" t="s">
        <v>9</v>
      </c>
      <c r="C10" s="12" t="s">
        <v>54</v>
      </c>
      <c r="D10" s="17">
        <v>9568.5</v>
      </c>
      <c r="E10" s="13"/>
    </row>
    <row r="11" spans="1:5" x14ac:dyDescent="0.25">
      <c r="A11" s="13"/>
      <c r="B11" s="14" t="s">
        <v>11</v>
      </c>
      <c r="C11" s="12" t="s">
        <v>54</v>
      </c>
      <c r="D11" s="17">
        <v>5924.6</v>
      </c>
      <c r="E11" s="13"/>
    </row>
    <row r="12" spans="1:5" x14ac:dyDescent="0.25">
      <c r="A12" s="13"/>
      <c r="B12" s="15" t="s">
        <v>12</v>
      </c>
      <c r="C12" s="12" t="s">
        <v>13</v>
      </c>
      <c r="D12" s="17">
        <v>226840.62</v>
      </c>
      <c r="E12" s="13"/>
    </row>
    <row r="13" spans="1:5" ht="15.75" x14ac:dyDescent="0.25">
      <c r="A13" s="13"/>
      <c r="B13" s="16" t="s">
        <v>14</v>
      </c>
      <c r="C13" s="9"/>
      <c r="D13" s="17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7">
        <f>447518.86-226359.77</f>
        <v>221159.09</v>
      </c>
      <c r="E14" s="13"/>
    </row>
    <row r="15" spans="1:5" x14ac:dyDescent="0.25">
      <c r="A15" s="13">
        <v>2</v>
      </c>
      <c r="B15" s="13" t="s">
        <v>74</v>
      </c>
      <c r="C15" s="14" t="s">
        <v>13</v>
      </c>
      <c r="D15" s="13">
        <v>120000</v>
      </c>
      <c r="E15" s="13"/>
    </row>
    <row r="16" spans="1:5" x14ac:dyDescent="0.25">
      <c r="A16" s="13">
        <v>3</v>
      </c>
      <c r="B16" s="13" t="s">
        <v>16</v>
      </c>
      <c r="C16" s="12"/>
      <c r="D16" s="13">
        <f>114535.3-D9</f>
        <v>72884.460000000006</v>
      </c>
      <c r="E16" s="13"/>
    </row>
    <row r="17" spans="1:5" ht="15.75" x14ac:dyDescent="0.25">
      <c r="A17" s="13"/>
      <c r="B17" s="16" t="s">
        <v>17</v>
      </c>
      <c r="C17" s="9"/>
      <c r="D17" s="18">
        <f>D14+D15+D16</f>
        <v>414043.55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30661.65</v>
      </c>
      <c r="E20" s="26">
        <f>E21</f>
        <v>7430.60034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28361.07</v>
      </c>
      <c r="E21" s="26">
        <f>E22+E25</f>
        <v>7430.60034</v>
      </c>
    </row>
    <row r="22" spans="1:5" x14ac:dyDescent="0.25">
      <c r="A22" s="20"/>
      <c r="B22" s="20" t="s">
        <v>23</v>
      </c>
      <c r="C22" s="20"/>
      <c r="D22" s="20">
        <v>22596.12</v>
      </c>
      <c r="E22" s="28">
        <f>D22*26.2%</f>
        <v>5920.1834399999998</v>
      </c>
    </row>
    <row r="23" spans="1:5" x14ac:dyDescent="0.25">
      <c r="A23" s="20"/>
      <c r="B23" s="20" t="s">
        <v>24</v>
      </c>
      <c r="C23" s="20"/>
      <c r="D23" s="29">
        <v>0</v>
      </c>
      <c r="E23" s="28"/>
    </row>
    <row r="24" spans="1:5" x14ac:dyDescent="0.25">
      <c r="A24" s="20"/>
      <c r="B24" s="20" t="s">
        <v>25</v>
      </c>
      <c r="C24" s="20"/>
      <c r="D24" s="20">
        <v>0</v>
      </c>
      <c r="E24" s="28"/>
    </row>
    <row r="25" spans="1:5" x14ac:dyDescent="0.25">
      <c r="A25" s="20"/>
      <c r="B25" s="31" t="s">
        <v>81</v>
      </c>
      <c r="C25" s="20"/>
      <c r="D25" s="20">
        <v>5764.95</v>
      </c>
      <c r="E25" s="28">
        <f>D25*26.2%</f>
        <v>1510.4168999999999</v>
      </c>
    </row>
    <row r="26" spans="1:5" x14ac:dyDescent="0.25">
      <c r="A26" s="20">
        <v>2</v>
      </c>
      <c r="B26" s="27" t="s">
        <v>26</v>
      </c>
      <c r="C26" s="20"/>
      <c r="D26" s="20">
        <v>2300.58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</f>
        <v>82646.16</v>
      </c>
      <c r="E27" s="26">
        <f>E28</f>
        <v>14502.391680000001</v>
      </c>
    </row>
    <row r="28" spans="1:5" x14ac:dyDescent="0.25">
      <c r="A28" s="20">
        <v>1</v>
      </c>
      <c r="B28" s="31" t="s">
        <v>103</v>
      </c>
      <c r="C28" s="20"/>
      <c r="D28" s="31">
        <v>55352.639999999999</v>
      </c>
      <c r="E28" s="28">
        <f>D28*26.2%</f>
        <v>14502.391680000001</v>
      </c>
    </row>
    <row r="29" spans="1:5" x14ac:dyDescent="0.25">
      <c r="A29" s="20">
        <v>2</v>
      </c>
      <c r="B29" s="31" t="s">
        <v>26</v>
      </c>
      <c r="C29" s="20"/>
      <c r="D29" s="31">
        <v>27293.52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D31+D32+D33+D34+D35+D36+D37+D38</f>
        <v>124113.8775</v>
      </c>
      <c r="E30" s="20"/>
    </row>
    <row r="31" spans="1:5" x14ac:dyDescent="0.25">
      <c r="A31" s="20"/>
      <c r="B31" s="20" t="s">
        <v>32</v>
      </c>
      <c r="C31" s="20"/>
      <c r="D31" s="28">
        <f>D17*5%</f>
        <v>20702.177500000002</v>
      </c>
      <c r="E31" s="20"/>
    </row>
    <row r="32" spans="1:5" x14ac:dyDescent="0.25">
      <c r="A32" s="20"/>
      <c r="B32" s="20" t="s">
        <v>61</v>
      </c>
      <c r="C32" s="20"/>
      <c r="D32" s="20">
        <f>678.51+662.6</f>
        <v>1341.1100000000001</v>
      </c>
      <c r="E32" s="20"/>
    </row>
    <row r="33" spans="1:5" x14ac:dyDescent="0.25">
      <c r="A33" s="20"/>
      <c r="B33" s="20" t="s">
        <v>34</v>
      </c>
      <c r="C33" s="20"/>
      <c r="D33" s="472">
        <v>9833.39</v>
      </c>
      <c r="E33" s="20"/>
    </row>
    <row r="34" spans="1:5" x14ac:dyDescent="0.25">
      <c r="A34" s="20"/>
      <c r="B34" s="27" t="s">
        <v>33</v>
      </c>
      <c r="C34" s="20"/>
      <c r="D34" s="20">
        <v>3180.42</v>
      </c>
      <c r="E34" s="20"/>
    </row>
    <row r="35" spans="1:5" x14ac:dyDescent="0.25">
      <c r="A35" s="20"/>
      <c r="B35" s="27" t="s">
        <v>36</v>
      </c>
      <c r="C35" s="20"/>
      <c r="D35" s="20">
        <v>1639.24</v>
      </c>
      <c r="E35" s="20"/>
    </row>
    <row r="36" spans="1:5" x14ac:dyDescent="0.25">
      <c r="A36" s="20"/>
      <c r="B36" s="27" t="s">
        <v>66</v>
      </c>
      <c r="C36" s="20"/>
      <c r="D36" s="20">
        <f>19112.1+3702</f>
        <v>22814.1</v>
      </c>
      <c r="E36" s="20"/>
    </row>
    <row r="37" spans="1:5" x14ac:dyDescent="0.25">
      <c r="A37" s="20"/>
      <c r="B37" s="27" t="s">
        <v>163</v>
      </c>
      <c r="C37" s="20"/>
      <c r="D37" s="20">
        <v>60814.44</v>
      </c>
      <c r="E37" s="20"/>
    </row>
    <row r="38" spans="1:5" x14ac:dyDescent="0.25">
      <c r="A38" s="20"/>
      <c r="B38" s="20" t="s">
        <v>38</v>
      </c>
      <c r="C38" s="20"/>
      <c r="D38" s="20">
        <v>3789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36045.21</v>
      </c>
      <c r="E39" s="26">
        <f>E40</f>
        <v>7029.4940600000009</v>
      </c>
    </row>
    <row r="40" spans="1:5" x14ac:dyDescent="0.25">
      <c r="A40" s="73"/>
      <c r="B40" s="31" t="s">
        <v>40</v>
      </c>
      <c r="C40" s="31"/>
      <c r="D40" s="33">
        <v>26830.13</v>
      </c>
      <c r="E40" s="28">
        <f>D40*26.2%</f>
        <v>7029.4940600000009</v>
      </c>
    </row>
    <row r="41" spans="1:5" x14ac:dyDescent="0.25">
      <c r="A41" s="73"/>
      <c r="B41" s="27" t="s">
        <v>41</v>
      </c>
      <c r="C41" s="20"/>
      <c r="D41" s="33">
        <v>9215.08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D20+E20+D27+E27+D30+D39+E39</f>
        <v>302429.38358000002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24842.612999999998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327271.99658000004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D14+D15-D44</f>
        <v>13887.093419999932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203908.85341999994</v>
      </c>
      <c r="E47" s="20"/>
    </row>
    <row r="48" spans="1:5" x14ac:dyDescent="0.25">
      <c r="A48" s="34"/>
      <c r="B48" s="35" t="s">
        <v>16</v>
      </c>
      <c r="C48" s="34"/>
      <c r="D48" s="36">
        <f>D16+D9</f>
        <v>114535.3</v>
      </c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D6:E6"/>
    <mergeCell ref="D7:E7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42.85546875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164</v>
      </c>
    </row>
    <row r="5" spans="1:5" x14ac:dyDescent="0.25">
      <c r="A5" s="592"/>
      <c r="B5" s="592"/>
      <c r="C5" s="592"/>
      <c r="D5" s="599"/>
      <c r="E5" s="58"/>
    </row>
    <row r="6" spans="1:5" x14ac:dyDescent="0.25">
      <c r="A6" s="2"/>
      <c r="B6" s="2"/>
      <c r="C6" s="2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53</v>
      </c>
      <c r="D8" s="595" t="s">
        <v>162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-268596.13</v>
      </c>
      <c r="E10" s="11"/>
    </row>
    <row r="11" spans="1:5" x14ac:dyDescent="0.25">
      <c r="A11" s="13"/>
      <c r="B11" s="14" t="s">
        <v>9</v>
      </c>
      <c r="C11" s="12" t="s">
        <v>54</v>
      </c>
      <c r="D11" s="17">
        <v>6474.6</v>
      </c>
      <c r="E11" s="13"/>
    </row>
    <row r="12" spans="1:5" x14ac:dyDescent="0.25">
      <c r="A12" s="13"/>
      <c r="B12" s="14" t="s">
        <v>11</v>
      </c>
      <c r="C12" s="12" t="s">
        <v>54</v>
      </c>
      <c r="D12" s="17">
        <v>4985.3</v>
      </c>
      <c r="E12" s="13"/>
    </row>
    <row r="13" spans="1:5" x14ac:dyDescent="0.25">
      <c r="A13" s="13"/>
      <c r="B13" s="15" t="s">
        <v>12</v>
      </c>
      <c r="C13" s="12" t="s">
        <v>13</v>
      </c>
      <c r="D13" s="13">
        <v>207179.76</v>
      </c>
      <c r="E13" s="13"/>
    </row>
    <row r="14" spans="1:5" ht="15.75" x14ac:dyDescent="0.25">
      <c r="A14" s="13"/>
      <c r="B14" s="16" t="s">
        <v>14</v>
      </c>
      <c r="C14" s="9"/>
      <c r="D14" s="13"/>
      <c r="E14" s="13"/>
    </row>
    <row r="15" spans="1:5" x14ac:dyDescent="0.25">
      <c r="A15" s="13">
        <v>1</v>
      </c>
      <c r="B15" s="13" t="s">
        <v>15</v>
      </c>
      <c r="C15" s="12" t="s">
        <v>13</v>
      </c>
      <c r="D15" s="13">
        <f>368580.41+53003.2-196199.24</f>
        <v>225384.37</v>
      </c>
      <c r="E15" s="13"/>
    </row>
    <row r="16" spans="1:5" x14ac:dyDescent="0.25">
      <c r="A16" s="13"/>
      <c r="B16" s="13"/>
      <c r="C16" s="9"/>
      <c r="D16" s="13"/>
      <c r="E16" s="13"/>
    </row>
    <row r="17" spans="1:5" ht="15.75" x14ac:dyDescent="0.25">
      <c r="A17" s="13"/>
      <c r="B17" s="16" t="s">
        <v>17</v>
      </c>
      <c r="C17" s="9"/>
      <c r="D17" s="19">
        <f>D15</f>
        <v>225384.37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81545.149999999994</v>
      </c>
      <c r="E20" s="26">
        <f>E21</f>
        <v>19416.002560000001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D22+D23+D24+D25</f>
        <v>74106.880000000005</v>
      </c>
      <c r="E21" s="26">
        <f>E22+E23+E24+E25</f>
        <v>19416.002560000001</v>
      </c>
    </row>
    <row r="22" spans="1:5" x14ac:dyDescent="0.25">
      <c r="A22" s="20"/>
      <c r="B22" s="20" t="s">
        <v>23</v>
      </c>
      <c r="C22" s="20"/>
      <c r="D22" s="20">
        <v>13295.22</v>
      </c>
      <c r="E22" s="28">
        <f>D22*26.2%</f>
        <v>3483.34764</v>
      </c>
    </row>
    <row r="23" spans="1:5" x14ac:dyDescent="0.25">
      <c r="A23" s="20"/>
      <c r="B23" s="20" t="s">
        <v>24</v>
      </c>
      <c r="C23" s="20"/>
      <c r="D23" s="29">
        <v>23836.39</v>
      </c>
      <c r="E23" s="28">
        <f>D23*26.2%</f>
        <v>6245.13418</v>
      </c>
    </row>
    <row r="24" spans="1:5" x14ac:dyDescent="0.25">
      <c r="A24" s="20"/>
      <c r="B24" s="20" t="s">
        <v>25</v>
      </c>
      <c r="C24" s="20"/>
      <c r="D24" s="20">
        <v>31472.84</v>
      </c>
      <c r="E24" s="28">
        <f>D24*26.2%</f>
        <v>8245.8840799999998</v>
      </c>
    </row>
    <row r="25" spans="1:5" x14ac:dyDescent="0.25">
      <c r="A25" s="20"/>
      <c r="B25" s="20" t="s">
        <v>81</v>
      </c>
      <c r="C25" s="20"/>
      <c r="D25" s="20">
        <v>5502.43</v>
      </c>
      <c r="E25" s="28">
        <f>D25*26.2%</f>
        <v>1441.6366600000001</v>
      </c>
    </row>
    <row r="26" spans="1:5" x14ac:dyDescent="0.25">
      <c r="A26" s="20">
        <v>2</v>
      </c>
      <c r="B26" s="27" t="s">
        <v>26</v>
      </c>
      <c r="C26" s="20"/>
      <c r="D26" s="20">
        <v>1935.84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68263.260000000009</v>
      </c>
      <c r="E27" s="26">
        <f>E28</f>
        <v>12203.147800000001</v>
      </c>
    </row>
    <row r="28" spans="1:5" x14ac:dyDescent="0.25">
      <c r="A28" s="20">
        <v>1</v>
      </c>
      <c r="B28" s="31" t="s">
        <v>103</v>
      </c>
      <c r="C28" s="20"/>
      <c r="D28" s="31">
        <v>46576.9</v>
      </c>
      <c r="E28" s="28">
        <f>D28*26.2%</f>
        <v>12203.147800000001</v>
      </c>
    </row>
    <row r="29" spans="1:5" x14ac:dyDescent="0.25">
      <c r="A29" s="20">
        <v>2</v>
      </c>
      <c r="B29" s="31" t="s">
        <v>26</v>
      </c>
      <c r="C29" s="20"/>
      <c r="D29" s="31">
        <v>21686.36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26632.598499999996</v>
      </c>
      <c r="E30" s="20"/>
    </row>
    <row r="31" spans="1:5" x14ac:dyDescent="0.25">
      <c r="A31" s="20"/>
      <c r="B31" s="20" t="s">
        <v>32</v>
      </c>
      <c r="C31" s="20"/>
      <c r="D31" s="28">
        <f>D17*5%</f>
        <v>11269.218500000001</v>
      </c>
      <c r="E31" s="20"/>
    </row>
    <row r="32" spans="1:5" x14ac:dyDescent="0.25">
      <c r="A32" s="20"/>
      <c r="B32" s="20" t="s">
        <v>61</v>
      </c>
      <c r="C32" s="20"/>
      <c r="D32" s="20">
        <f>378.36+369.49</f>
        <v>747.85</v>
      </c>
      <c r="E32" s="20"/>
    </row>
    <row r="33" spans="1:5" x14ac:dyDescent="0.25">
      <c r="A33" s="20"/>
      <c r="B33" s="20" t="s">
        <v>34</v>
      </c>
      <c r="C33" s="20"/>
      <c r="D33" s="28">
        <v>8274.3799999999992</v>
      </c>
      <c r="E33" s="20"/>
    </row>
    <row r="34" spans="1:5" x14ac:dyDescent="0.25">
      <c r="A34" s="20"/>
      <c r="B34" s="31" t="s">
        <v>33</v>
      </c>
      <c r="C34" s="20"/>
      <c r="D34" s="20">
        <v>1773.51</v>
      </c>
      <c r="E34" s="20"/>
    </row>
    <row r="35" spans="1:5" x14ac:dyDescent="0.25">
      <c r="A35" s="20"/>
      <c r="B35" s="27" t="s">
        <v>36</v>
      </c>
      <c r="C35" s="20"/>
      <c r="D35" s="20">
        <v>1379.35</v>
      </c>
      <c r="E35" s="20"/>
    </row>
    <row r="36" spans="1:5" x14ac:dyDescent="0.25">
      <c r="A36" s="20"/>
      <c r="B36" s="31" t="s">
        <v>35</v>
      </c>
      <c r="C36" s="20"/>
      <c r="D36" s="20">
        <v>0</v>
      </c>
      <c r="E36" s="20"/>
    </row>
    <row r="37" spans="1:5" x14ac:dyDescent="0.25">
      <c r="A37" s="20"/>
      <c r="B37" s="20" t="s">
        <v>38</v>
      </c>
      <c r="C37" s="20"/>
      <c r="D37" s="20">
        <v>3188.29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30330.51</v>
      </c>
      <c r="E38" s="26">
        <f>E39</f>
        <v>5915.0220399999998</v>
      </c>
    </row>
    <row r="39" spans="1:5" x14ac:dyDescent="0.25">
      <c r="A39" s="73"/>
      <c r="B39" s="31" t="s">
        <v>40</v>
      </c>
      <c r="C39" s="31"/>
      <c r="D39" s="33">
        <v>22576.42</v>
      </c>
      <c r="E39" s="28">
        <f>D39*26.2%</f>
        <v>5915.0220399999998</v>
      </c>
    </row>
    <row r="40" spans="1:5" x14ac:dyDescent="0.25">
      <c r="A40" s="73"/>
      <c r="B40" s="31" t="s">
        <v>41</v>
      </c>
      <c r="C40" s="20"/>
      <c r="D40" s="33">
        <v>7754.09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244305.69090000002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13523.062199999998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257828.7531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92</v>
      </c>
      <c r="B45" s="22" t="s">
        <v>45</v>
      </c>
      <c r="C45" s="20"/>
      <c r="D45" s="26">
        <f>D17-D43</f>
        <v>-32444.383100000006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-301040.51309999998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D7:E7"/>
    <mergeCell ref="D8:E8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40.5703125" customWidth="1"/>
    <col min="4" max="4" width="10.425781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165</v>
      </c>
    </row>
    <row r="5" spans="1:5" x14ac:dyDescent="0.25">
      <c r="B5" t="s">
        <v>85</v>
      </c>
    </row>
    <row r="6" spans="1:5" x14ac:dyDescent="0.25">
      <c r="A6" s="599"/>
      <c r="B6" s="599"/>
      <c r="C6" s="599"/>
      <c r="D6" s="430"/>
      <c r="E6" s="58"/>
    </row>
    <row r="7" spans="1:5" x14ac:dyDescent="0.25">
      <c r="A7" s="5"/>
      <c r="B7" s="5"/>
      <c r="C7" s="5"/>
      <c r="D7" s="417"/>
      <c r="E7" s="59"/>
    </row>
    <row r="8" spans="1:5" ht="15.75" x14ac:dyDescent="0.25">
      <c r="A8" s="5"/>
      <c r="B8" s="6" t="s">
        <v>3</v>
      </c>
      <c r="C8" s="7" t="s">
        <v>4</v>
      </c>
      <c r="D8" s="597" t="s">
        <v>5</v>
      </c>
      <c r="E8" s="598"/>
    </row>
    <row r="9" spans="1:5" ht="15.75" x14ac:dyDescent="0.25">
      <c r="A9" s="8"/>
      <c r="B9" s="6" t="s">
        <v>6</v>
      </c>
      <c r="C9" s="7" t="s">
        <v>7</v>
      </c>
      <c r="D9" s="595" t="s">
        <v>114</v>
      </c>
      <c r="E9" s="596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8</v>
      </c>
      <c r="C11" s="9"/>
      <c r="D11" s="10">
        <v>5450.12</v>
      </c>
      <c r="E11" s="11"/>
    </row>
    <row r="12" spans="1:5" x14ac:dyDescent="0.25">
      <c r="A12" s="13"/>
      <c r="B12" s="14" t="s">
        <v>9</v>
      </c>
      <c r="C12" s="13" t="s">
        <v>10</v>
      </c>
      <c r="D12" s="13">
        <v>1285.6199999999999</v>
      </c>
      <c r="E12" s="13"/>
    </row>
    <row r="13" spans="1:5" x14ac:dyDescent="0.25">
      <c r="A13" s="13"/>
      <c r="B13" s="14" t="s">
        <v>11</v>
      </c>
      <c r="C13" s="13" t="s">
        <v>10</v>
      </c>
      <c r="D13" s="13">
        <v>901.3</v>
      </c>
      <c r="E13" s="13"/>
    </row>
    <row r="14" spans="1:5" x14ac:dyDescent="0.25">
      <c r="A14" s="13"/>
      <c r="B14" s="15" t="s">
        <v>12</v>
      </c>
      <c r="C14" s="13" t="s">
        <v>13</v>
      </c>
      <c r="D14" s="19">
        <v>34664.1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3">
        <f>64266.93-33893.65</f>
        <v>30373.279999999999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17</v>
      </c>
      <c r="C19" s="13"/>
      <c r="D19" s="19">
        <f>D17</f>
        <v>30373.279999999999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2">
        <f>D23+D28</f>
        <v>16286.55</v>
      </c>
      <c r="E22" s="26">
        <f>E23</f>
        <v>4175.3813399999999</v>
      </c>
    </row>
    <row r="23" spans="1:5" x14ac:dyDescent="0.25">
      <c r="A23" s="20">
        <v>1</v>
      </c>
      <c r="B23" s="22" t="s">
        <v>22</v>
      </c>
      <c r="C23" s="27" t="s">
        <v>13</v>
      </c>
      <c r="D23" s="22">
        <f>D24+D27</f>
        <v>15936.57</v>
      </c>
      <c r="E23" s="26">
        <f>E24+E27</f>
        <v>4175.3813399999999</v>
      </c>
    </row>
    <row r="24" spans="1:5" x14ac:dyDescent="0.25">
      <c r="A24" s="20"/>
      <c r="B24" s="20" t="s">
        <v>23</v>
      </c>
      <c r="C24" s="20"/>
      <c r="D24" s="20">
        <v>9507.23</v>
      </c>
      <c r="E24" s="28">
        <f>D24*26.2%</f>
        <v>2490.89426</v>
      </c>
    </row>
    <row r="25" spans="1:5" x14ac:dyDescent="0.25">
      <c r="A25" s="20"/>
      <c r="B25" s="20" t="s">
        <v>24</v>
      </c>
      <c r="C25" s="20"/>
      <c r="D25" s="29">
        <v>0</v>
      </c>
      <c r="E25" s="28">
        <f>D25*26.2%</f>
        <v>0</v>
      </c>
    </row>
    <row r="26" spans="1:5" x14ac:dyDescent="0.25">
      <c r="A26" s="20"/>
      <c r="B26" s="20" t="s">
        <v>25</v>
      </c>
      <c r="C26" s="20"/>
      <c r="D26" s="20">
        <v>0</v>
      </c>
      <c r="E26" s="28">
        <f>D26*26.2%</f>
        <v>0</v>
      </c>
    </row>
    <row r="27" spans="1:5" x14ac:dyDescent="0.25">
      <c r="A27" s="20"/>
      <c r="B27" s="27" t="s">
        <v>81</v>
      </c>
      <c r="C27" s="20"/>
      <c r="D27" s="20">
        <v>6429.34</v>
      </c>
      <c r="E27" s="28">
        <f>D27*26.2%</f>
        <v>1684.4870800000001</v>
      </c>
    </row>
    <row r="28" spans="1:5" x14ac:dyDescent="0.25">
      <c r="A28" s="20">
        <v>2</v>
      </c>
      <c r="B28" s="27" t="s">
        <v>26</v>
      </c>
      <c r="C28" s="20"/>
      <c r="D28" s="20">
        <v>349.98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8728.66</v>
      </c>
      <c r="E29" s="26">
        <f>E30</f>
        <v>2206.2260200000001</v>
      </c>
    </row>
    <row r="30" spans="1:5" x14ac:dyDescent="0.25">
      <c r="A30" s="20">
        <v>1</v>
      </c>
      <c r="B30" s="31" t="s">
        <v>103</v>
      </c>
      <c r="C30" s="20"/>
      <c r="D30" s="31">
        <v>8420.7099999999991</v>
      </c>
      <c r="E30" s="28">
        <f>D30*26.2%</f>
        <v>2206.2260200000001</v>
      </c>
    </row>
    <row r="31" spans="1:5" x14ac:dyDescent="0.25">
      <c r="A31" s="20">
        <v>2</v>
      </c>
      <c r="B31" s="31" t="s">
        <v>26</v>
      </c>
      <c r="C31" s="20"/>
      <c r="D31" s="31">
        <v>307.95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D33+D34+D35+D36+D37</f>
        <v>3840.3940000000002</v>
      </c>
      <c r="E32" s="20"/>
    </row>
    <row r="33" spans="1:5" x14ac:dyDescent="0.25">
      <c r="A33" s="20"/>
      <c r="B33" s="20" t="s">
        <v>32</v>
      </c>
      <c r="C33" s="20"/>
      <c r="D33" s="28">
        <f>D19*5%</f>
        <v>1518.664</v>
      </c>
      <c r="E33" s="20"/>
    </row>
    <row r="34" spans="1:5" x14ac:dyDescent="0.25">
      <c r="A34" s="20"/>
      <c r="B34" s="31" t="s">
        <v>34</v>
      </c>
      <c r="C34" s="20"/>
      <c r="D34" s="28">
        <v>1495.94</v>
      </c>
      <c r="E34" s="20"/>
    </row>
    <row r="35" spans="1:5" x14ac:dyDescent="0.25">
      <c r="A35" s="20"/>
      <c r="B35" s="27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249.37</v>
      </c>
      <c r="E36" s="20"/>
    </row>
    <row r="37" spans="1:5" x14ac:dyDescent="0.25">
      <c r="A37" s="20"/>
      <c r="B37" s="31" t="s">
        <v>38</v>
      </c>
      <c r="C37" s="20"/>
      <c r="D37" s="20">
        <v>576.41999999999996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5483.5</v>
      </c>
      <c r="E38" s="26">
        <f>E39</f>
        <v>1069.38706</v>
      </c>
    </row>
    <row r="39" spans="1:5" x14ac:dyDescent="0.25">
      <c r="A39" s="73"/>
      <c r="B39" s="31" t="s">
        <v>40</v>
      </c>
      <c r="C39" s="31"/>
      <c r="D39" s="33">
        <v>4081.63</v>
      </c>
      <c r="E39" s="28">
        <f>D39*26.2%</f>
        <v>1069.38706</v>
      </c>
    </row>
    <row r="40" spans="1:5" x14ac:dyDescent="0.25">
      <c r="A40" s="73"/>
      <c r="B40" s="31" t="s">
        <v>41</v>
      </c>
      <c r="C40" s="20"/>
      <c r="D40" s="33">
        <v>1401.87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D22+E22+D29+E29+D32+D38</f>
        <v>40720.711360000001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D19*6%</f>
        <v>1822.3967999999998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42543.108160000003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166</v>
      </c>
      <c r="C45" s="20"/>
      <c r="D45" s="26">
        <f>D19-D43</f>
        <v>-12169.828160000005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D11+D45</f>
        <v>-6719.7081600000047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1" max="1" width="8.28515625" customWidth="1"/>
    <col min="2" max="2" width="40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167</v>
      </c>
    </row>
    <row r="5" spans="1:5" x14ac:dyDescent="0.25">
      <c r="B5" t="s">
        <v>2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9"/>
      <c r="B8" s="12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-3952.92</v>
      </c>
      <c r="E9" s="11"/>
    </row>
    <row r="10" spans="1:5" x14ac:dyDescent="0.25">
      <c r="A10" s="13"/>
      <c r="B10" s="14" t="s">
        <v>9</v>
      </c>
      <c r="C10" s="13" t="s">
        <v>10</v>
      </c>
      <c r="D10" s="17">
        <v>4710.8999999999996</v>
      </c>
      <c r="E10" s="13"/>
    </row>
    <row r="11" spans="1:5" x14ac:dyDescent="0.25">
      <c r="A11" s="13"/>
      <c r="B11" s="14" t="s">
        <v>11</v>
      </c>
      <c r="C11" s="13" t="s">
        <v>10</v>
      </c>
      <c r="D11" s="17">
        <v>2911.8</v>
      </c>
      <c r="E11" s="13"/>
    </row>
    <row r="12" spans="1:5" x14ac:dyDescent="0.25">
      <c r="A12" s="13"/>
      <c r="B12" s="15" t="s">
        <v>12</v>
      </c>
      <c r="C12" s="13" t="s">
        <v>13</v>
      </c>
      <c r="D12" s="18">
        <v>111987.9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217208.9-96919.24</f>
        <v>120289.65999999999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120289.65999999999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16838.27</v>
      </c>
      <c r="E20" s="26">
        <f>E21</f>
        <v>4115.3885800000007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15707.59</v>
      </c>
      <c r="E21" s="26">
        <f>E22+E25</f>
        <v>4115.3885800000007</v>
      </c>
    </row>
    <row r="22" spans="1:5" x14ac:dyDescent="0.25">
      <c r="A22" s="20"/>
      <c r="B22" s="20" t="s">
        <v>23</v>
      </c>
      <c r="C22" s="20"/>
      <c r="D22" s="20">
        <v>14627.7</v>
      </c>
      <c r="E22" s="28">
        <f>D22*26.2%</f>
        <v>3832.4574000000002</v>
      </c>
    </row>
    <row r="23" spans="1:5" x14ac:dyDescent="0.25">
      <c r="A23" s="20"/>
      <c r="B23" s="20" t="s">
        <v>24</v>
      </c>
      <c r="C23" s="20"/>
      <c r="D23" s="29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20">
        <v>0</v>
      </c>
      <c r="E24" s="28">
        <f>D24*26.2%</f>
        <v>0</v>
      </c>
    </row>
    <row r="25" spans="1:5" x14ac:dyDescent="0.25">
      <c r="A25" s="20"/>
      <c r="B25" s="31" t="s">
        <v>81</v>
      </c>
      <c r="C25" s="20"/>
      <c r="D25" s="20">
        <v>1079.8900000000001</v>
      </c>
      <c r="E25" s="28">
        <f>D25*26.2%</f>
        <v>282.93118000000004</v>
      </c>
    </row>
    <row r="26" spans="1:5" x14ac:dyDescent="0.25">
      <c r="A26" s="20">
        <v>2</v>
      </c>
      <c r="B26" s="27" t="s">
        <v>26</v>
      </c>
      <c r="C26" s="20"/>
      <c r="D26" s="20">
        <v>1130.68</v>
      </c>
      <c r="E26" s="28"/>
    </row>
    <row r="27" spans="1:5" x14ac:dyDescent="0.25">
      <c r="A27" s="24" t="s">
        <v>27</v>
      </c>
      <c r="B27" s="30" t="s">
        <v>28</v>
      </c>
      <c r="C27" s="20"/>
      <c r="D27" s="26">
        <f>D28+D29+D30</f>
        <v>38702.649999999994</v>
      </c>
      <c r="E27" s="26">
        <f>E28</f>
        <v>7127.5816199999999</v>
      </c>
    </row>
    <row r="28" spans="1:5" x14ac:dyDescent="0.25">
      <c r="A28" s="20">
        <v>1</v>
      </c>
      <c r="B28" s="31" t="s">
        <v>29</v>
      </c>
      <c r="C28" s="20"/>
      <c r="D28" s="31">
        <v>27204.51</v>
      </c>
      <c r="E28" s="28">
        <f>D28*26.2%</f>
        <v>7127.5816199999999</v>
      </c>
    </row>
    <row r="29" spans="1:5" x14ac:dyDescent="0.25">
      <c r="A29" s="20">
        <v>2</v>
      </c>
      <c r="B29" s="31" t="s">
        <v>26</v>
      </c>
      <c r="C29" s="20"/>
      <c r="D29" s="31">
        <v>9607.94</v>
      </c>
      <c r="E29" s="28"/>
    </row>
    <row r="30" spans="1:5" x14ac:dyDescent="0.25">
      <c r="A30" s="20">
        <v>3</v>
      </c>
      <c r="B30" s="31" t="s">
        <v>86</v>
      </c>
      <c r="C30" s="20"/>
      <c r="D30" s="33">
        <v>1890.2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24662.352999999999</v>
      </c>
      <c r="E31" s="20"/>
    </row>
    <row r="32" spans="1:5" x14ac:dyDescent="0.25">
      <c r="A32" s="20"/>
      <c r="B32" s="20" t="s">
        <v>32</v>
      </c>
      <c r="C32" s="20"/>
      <c r="D32" s="28">
        <f>D17*5%</f>
        <v>6014.4830000000002</v>
      </c>
      <c r="E32" s="20"/>
    </row>
    <row r="33" spans="1:5" x14ac:dyDescent="0.25">
      <c r="A33" s="20"/>
      <c r="B33" s="20" t="s">
        <v>61</v>
      </c>
      <c r="C33" s="20"/>
      <c r="D33" s="20">
        <f>6.5+9.86</f>
        <v>16.36</v>
      </c>
      <c r="E33" s="20"/>
    </row>
    <row r="34" spans="1:5" x14ac:dyDescent="0.25">
      <c r="A34" s="20"/>
      <c r="B34" s="20" t="s">
        <v>34</v>
      </c>
      <c r="C34" s="20"/>
      <c r="D34" s="28">
        <v>4832.88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805.65</v>
      </c>
      <c r="E36" s="20"/>
    </row>
    <row r="37" spans="1:5" x14ac:dyDescent="0.25">
      <c r="A37" s="20"/>
      <c r="B37" s="27" t="s">
        <v>66</v>
      </c>
      <c r="C37" s="20"/>
      <c r="D37" s="20">
        <v>11130.77</v>
      </c>
      <c r="E37" s="20"/>
    </row>
    <row r="38" spans="1:5" x14ac:dyDescent="0.25">
      <c r="A38" s="20"/>
      <c r="B38" s="31" t="s">
        <v>38</v>
      </c>
      <c r="C38" s="20"/>
      <c r="D38" s="20">
        <v>1862.21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17715.260000000002</v>
      </c>
      <c r="E39" s="26">
        <f>E40</f>
        <v>3454.8027400000001</v>
      </c>
    </row>
    <row r="40" spans="1:5" x14ac:dyDescent="0.25">
      <c r="A40" s="73"/>
      <c r="B40" s="31" t="s">
        <v>40</v>
      </c>
      <c r="C40" s="31"/>
      <c r="D40" s="33">
        <v>13186.27</v>
      </c>
      <c r="E40" s="28">
        <f>D40*26.2%</f>
        <v>3454.8027400000001</v>
      </c>
    </row>
    <row r="41" spans="1:5" x14ac:dyDescent="0.25">
      <c r="A41" s="73"/>
      <c r="B41" s="20" t="s">
        <v>41</v>
      </c>
      <c r="C41" s="20"/>
      <c r="D41" s="33">
        <v>4528.99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D20+E20+D27+E27+D31+D39+E39</f>
        <v>112616.30594000001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7217.3795999999993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119833.68554000001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455.97445999998308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-3496.945540000017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47</v>
      </c>
      <c r="D49" t="s">
        <v>48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1" max="1" width="7.85546875" customWidth="1"/>
    <col min="2" max="2" width="41.28515625" customWidth="1"/>
    <col min="4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168</v>
      </c>
    </row>
    <row r="5" spans="1:5" x14ac:dyDescent="0.25">
      <c r="A5" s="599"/>
      <c r="B5" s="599"/>
      <c r="C5" s="599"/>
      <c r="D5" s="430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-4806.97</v>
      </c>
      <c r="E10" s="11"/>
    </row>
    <row r="11" spans="1:5" x14ac:dyDescent="0.25">
      <c r="A11" s="13"/>
      <c r="B11" s="14" t="s">
        <v>9</v>
      </c>
      <c r="C11" s="13" t="s">
        <v>10</v>
      </c>
      <c r="D11" s="17">
        <v>1084.9000000000001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604.88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23925.360000000001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f>47445.07-21183.54</f>
        <v>26261.53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26261.53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15534.799999999997</v>
      </c>
      <c r="E21" s="26">
        <f>E22</f>
        <v>4008.5790400000001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15299.919999999998</v>
      </c>
      <c r="E22" s="26">
        <f>E23+E26</f>
        <v>4008.5790400000001</v>
      </c>
    </row>
    <row r="23" spans="1:5" x14ac:dyDescent="0.25">
      <c r="A23" s="20"/>
      <c r="B23" s="20" t="s">
        <v>23</v>
      </c>
      <c r="C23" s="20"/>
      <c r="D23" s="20">
        <v>9507.23</v>
      </c>
      <c r="E23" s="28">
        <f>D23*26.2%</f>
        <v>2490.89426</v>
      </c>
    </row>
    <row r="24" spans="1:5" x14ac:dyDescent="0.25">
      <c r="A24" s="20"/>
      <c r="B24" s="20" t="s">
        <v>24</v>
      </c>
      <c r="C24" s="20"/>
      <c r="D24" s="29">
        <v>0</v>
      </c>
      <c r="E24" s="28">
        <f>D24*26.2%</f>
        <v>0</v>
      </c>
    </row>
    <row r="25" spans="1:5" x14ac:dyDescent="0.25">
      <c r="A25" s="20"/>
      <c r="B25" s="20" t="s">
        <v>25</v>
      </c>
      <c r="C25" s="20"/>
      <c r="D25" s="29">
        <v>0</v>
      </c>
      <c r="E25" s="28">
        <f>D25*26.2%</f>
        <v>0</v>
      </c>
    </row>
    <row r="26" spans="1:5" x14ac:dyDescent="0.25">
      <c r="A26" s="20"/>
      <c r="B26" s="27" t="s">
        <v>81</v>
      </c>
      <c r="C26" s="13"/>
      <c r="D26" s="13">
        <v>5792.69</v>
      </c>
      <c r="E26" s="28">
        <f>D26*26.2%</f>
        <v>1517.68478</v>
      </c>
    </row>
    <row r="27" spans="1:5" x14ac:dyDescent="0.25">
      <c r="A27" s="20">
        <v>2</v>
      </c>
      <c r="B27" s="27" t="s">
        <v>26</v>
      </c>
      <c r="C27" s="20"/>
      <c r="D27" s="20">
        <v>234.88</v>
      </c>
      <c r="E27" s="28"/>
    </row>
    <row r="28" spans="1:5" x14ac:dyDescent="0.25">
      <c r="A28" s="24" t="s">
        <v>27</v>
      </c>
      <c r="B28" s="30" t="s">
        <v>28</v>
      </c>
      <c r="C28" s="31" t="s">
        <v>13</v>
      </c>
      <c r="D28" s="22">
        <f>D29+D30</f>
        <v>5790.8</v>
      </c>
      <c r="E28" s="26">
        <f>E29</f>
        <v>1480.6406000000002</v>
      </c>
    </row>
    <row r="29" spans="1:5" x14ac:dyDescent="0.25">
      <c r="A29" s="20">
        <v>1</v>
      </c>
      <c r="B29" s="31" t="s">
        <v>29</v>
      </c>
      <c r="C29" s="20"/>
      <c r="D29" s="31">
        <v>5651.3</v>
      </c>
      <c r="E29" s="28">
        <f>D29*26.2%</f>
        <v>1480.6406000000002</v>
      </c>
    </row>
    <row r="30" spans="1:5" x14ac:dyDescent="0.25">
      <c r="A30" s="20">
        <v>2</v>
      </c>
      <c r="B30" s="31" t="s">
        <v>26</v>
      </c>
      <c r="C30" s="20"/>
      <c r="D30" s="31">
        <v>139.5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2999.8465000000001</v>
      </c>
      <c r="E31" s="20"/>
    </row>
    <row r="32" spans="1:5" x14ac:dyDescent="0.25">
      <c r="A32" s="20"/>
      <c r="B32" s="20" t="s">
        <v>32</v>
      </c>
      <c r="C32" s="20"/>
      <c r="D32" s="28">
        <f>D18*5%</f>
        <v>1313.0765000000001</v>
      </c>
      <c r="E32" s="20"/>
    </row>
    <row r="33" spans="1:5" x14ac:dyDescent="0.25">
      <c r="A33" s="20"/>
      <c r="B33" s="20" t="s">
        <v>61</v>
      </c>
      <c r="C33" s="20"/>
      <c r="D33" s="20">
        <f>65.07+63.55</f>
        <v>128.62</v>
      </c>
      <c r="E33" s="20"/>
    </row>
    <row r="34" spans="1:5" x14ac:dyDescent="0.25">
      <c r="A34" s="20"/>
      <c r="B34" s="20" t="s">
        <v>34</v>
      </c>
      <c r="C34" s="20"/>
      <c r="D34" s="33">
        <v>1003.95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167.36</v>
      </c>
      <c r="E36" s="20"/>
    </row>
    <row r="37" spans="1:5" x14ac:dyDescent="0.25">
      <c r="A37" s="20"/>
      <c r="B37" s="31" t="s">
        <v>38</v>
      </c>
      <c r="C37" s="20"/>
      <c r="D37" s="20">
        <v>386.84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3680.09</v>
      </c>
      <c r="E38" s="26">
        <f>E39</f>
        <v>717.68612000000007</v>
      </c>
    </row>
    <row r="39" spans="1:5" x14ac:dyDescent="0.25">
      <c r="A39" s="73"/>
      <c r="B39" s="31" t="s">
        <v>40</v>
      </c>
      <c r="C39" s="31"/>
      <c r="D39" s="33">
        <v>2739.26</v>
      </c>
      <c r="E39" s="28">
        <f>D39*26.2%</f>
        <v>717.68612000000007</v>
      </c>
    </row>
    <row r="40" spans="1:5" x14ac:dyDescent="0.25">
      <c r="A40" s="73"/>
      <c r="B40" s="20" t="s">
        <v>41</v>
      </c>
      <c r="C40" s="20"/>
      <c r="D40" s="33">
        <v>940.83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D21+E21+D28+E28+D31+D38+E38</f>
        <v>34212.442259999996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1575.6917999999998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35788.134059999997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-9526.6040599999978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-14333.574059999999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416" t="s">
        <v>84</v>
      </c>
      <c r="C49" s="416"/>
      <c r="D49" s="418" t="s">
        <v>87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I43" sqref="I43"/>
    </sheetView>
  </sheetViews>
  <sheetFormatPr defaultRowHeight="15" x14ac:dyDescent="0.25"/>
  <cols>
    <col min="2" max="2" width="41.28515625" customWidth="1"/>
    <col min="4" max="4" width="10.57031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78</v>
      </c>
    </row>
    <row r="4" spans="1:5" x14ac:dyDescent="0.25">
      <c r="B4" t="s">
        <v>169</v>
      </c>
    </row>
    <row r="5" spans="1:5" x14ac:dyDescent="0.25">
      <c r="B5" t="s">
        <v>88</v>
      </c>
    </row>
    <row r="6" spans="1:5" x14ac:dyDescent="0.25">
      <c r="A6" s="599"/>
      <c r="B6" s="599"/>
      <c r="C6" s="599"/>
      <c r="D6" s="430"/>
      <c r="E6" s="58"/>
    </row>
    <row r="7" spans="1:5" x14ac:dyDescent="0.25">
      <c r="A7" s="5"/>
      <c r="B7" s="5"/>
      <c r="C7" s="5"/>
      <c r="D7" s="3"/>
      <c r="E7" s="59"/>
    </row>
    <row r="8" spans="1:5" ht="15.75" x14ac:dyDescent="0.25">
      <c r="A8" s="5"/>
      <c r="B8" s="6" t="s">
        <v>3</v>
      </c>
      <c r="C8" s="7" t="s">
        <v>4</v>
      </c>
      <c r="D8" s="597" t="s">
        <v>5</v>
      </c>
      <c r="E8" s="598"/>
    </row>
    <row r="9" spans="1:5" ht="15.75" x14ac:dyDescent="0.25">
      <c r="A9" s="8"/>
      <c r="B9" s="6" t="s">
        <v>6</v>
      </c>
      <c r="C9" s="7" t="s">
        <v>7</v>
      </c>
      <c r="D9" s="595" t="s">
        <v>116</v>
      </c>
      <c r="E9" s="596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8</v>
      </c>
      <c r="C11" s="9"/>
      <c r="D11" s="10">
        <v>964.48</v>
      </c>
      <c r="E11" s="11"/>
    </row>
    <row r="12" spans="1:5" x14ac:dyDescent="0.25">
      <c r="A12" s="13"/>
      <c r="B12" s="14" t="s">
        <v>9</v>
      </c>
      <c r="C12" s="13" t="s">
        <v>10</v>
      </c>
      <c r="D12" s="13">
        <v>760.9</v>
      </c>
      <c r="E12" s="13"/>
    </row>
    <row r="13" spans="1:5" x14ac:dyDescent="0.25">
      <c r="A13" s="13"/>
      <c r="B13" s="14" t="s">
        <v>11</v>
      </c>
      <c r="C13" s="13" t="s">
        <v>10</v>
      </c>
      <c r="D13" s="13">
        <v>434.8</v>
      </c>
      <c r="E13" s="13"/>
    </row>
    <row r="14" spans="1:5" x14ac:dyDescent="0.25">
      <c r="A14" s="13"/>
      <c r="B14" s="15" t="s">
        <v>12</v>
      </c>
      <c r="C14" s="13" t="s">
        <v>13</v>
      </c>
      <c r="D14" s="19">
        <v>14091.72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3">
        <f>26160.9-12734.36</f>
        <v>13426.54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17</v>
      </c>
      <c r="C19" s="13"/>
      <c r="D19" s="19">
        <f>D17</f>
        <v>13426.54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2">
        <f>D23+D28</f>
        <v>3600.5299999999997</v>
      </c>
      <c r="E22" s="26">
        <f>E23</f>
        <v>899.10277999999994</v>
      </c>
    </row>
    <row r="23" spans="1:5" x14ac:dyDescent="0.25">
      <c r="A23" s="20">
        <v>1</v>
      </c>
      <c r="B23" s="22" t="s">
        <v>22</v>
      </c>
      <c r="C23" s="27" t="s">
        <v>13</v>
      </c>
      <c r="D23" s="22">
        <f>D24+D27</f>
        <v>3431.6899999999996</v>
      </c>
      <c r="E23" s="26">
        <f>E24+E27</f>
        <v>899.10277999999994</v>
      </c>
    </row>
    <row r="24" spans="1:5" x14ac:dyDescent="0.25">
      <c r="A24" s="20"/>
      <c r="B24" s="20" t="s">
        <v>23</v>
      </c>
      <c r="C24" s="20"/>
      <c r="D24" s="20">
        <v>1950.36</v>
      </c>
      <c r="E24" s="28">
        <f>D24*26.2%</f>
        <v>510.99432000000002</v>
      </c>
    </row>
    <row r="25" spans="1:5" x14ac:dyDescent="0.25">
      <c r="A25" s="20"/>
      <c r="B25" s="20" t="s">
        <v>24</v>
      </c>
      <c r="C25" s="20"/>
      <c r="D25" s="29">
        <v>0</v>
      </c>
      <c r="E25" s="28"/>
    </row>
    <row r="26" spans="1:5" x14ac:dyDescent="0.25">
      <c r="A26" s="20"/>
      <c r="B26" s="20" t="s">
        <v>25</v>
      </c>
      <c r="C26" s="20"/>
      <c r="D26" s="29">
        <v>0</v>
      </c>
      <c r="E26" s="28"/>
    </row>
    <row r="27" spans="1:5" x14ac:dyDescent="0.25">
      <c r="A27" s="20"/>
      <c r="B27" s="27" t="s">
        <v>81</v>
      </c>
      <c r="C27" s="13"/>
      <c r="D27" s="13">
        <v>1481.33</v>
      </c>
      <c r="E27" s="28">
        <f>D27*26.2%</f>
        <v>388.10845999999998</v>
      </c>
    </row>
    <row r="28" spans="1:5" x14ac:dyDescent="0.25">
      <c r="A28" s="20">
        <v>2</v>
      </c>
      <c r="B28" s="27" t="s">
        <v>26</v>
      </c>
      <c r="C28" s="20"/>
      <c r="D28" s="20">
        <v>168.84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5131.32</v>
      </c>
      <c r="E29" s="26">
        <f>E30</f>
        <v>1064.31474</v>
      </c>
    </row>
    <row r="30" spans="1:5" x14ac:dyDescent="0.25">
      <c r="A30" s="20">
        <v>1</v>
      </c>
      <c r="B30" s="31" t="s">
        <v>29</v>
      </c>
      <c r="C30" s="20"/>
      <c r="D30" s="31">
        <v>4062.27</v>
      </c>
      <c r="E30" s="28">
        <f>D30*26.2%</f>
        <v>1064.31474</v>
      </c>
    </row>
    <row r="31" spans="1:5" x14ac:dyDescent="0.25">
      <c r="A31" s="20">
        <v>2</v>
      </c>
      <c r="B31" s="31" t="s">
        <v>26</v>
      </c>
      <c r="C31" s="20"/>
      <c r="D31" s="31">
        <v>1069.05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D33+D34+D35+D36+D37+D38</f>
        <v>1830.4069999999999</v>
      </c>
      <c r="E32" s="20"/>
    </row>
    <row r="33" spans="1:5" x14ac:dyDescent="0.25">
      <c r="A33" s="20"/>
      <c r="B33" s="20" t="s">
        <v>32</v>
      </c>
      <c r="C33" s="20"/>
      <c r="D33" s="28">
        <f>D19*5%</f>
        <v>671.32700000000011</v>
      </c>
      <c r="E33" s="20"/>
    </row>
    <row r="34" spans="1:5" x14ac:dyDescent="0.25">
      <c r="A34" s="20"/>
      <c r="B34" s="20" t="s">
        <v>61</v>
      </c>
      <c r="C34" s="20"/>
      <c r="D34" s="20">
        <f>15.52+23.53</f>
        <v>39.049999999999997</v>
      </c>
      <c r="E34" s="20"/>
    </row>
    <row r="35" spans="1:5" x14ac:dyDescent="0.25">
      <c r="A35" s="20"/>
      <c r="B35" s="20" t="s">
        <v>34</v>
      </c>
      <c r="C35" s="20"/>
      <c r="D35" s="28">
        <v>721.66</v>
      </c>
      <c r="E35" s="20"/>
    </row>
    <row r="36" spans="1:5" x14ac:dyDescent="0.25">
      <c r="A36" s="20"/>
      <c r="B36" s="31" t="s">
        <v>35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120.3</v>
      </c>
      <c r="E37" s="20"/>
    </row>
    <row r="38" spans="1:5" x14ac:dyDescent="0.25">
      <c r="A38" s="20"/>
      <c r="B38" s="31" t="s">
        <v>38</v>
      </c>
      <c r="C38" s="20"/>
      <c r="D38" s="20">
        <v>278.07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2645.31</v>
      </c>
      <c r="E39" s="26">
        <f>E40</f>
        <v>515.88585999999998</v>
      </c>
    </row>
    <row r="40" spans="1:5" x14ac:dyDescent="0.25">
      <c r="A40" s="73"/>
      <c r="B40" s="31" t="s">
        <v>40</v>
      </c>
      <c r="C40" s="31"/>
      <c r="D40" s="33">
        <v>1969.03</v>
      </c>
      <c r="E40" s="28">
        <f>D40*26.2%</f>
        <v>515.88585999999998</v>
      </c>
    </row>
    <row r="41" spans="1:5" x14ac:dyDescent="0.25">
      <c r="A41" s="73"/>
      <c r="B41" s="20" t="s">
        <v>41</v>
      </c>
      <c r="C41" s="20"/>
      <c r="D41" s="33">
        <v>676.28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D22+E22+D29+E29+D32+D39+E39</f>
        <v>15686.870379999998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D19*6%</f>
        <v>805.5924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16492.462779999998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D19-D44</f>
        <v>-3065.9227799999971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D11+D46</f>
        <v>-2101.4427799999971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600" t="s">
        <v>47</v>
      </c>
      <c r="B49" s="600"/>
      <c r="C49" s="416" t="s">
        <v>87</v>
      </c>
      <c r="D49" s="36"/>
      <c r="E49" s="34"/>
    </row>
    <row r="50" spans="1:5" x14ac:dyDescent="0.25">
      <c r="A50" s="37" t="s">
        <v>49</v>
      </c>
      <c r="B50" s="37"/>
      <c r="C50" s="37" t="s">
        <v>50</v>
      </c>
      <c r="D50" s="37"/>
    </row>
  </sheetData>
  <mergeCells count="4">
    <mergeCell ref="A6:C6"/>
    <mergeCell ref="D8:E8"/>
    <mergeCell ref="D9:E9"/>
    <mergeCell ref="A49:B4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38" sqref="A38:A46"/>
    </sheetView>
  </sheetViews>
  <sheetFormatPr defaultRowHeight="15" x14ac:dyDescent="0.25"/>
  <cols>
    <col min="2" max="2" width="41.7109375" customWidth="1"/>
    <col min="4" max="4" width="10.28515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170</v>
      </c>
    </row>
    <row r="5" spans="1:5" x14ac:dyDescent="0.25">
      <c r="A5" s="599"/>
      <c r="B5" s="599"/>
      <c r="C5" s="599"/>
      <c r="D5" s="430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22606.99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1079.25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613.1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23579.88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46260.88-21979.44</f>
        <v>24281.439999999999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24281.439999999999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7379.71</v>
      </c>
      <c r="E20" s="26">
        <f>E21</f>
        <v>1871.10968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7141.64</v>
      </c>
      <c r="E21" s="26">
        <f>E22+E25</f>
        <v>1871.10968</v>
      </c>
    </row>
    <row r="22" spans="1:5" x14ac:dyDescent="0.25">
      <c r="A22" s="20"/>
      <c r="B22" s="20" t="s">
        <v>23</v>
      </c>
      <c r="C22" s="20"/>
      <c r="D22" s="20">
        <v>5704.56</v>
      </c>
      <c r="E22" s="28">
        <f>D22*26.2%</f>
        <v>1494.5947200000001</v>
      </c>
    </row>
    <row r="23" spans="1:5" x14ac:dyDescent="0.25">
      <c r="A23" s="20"/>
      <c r="B23" s="20" t="s">
        <v>24</v>
      </c>
      <c r="C23" s="20"/>
      <c r="D23" s="29">
        <v>0</v>
      </c>
      <c r="E23" s="28">
        <f>D23*26.2%</f>
        <v>0</v>
      </c>
    </row>
    <row r="24" spans="1:5" x14ac:dyDescent="0.25">
      <c r="A24" s="20"/>
      <c r="B24" s="20" t="s">
        <v>25</v>
      </c>
      <c r="C24" s="13"/>
      <c r="D24" s="13">
        <v>0</v>
      </c>
      <c r="E24" s="28">
        <f>D24*26.2%</f>
        <v>0</v>
      </c>
    </row>
    <row r="25" spans="1:5" x14ac:dyDescent="0.25">
      <c r="A25" s="20"/>
      <c r="B25" s="27" t="s">
        <v>81</v>
      </c>
      <c r="C25" s="13"/>
      <c r="D25" s="13">
        <v>1437.08</v>
      </c>
      <c r="E25" s="28">
        <f>D25*26.2%</f>
        <v>376.51495999999997</v>
      </c>
    </row>
    <row r="26" spans="1:5" x14ac:dyDescent="0.25">
      <c r="A26" s="20">
        <v>2</v>
      </c>
      <c r="B26" s="27" t="s">
        <v>26</v>
      </c>
      <c r="C26" s="20"/>
      <c r="D26" s="20">
        <v>238.07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5869.5</v>
      </c>
      <c r="E27" s="26">
        <f>E28</f>
        <v>1500.7622000000001</v>
      </c>
    </row>
    <row r="28" spans="1:5" x14ac:dyDescent="0.25">
      <c r="A28" s="20">
        <v>1</v>
      </c>
      <c r="B28" s="31" t="s">
        <v>29</v>
      </c>
      <c r="C28" s="20"/>
      <c r="D28" s="31">
        <v>5728.1</v>
      </c>
      <c r="E28" s="28">
        <f>D28*26.2%</f>
        <v>1500.7622000000001</v>
      </c>
    </row>
    <row r="29" spans="1:5" x14ac:dyDescent="0.25">
      <c r="A29" s="20">
        <v>2</v>
      </c>
      <c r="B29" s="31" t="s">
        <v>26</v>
      </c>
      <c r="C29" s="20"/>
      <c r="D29" s="31">
        <v>141.4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2847.4519999999998</v>
      </c>
      <c r="E30" s="20"/>
    </row>
    <row r="31" spans="1:5" x14ac:dyDescent="0.25">
      <c r="A31" s="20"/>
      <c r="B31" s="20" t="s">
        <v>32</v>
      </c>
      <c r="C31" s="20"/>
      <c r="D31" s="28">
        <f>D17*5%</f>
        <v>1214.0719999999999</v>
      </c>
      <c r="E31" s="20"/>
    </row>
    <row r="32" spans="1:5" x14ac:dyDescent="0.25">
      <c r="A32" s="20"/>
      <c r="B32" s="20" t="s">
        <v>61</v>
      </c>
      <c r="C32" s="20"/>
      <c r="D32" s="20">
        <f>27.35+26.7</f>
        <v>54.05</v>
      </c>
      <c r="E32" s="20"/>
    </row>
    <row r="33" spans="1:5" x14ac:dyDescent="0.25">
      <c r="A33" s="20"/>
      <c r="B33" s="20" t="s">
        <v>34</v>
      </c>
      <c r="C33" s="20"/>
      <c r="D33" s="28">
        <v>1017.6</v>
      </c>
      <c r="E33" s="20"/>
    </row>
    <row r="34" spans="1:5" x14ac:dyDescent="0.25">
      <c r="A34" s="20"/>
      <c r="B34" s="31" t="s">
        <v>35</v>
      </c>
      <c r="C34" s="20"/>
      <c r="D34" s="20">
        <v>0</v>
      </c>
      <c r="E34" s="20"/>
    </row>
    <row r="35" spans="1:5" x14ac:dyDescent="0.25">
      <c r="A35" s="20"/>
      <c r="B35" s="27" t="s">
        <v>36</v>
      </c>
      <c r="C35" s="20"/>
      <c r="D35" s="20">
        <v>169.63</v>
      </c>
      <c r="E35" s="20"/>
    </row>
    <row r="36" spans="1:5" x14ac:dyDescent="0.25">
      <c r="A36" s="20"/>
      <c r="B36" s="27" t="s">
        <v>66</v>
      </c>
      <c r="C36" s="20"/>
      <c r="D36" s="20">
        <v>0</v>
      </c>
      <c r="E36" s="20"/>
    </row>
    <row r="37" spans="1:5" x14ac:dyDescent="0.25">
      <c r="A37" s="20"/>
      <c r="B37" s="31" t="s">
        <v>38</v>
      </c>
      <c r="C37" s="20"/>
      <c r="D37" s="20">
        <v>392.1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3730.09</v>
      </c>
      <c r="E38" s="26">
        <f>E39</f>
        <v>727.43776000000003</v>
      </c>
    </row>
    <row r="39" spans="1:5" x14ac:dyDescent="0.25">
      <c r="A39" s="73"/>
      <c r="B39" s="31" t="s">
        <v>40</v>
      </c>
      <c r="C39" s="31"/>
      <c r="D39" s="33">
        <v>2776.48</v>
      </c>
      <c r="E39" s="28">
        <f>D39*26.2%</f>
        <v>727.43776000000003</v>
      </c>
    </row>
    <row r="40" spans="1:5" x14ac:dyDescent="0.25">
      <c r="A40" s="73"/>
      <c r="B40" s="20" t="s">
        <v>41</v>
      </c>
      <c r="C40" s="20"/>
      <c r="D40" s="33">
        <v>953.61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23926.061640000004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1456.8863999999999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25382.948040000003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D17-D43</f>
        <v>-1101.5080400000043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D9+D45</f>
        <v>21505.481959999997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600" t="s">
        <v>47</v>
      </c>
      <c r="C49" s="600"/>
      <c r="D49" s="416" t="s">
        <v>87</v>
      </c>
      <c r="E49" s="36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A5:C5"/>
    <mergeCell ref="D6:E6"/>
    <mergeCell ref="D7:E7"/>
    <mergeCell ref="B49:C4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38" sqref="A38:A46"/>
    </sheetView>
  </sheetViews>
  <sheetFormatPr defaultRowHeight="15" x14ac:dyDescent="0.25"/>
  <cols>
    <col min="2" max="2" width="44.28515625" customWidth="1"/>
    <col min="4" max="4" width="10.5703125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171</v>
      </c>
    </row>
    <row r="5" spans="1:5" x14ac:dyDescent="0.25">
      <c r="A5" s="599"/>
      <c r="B5" s="599"/>
      <c r="C5" s="599"/>
      <c r="D5" s="430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116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8186.13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3722.8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2935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112258.62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f>224029.01-115608.09</f>
        <v>108420.92000000001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108420.92000000001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20336.129999999997</v>
      </c>
      <c r="E21" s="26">
        <f>E22</f>
        <v>5029.4672799999998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19196.439999999999</v>
      </c>
      <c r="E22" s="26">
        <f>E23+E26</f>
        <v>5029.4672799999998</v>
      </c>
    </row>
    <row r="23" spans="1:5" x14ac:dyDescent="0.25">
      <c r="A23" s="20"/>
      <c r="B23" s="20" t="s">
        <v>23</v>
      </c>
      <c r="C23" s="20"/>
      <c r="D23" s="20">
        <v>19022.3</v>
      </c>
      <c r="E23" s="28">
        <f>D23*26.2%</f>
        <v>4983.8425999999999</v>
      </c>
    </row>
    <row r="24" spans="1:5" x14ac:dyDescent="0.25">
      <c r="A24" s="20"/>
      <c r="B24" s="20" t="s">
        <v>24</v>
      </c>
      <c r="C24" s="20"/>
      <c r="D24" s="29">
        <v>0</v>
      </c>
      <c r="E24" s="28"/>
    </row>
    <row r="25" spans="1:5" x14ac:dyDescent="0.25">
      <c r="A25" s="20"/>
      <c r="B25" s="20" t="s">
        <v>25</v>
      </c>
      <c r="C25" s="20"/>
      <c r="D25" s="20">
        <v>0</v>
      </c>
      <c r="E25" s="28"/>
    </row>
    <row r="26" spans="1:5" x14ac:dyDescent="0.25">
      <c r="A26" s="20"/>
      <c r="B26" s="20" t="s">
        <v>81</v>
      </c>
      <c r="C26" s="20"/>
      <c r="D26" s="20">
        <v>174.14</v>
      </c>
      <c r="E26" s="28">
        <f>D26*26.2%</f>
        <v>45.624679999999998</v>
      </c>
    </row>
    <row r="27" spans="1:5" x14ac:dyDescent="0.25">
      <c r="A27" s="20">
        <v>2</v>
      </c>
      <c r="B27" s="27" t="s">
        <v>26</v>
      </c>
      <c r="C27" s="20"/>
      <c r="D27" s="20">
        <v>1139.69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32543.87</v>
      </c>
      <c r="E28" s="26">
        <f>E29</f>
        <v>7184.3701199999996</v>
      </c>
    </row>
    <row r="29" spans="1:5" x14ac:dyDescent="0.25">
      <c r="A29" s="20">
        <v>1</v>
      </c>
      <c r="B29" s="31" t="s">
        <v>29</v>
      </c>
      <c r="C29" s="20"/>
      <c r="D29" s="31">
        <v>27421.26</v>
      </c>
      <c r="E29" s="28">
        <f>D29*26.2%</f>
        <v>7184.3701199999996</v>
      </c>
    </row>
    <row r="30" spans="1:5" x14ac:dyDescent="0.25">
      <c r="A30" s="20">
        <v>2</v>
      </c>
      <c r="B30" s="31" t="s">
        <v>26</v>
      </c>
      <c r="C30" s="20"/>
      <c r="D30" s="33">
        <v>5122.6099999999997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39681.503240000005</v>
      </c>
      <c r="E31" s="20"/>
    </row>
    <row r="32" spans="1:5" x14ac:dyDescent="0.25">
      <c r="A32" s="20"/>
      <c r="B32" s="20" t="s">
        <v>32</v>
      </c>
      <c r="C32" s="20"/>
      <c r="D32" s="28">
        <f>D18*4.7%</f>
        <v>5095.7832400000007</v>
      </c>
      <c r="E32" s="20"/>
    </row>
    <row r="33" spans="1:5" x14ac:dyDescent="0.25">
      <c r="A33" s="20"/>
      <c r="B33" s="20" t="s">
        <v>61</v>
      </c>
      <c r="C33" s="20"/>
      <c r="D33" s="20">
        <v>0</v>
      </c>
      <c r="E33" s="20"/>
    </row>
    <row r="34" spans="1:5" x14ac:dyDescent="0.25">
      <c r="A34" s="20"/>
      <c r="B34" s="20" t="s">
        <v>34</v>
      </c>
      <c r="C34" s="20"/>
      <c r="D34" s="28">
        <v>4871.38</v>
      </c>
      <c r="E34" s="20"/>
    </row>
    <row r="35" spans="1:5" x14ac:dyDescent="0.25">
      <c r="A35" s="20"/>
      <c r="B35" s="31" t="s">
        <v>36</v>
      </c>
      <c r="C35" s="20"/>
      <c r="D35" s="20">
        <v>812.06</v>
      </c>
      <c r="E35" s="20"/>
    </row>
    <row r="36" spans="1:5" x14ac:dyDescent="0.25">
      <c r="A36" s="20"/>
      <c r="B36" s="27" t="s">
        <v>37</v>
      </c>
      <c r="C36" s="13"/>
      <c r="D36" s="13">
        <v>27025.24</v>
      </c>
      <c r="E36" s="20"/>
    </row>
    <row r="37" spans="1:5" x14ac:dyDescent="0.25">
      <c r="A37" s="20"/>
      <c r="B37" s="20" t="s">
        <v>38</v>
      </c>
      <c r="C37" s="20"/>
      <c r="D37" s="20">
        <v>1877.04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17856.510000000002</v>
      </c>
      <c r="E38" s="26">
        <f>E39</f>
        <v>3482.3572800000002</v>
      </c>
    </row>
    <row r="39" spans="1:5" x14ac:dyDescent="0.25">
      <c r="A39" s="73"/>
      <c r="B39" s="31" t="s">
        <v>40</v>
      </c>
      <c r="C39" s="31"/>
      <c r="D39" s="33">
        <v>13291.44</v>
      </c>
      <c r="E39" s="28">
        <f>D39*26.2%</f>
        <v>3482.3572800000002</v>
      </c>
    </row>
    <row r="40" spans="1:5" x14ac:dyDescent="0.25">
      <c r="A40" s="73"/>
      <c r="B40" s="20" t="s">
        <v>41</v>
      </c>
      <c r="C40" s="20"/>
      <c r="D40" s="33">
        <v>4565.07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D21+E21+D28+E28+D31+D38+E38</f>
        <v>126114.20792000002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6505.2552000000005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132619.46312000003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-24198.543120000017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-16012.413120000016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600" t="s">
        <v>47</v>
      </c>
      <c r="C49" s="600"/>
      <c r="D49" s="416" t="s">
        <v>87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4">
    <mergeCell ref="A5:C5"/>
    <mergeCell ref="D7:E7"/>
    <mergeCell ref="D8:E8"/>
    <mergeCell ref="B49:C4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1" max="1" width="7.5703125" customWidth="1"/>
    <col min="2" max="2" width="45.7109375" customWidth="1"/>
    <col min="4" max="4" width="12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172</v>
      </c>
    </row>
    <row r="5" spans="1:5" x14ac:dyDescent="0.25">
      <c r="A5" s="599"/>
      <c r="B5" s="599"/>
      <c r="C5" s="599"/>
      <c r="D5" s="430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-8492.8799999999992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1061.79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597.9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22995.360000000001</v>
      </c>
      <c r="E13" s="13"/>
    </row>
    <row r="14" spans="1:5" x14ac:dyDescent="0.25">
      <c r="A14" s="13"/>
      <c r="B14" s="15"/>
      <c r="C14" s="13"/>
      <c r="D14" s="19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f>41335.11-20786.31</f>
        <v>20548.8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20548.8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3515.13</v>
      </c>
      <c r="E21" s="26">
        <f>E22</f>
        <v>860.13552000000004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3282.96</v>
      </c>
      <c r="E22" s="26">
        <f>E23+E26</f>
        <v>860.13552000000004</v>
      </c>
    </row>
    <row r="23" spans="1:5" x14ac:dyDescent="0.25">
      <c r="A23" s="20"/>
      <c r="B23" s="20" t="s">
        <v>23</v>
      </c>
      <c r="C23" s="20"/>
      <c r="D23" s="20">
        <v>2275.4499999999998</v>
      </c>
      <c r="E23" s="28">
        <f>D23*26.2%</f>
        <v>596.16790000000003</v>
      </c>
    </row>
    <row r="24" spans="1:5" x14ac:dyDescent="0.25">
      <c r="A24" s="20"/>
      <c r="B24" s="20" t="s">
        <v>24</v>
      </c>
      <c r="C24" s="20"/>
      <c r="D24" s="29">
        <v>0</v>
      </c>
      <c r="E24" s="28"/>
    </row>
    <row r="25" spans="1:5" x14ac:dyDescent="0.25">
      <c r="A25" s="20"/>
      <c r="B25" s="20" t="s">
        <v>25</v>
      </c>
      <c r="C25" s="13"/>
      <c r="D25" s="13">
        <v>0</v>
      </c>
      <c r="E25" s="28"/>
    </row>
    <row r="26" spans="1:5" x14ac:dyDescent="0.25">
      <c r="A26" s="20"/>
      <c r="B26" s="27" t="s">
        <v>81</v>
      </c>
      <c r="C26" s="13"/>
      <c r="D26" s="13">
        <v>1007.51</v>
      </c>
      <c r="E26" s="28">
        <f>D26*26.2%</f>
        <v>263.96762000000001</v>
      </c>
    </row>
    <row r="27" spans="1:5" x14ac:dyDescent="0.25">
      <c r="A27" s="20">
        <v>2</v>
      </c>
      <c r="B27" s="27" t="s">
        <v>26</v>
      </c>
      <c r="C27" s="20"/>
      <c r="D27" s="20">
        <v>232.17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6313.05</v>
      </c>
      <c r="E28" s="26">
        <f>E29</f>
        <v>1463.5555800000002</v>
      </c>
    </row>
    <row r="29" spans="1:5" x14ac:dyDescent="0.25">
      <c r="A29" s="20">
        <v>1</v>
      </c>
      <c r="B29" s="31" t="s">
        <v>29</v>
      </c>
      <c r="C29" s="20"/>
      <c r="D29" s="31">
        <v>5586.09</v>
      </c>
      <c r="E29" s="28">
        <f>D29*26.2%</f>
        <v>1463.5555800000002</v>
      </c>
    </row>
    <row r="30" spans="1:5" x14ac:dyDescent="0.25">
      <c r="A30" s="20">
        <v>2</v>
      </c>
      <c r="B30" s="31" t="s">
        <v>26</v>
      </c>
      <c r="C30" s="20"/>
      <c r="D30" s="31">
        <v>726.96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2621.66</v>
      </c>
      <c r="E31" s="20"/>
    </row>
    <row r="32" spans="1:5" x14ac:dyDescent="0.25">
      <c r="A32" s="20"/>
      <c r="B32" s="20" t="s">
        <v>32</v>
      </c>
      <c r="C32" s="20"/>
      <c r="D32" s="28">
        <f>D18*5%</f>
        <v>1027.44</v>
      </c>
      <c r="E32" s="20"/>
    </row>
    <row r="33" spans="1:5" x14ac:dyDescent="0.25">
      <c r="A33" s="20"/>
      <c r="B33" s="20" t="s">
        <v>61</v>
      </c>
      <c r="C33" s="20"/>
      <c r="D33" s="20">
        <f>27.34+26.7</f>
        <v>54.04</v>
      </c>
      <c r="E33" s="20"/>
    </row>
    <row r="34" spans="1:5" x14ac:dyDescent="0.25">
      <c r="A34" s="20"/>
      <c r="B34" s="20" t="s">
        <v>34</v>
      </c>
      <c r="C34" s="20"/>
      <c r="D34" s="28">
        <v>992.37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165.43</v>
      </c>
      <c r="E36" s="20"/>
    </row>
    <row r="37" spans="1:5" x14ac:dyDescent="0.25">
      <c r="A37" s="20"/>
      <c r="B37" s="27" t="s">
        <v>66</v>
      </c>
      <c r="C37" s="20"/>
      <c r="D37" s="20">
        <v>0</v>
      </c>
      <c r="E37" s="20"/>
    </row>
    <row r="38" spans="1:5" x14ac:dyDescent="0.25">
      <c r="A38" s="20"/>
      <c r="B38" s="31" t="s">
        <v>38</v>
      </c>
      <c r="C38" s="20"/>
      <c r="D38" s="20">
        <v>382.38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3637.6400000000003</v>
      </c>
      <c r="E39" s="26">
        <f>E40</f>
        <v>709.40430000000003</v>
      </c>
    </row>
    <row r="40" spans="1:5" x14ac:dyDescent="0.25">
      <c r="A40" s="73"/>
      <c r="B40" s="31" t="s">
        <v>40</v>
      </c>
      <c r="C40" s="31"/>
      <c r="D40" s="33">
        <v>2707.65</v>
      </c>
      <c r="E40" s="28">
        <f>D40*26.2%</f>
        <v>709.40430000000003</v>
      </c>
    </row>
    <row r="41" spans="1:5" x14ac:dyDescent="0.25">
      <c r="A41" s="73"/>
      <c r="B41" s="20" t="s">
        <v>41</v>
      </c>
      <c r="C41" s="20"/>
      <c r="D41" s="33">
        <v>929.99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D21+E21+D28+E28+D31+D39+E39</f>
        <v>19120.575399999998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1232.9279999999999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20353.503399999998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195.29660000000149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-8297.5833999999977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40" sqref="A40:A47"/>
    </sheetView>
  </sheetViews>
  <sheetFormatPr defaultRowHeight="15" x14ac:dyDescent="0.25"/>
  <cols>
    <col min="2" max="2" width="35.85546875" customWidth="1"/>
    <col min="4" max="4" width="10.42578125" customWidth="1"/>
    <col min="5" max="5" width="10.7109375" customWidth="1"/>
  </cols>
  <sheetData>
    <row r="1" spans="1:5" ht="15.75" x14ac:dyDescent="0.25">
      <c r="A1" s="92"/>
      <c r="B1" s="93" t="s">
        <v>0</v>
      </c>
      <c r="C1" s="92"/>
      <c r="D1" s="92"/>
      <c r="E1" s="92"/>
    </row>
    <row r="2" spans="1:5" x14ac:dyDescent="0.25">
      <c r="A2" s="92"/>
      <c r="B2" s="92"/>
      <c r="C2" s="92"/>
      <c r="D2" s="92"/>
      <c r="E2" s="92"/>
    </row>
    <row r="3" spans="1:5" x14ac:dyDescent="0.25">
      <c r="A3" s="92"/>
      <c r="B3" s="92" t="s">
        <v>58</v>
      </c>
      <c r="C3" s="92"/>
      <c r="D3" s="92"/>
      <c r="E3" s="92"/>
    </row>
    <row r="4" spans="1:5" x14ac:dyDescent="0.25">
      <c r="A4" s="92"/>
      <c r="B4" s="94" t="s">
        <v>109</v>
      </c>
      <c r="C4" s="92"/>
      <c r="D4" s="92"/>
      <c r="E4" s="92"/>
    </row>
    <row r="5" spans="1:5" x14ac:dyDescent="0.25">
      <c r="A5" s="507"/>
      <c r="B5" s="507"/>
      <c r="C5" s="507"/>
      <c r="D5" s="420"/>
      <c r="E5" s="478"/>
    </row>
    <row r="6" spans="1:5" ht="15.75" x14ac:dyDescent="0.25">
      <c r="A6" s="95"/>
      <c r="B6" s="479" t="s">
        <v>3</v>
      </c>
      <c r="C6" s="480" t="s">
        <v>4</v>
      </c>
      <c r="D6" s="508" t="s">
        <v>5</v>
      </c>
      <c r="E6" s="509"/>
    </row>
    <row r="7" spans="1:5" ht="15.75" x14ac:dyDescent="0.25">
      <c r="A7" s="98"/>
      <c r="B7" s="96" t="s">
        <v>6</v>
      </c>
      <c r="C7" s="97" t="s">
        <v>7</v>
      </c>
      <c r="D7" s="505" t="s">
        <v>110</v>
      </c>
      <c r="E7" s="506"/>
    </row>
    <row r="8" spans="1:5" x14ac:dyDescent="0.25">
      <c r="A8" s="99"/>
      <c r="B8" s="99"/>
      <c r="C8" s="99"/>
      <c r="D8" s="100"/>
      <c r="E8" s="101"/>
    </row>
    <row r="9" spans="1:5" x14ac:dyDescent="0.25">
      <c r="A9" s="99"/>
      <c r="B9" s="102" t="s">
        <v>8</v>
      </c>
      <c r="C9" s="99"/>
      <c r="D9" s="100">
        <v>96366.45</v>
      </c>
      <c r="E9" s="101"/>
    </row>
    <row r="10" spans="1:5" x14ac:dyDescent="0.25">
      <c r="A10" s="23"/>
      <c r="B10" s="103" t="s">
        <v>9</v>
      </c>
      <c r="C10" s="23" t="s">
        <v>10</v>
      </c>
      <c r="D10" s="23">
        <v>5182.7</v>
      </c>
      <c r="E10" s="23"/>
    </row>
    <row r="11" spans="1:5" x14ac:dyDescent="0.25">
      <c r="A11" s="23"/>
      <c r="B11" s="103" t="s">
        <v>11</v>
      </c>
      <c r="C11" s="23" t="s">
        <v>10</v>
      </c>
      <c r="D11" s="23">
        <v>4325</v>
      </c>
      <c r="E11" s="23"/>
    </row>
    <row r="12" spans="1:5" x14ac:dyDescent="0.25">
      <c r="A12" s="23"/>
      <c r="B12" s="104" t="s">
        <v>12</v>
      </c>
      <c r="C12" s="23" t="s">
        <v>13</v>
      </c>
      <c r="D12" s="23">
        <v>166147.26</v>
      </c>
      <c r="E12" s="23"/>
    </row>
    <row r="13" spans="1:5" x14ac:dyDescent="0.25">
      <c r="A13" s="23"/>
      <c r="B13" s="23"/>
      <c r="C13" s="23"/>
      <c r="D13" s="23"/>
      <c r="E13" s="23"/>
    </row>
    <row r="14" spans="1:5" ht="15.75" x14ac:dyDescent="0.25">
      <c r="A14" s="23"/>
      <c r="B14" s="105" t="s">
        <v>14</v>
      </c>
      <c r="C14" s="23"/>
      <c r="D14" s="23"/>
      <c r="E14" s="23"/>
    </row>
    <row r="15" spans="1:5" x14ac:dyDescent="0.25">
      <c r="A15" s="23">
        <v>1</v>
      </c>
      <c r="B15" s="23" t="s">
        <v>15</v>
      </c>
      <c r="C15" s="23" t="s">
        <v>13</v>
      </c>
      <c r="D15" s="23">
        <f>331174.97-158750.1</f>
        <v>172424.86999999997</v>
      </c>
      <c r="E15" s="23"/>
    </row>
    <row r="16" spans="1:5" x14ac:dyDescent="0.25">
      <c r="A16" s="23"/>
      <c r="B16" s="23"/>
      <c r="C16" s="23"/>
      <c r="D16" s="23"/>
      <c r="E16" s="23"/>
    </row>
    <row r="17" spans="1:5" ht="15.75" x14ac:dyDescent="0.25">
      <c r="A17" s="23"/>
      <c r="B17" s="105" t="s">
        <v>17</v>
      </c>
      <c r="C17" s="23"/>
      <c r="D17" s="106">
        <f>D15</f>
        <v>172424.86999999997</v>
      </c>
      <c r="E17" s="23"/>
    </row>
    <row r="18" spans="1:5" ht="15.75" x14ac:dyDescent="0.25">
      <c r="A18" s="23"/>
      <c r="B18" s="105"/>
      <c r="C18" s="23"/>
      <c r="D18" s="106"/>
      <c r="E18" s="2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26945.24</v>
      </c>
      <c r="E20" s="26">
        <f>E21</f>
        <v>6619.6396000000004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D22+D23+D24+D25</f>
        <v>25265.800000000003</v>
      </c>
      <c r="E21" s="26">
        <f>E22+E23+E24+E25</f>
        <v>6619.6396000000004</v>
      </c>
    </row>
    <row r="22" spans="1:5" x14ac:dyDescent="0.25">
      <c r="A22" s="20"/>
      <c r="B22" s="20" t="s">
        <v>23</v>
      </c>
      <c r="C22" s="20"/>
      <c r="D22" s="20">
        <f>11401.97+11424.79</f>
        <v>22826.760000000002</v>
      </c>
      <c r="E22" s="28">
        <f>D22*26.2%</f>
        <v>5980.6111200000005</v>
      </c>
    </row>
    <row r="23" spans="1:5" x14ac:dyDescent="0.25">
      <c r="A23" s="20"/>
      <c r="B23" s="20" t="s">
        <v>24</v>
      </c>
      <c r="C23" s="20"/>
      <c r="D23" s="29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20">
        <v>0</v>
      </c>
      <c r="E24" s="28">
        <f>D24*26.2%</f>
        <v>0</v>
      </c>
    </row>
    <row r="25" spans="1:5" x14ac:dyDescent="0.25">
      <c r="A25" s="20"/>
      <c r="B25" s="31" t="s">
        <v>81</v>
      </c>
      <c r="C25" s="20"/>
      <c r="D25" s="20">
        <v>2439.04</v>
      </c>
      <c r="E25" s="28">
        <f>D25*26.2%</f>
        <v>639.02848000000006</v>
      </c>
    </row>
    <row r="26" spans="1:5" x14ac:dyDescent="0.25">
      <c r="A26" s="20">
        <v>2</v>
      </c>
      <c r="B26" s="27" t="s">
        <v>26</v>
      </c>
      <c r="C26" s="20"/>
      <c r="D26" s="20">
        <v>1679.44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50758.799999999996</v>
      </c>
      <c r="E27" s="26">
        <f>E28</f>
        <v>10586.848840000001</v>
      </c>
    </row>
    <row r="28" spans="1:5" x14ac:dyDescent="0.25">
      <c r="A28" s="20">
        <v>1</v>
      </c>
      <c r="B28" s="31" t="s">
        <v>103</v>
      </c>
      <c r="C28" s="20"/>
      <c r="D28" s="31">
        <f>20086.96+20320.86</f>
        <v>40407.82</v>
      </c>
      <c r="E28" s="33">
        <f>D28*26.2%</f>
        <v>10586.848840000001</v>
      </c>
    </row>
    <row r="29" spans="1:5" x14ac:dyDescent="0.25">
      <c r="A29" s="20">
        <v>2</v>
      </c>
      <c r="B29" s="31" t="s">
        <v>26</v>
      </c>
      <c r="C29" s="20"/>
      <c r="D29" s="31">
        <v>6238.95</v>
      </c>
      <c r="E29" s="20"/>
    </row>
    <row r="30" spans="1:5" x14ac:dyDescent="0.25">
      <c r="A30" s="20">
        <v>3</v>
      </c>
      <c r="B30" s="31" t="s">
        <v>65</v>
      </c>
      <c r="C30" s="20"/>
      <c r="D30" s="31">
        <v>4112.03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D32+D33+D35+D36+D37+D38+D39</f>
        <v>34397.533499999998</v>
      </c>
      <c r="E31" s="20"/>
    </row>
    <row r="32" spans="1:5" x14ac:dyDescent="0.25">
      <c r="A32" s="20"/>
      <c r="B32" s="20" t="s">
        <v>32</v>
      </c>
      <c r="C32" s="20"/>
      <c r="D32" s="28">
        <f>D17*5%</f>
        <v>8621.2434999999987</v>
      </c>
      <c r="E32" s="20"/>
    </row>
    <row r="33" spans="1:5" x14ac:dyDescent="0.25">
      <c r="A33" s="20"/>
      <c r="B33" s="20" t="s">
        <v>61</v>
      </c>
      <c r="C33" s="20"/>
      <c r="D33" s="20">
        <f>381.59+372.63</f>
        <v>754.22</v>
      </c>
      <c r="E33" s="20"/>
    </row>
    <row r="34" spans="1:5" x14ac:dyDescent="0.25">
      <c r="A34" s="20"/>
      <c r="B34" s="20" t="s">
        <v>33</v>
      </c>
      <c r="C34" s="20"/>
      <c r="D34" s="20">
        <v>0</v>
      </c>
      <c r="E34" s="20"/>
    </row>
    <row r="35" spans="1:5" x14ac:dyDescent="0.25">
      <c r="A35" s="20"/>
      <c r="B35" s="20" t="s">
        <v>34</v>
      </c>
      <c r="C35" s="20"/>
      <c r="D35" s="28">
        <f>3596.37+3582.08</f>
        <v>7178.45</v>
      </c>
      <c r="E35" s="20"/>
    </row>
    <row r="36" spans="1:5" x14ac:dyDescent="0.25">
      <c r="A36" s="20"/>
      <c r="B36" s="27" t="s">
        <v>35</v>
      </c>
      <c r="C36" s="20"/>
      <c r="D36" s="20">
        <v>533.37</v>
      </c>
      <c r="E36" s="20"/>
    </row>
    <row r="37" spans="1:5" x14ac:dyDescent="0.25">
      <c r="A37" s="20"/>
      <c r="B37" s="27" t="s">
        <v>36</v>
      </c>
      <c r="C37" s="20"/>
      <c r="D37" s="20">
        <v>1196.6500000000001</v>
      </c>
      <c r="E37" s="20"/>
    </row>
    <row r="38" spans="1:5" x14ac:dyDescent="0.25">
      <c r="A38" s="20"/>
      <c r="B38" s="27" t="s">
        <v>66</v>
      </c>
      <c r="C38" s="20"/>
      <c r="D38" s="20">
        <v>13347.6</v>
      </c>
      <c r="E38" s="20"/>
    </row>
    <row r="39" spans="1:5" x14ac:dyDescent="0.25">
      <c r="A39" s="20"/>
      <c r="B39" s="20" t="s">
        <v>38</v>
      </c>
      <c r="C39" s="20"/>
      <c r="D39" s="20">
        <v>2766</v>
      </c>
      <c r="E39" s="20"/>
    </row>
    <row r="40" spans="1:5" x14ac:dyDescent="0.25">
      <c r="A40" s="73" t="s">
        <v>89</v>
      </c>
      <c r="B40" s="22" t="s">
        <v>39</v>
      </c>
      <c r="C40" s="20"/>
      <c r="D40" s="26">
        <f>D41+D42</f>
        <v>25779.890000000003</v>
      </c>
      <c r="E40" s="26">
        <f>E41</f>
        <v>5131.5817800000004</v>
      </c>
    </row>
    <row r="41" spans="1:5" x14ac:dyDescent="0.25">
      <c r="A41" s="73"/>
      <c r="B41" s="31" t="s">
        <v>40</v>
      </c>
      <c r="C41" s="31"/>
      <c r="D41" s="33">
        <f>9661.26+9924.93</f>
        <v>19586.190000000002</v>
      </c>
      <c r="E41" s="33">
        <f>D41*26.2%</f>
        <v>5131.5817800000004</v>
      </c>
    </row>
    <row r="42" spans="1:5" x14ac:dyDescent="0.25">
      <c r="A42" s="73"/>
      <c r="B42" s="31" t="s">
        <v>41</v>
      </c>
      <c r="C42" s="20"/>
      <c r="D42" s="33">
        <v>6193.7</v>
      </c>
      <c r="E42" s="20"/>
    </row>
    <row r="43" spans="1:5" x14ac:dyDescent="0.25">
      <c r="A43" s="73" t="s">
        <v>90</v>
      </c>
      <c r="B43" s="22" t="s">
        <v>42</v>
      </c>
      <c r="C43" s="20"/>
      <c r="D43" s="26">
        <f>D20+E20+D27+E27+D31+D40+E40</f>
        <v>160219.53372000004</v>
      </c>
      <c r="E43" s="20"/>
    </row>
    <row r="44" spans="1:5" x14ac:dyDescent="0.25">
      <c r="A44" s="73" t="s">
        <v>91</v>
      </c>
      <c r="B44" s="20" t="s">
        <v>43</v>
      </c>
      <c r="C44" s="20"/>
      <c r="D44" s="26">
        <f>D17*6%</f>
        <v>10345.492199999997</v>
      </c>
      <c r="E44" s="20"/>
    </row>
    <row r="45" spans="1:5" x14ac:dyDescent="0.25">
      <c r="A45" s="73" t="s">
        <v>214</v>
      </c>
      <c r="B45" s="22" t="s">
        <v>44</v>
      </c>
      <c r="C45" s="20"/>
      <c r="D45" s="26">
        <f>D43+D44</f>
        <v>170565.02592000004</v>
      </c>
      <c r="E45" s="20"/>
    </row>
    <row r="46" spans="1:5" x14ac:dyDescent="0.25">
      <c r="A46" s="73" t="s">
        <v>93</v>
      </c>
      <c r="B46" s="22" t="s">
        <v>45</v>
      </c>
      <c r="C46" s="20"/>
      <c r="D46" s="26">
        <f>D17-D45</f>
        <v>1859.8440799999225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98226.29407999992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44.7109375" customWidth="1"/>
    <col min="4" max="4" width="11" customWidth="1"/>
    <col min="5" max="5" width="10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173</v>
      </c>
    </row>
    <row r="5" spans="1:5" x14ac:dyDescent="0.25">
      <c r="A5" s="599"/>
      <c r="B5" s="599"/>
      <c r="C5" s="599"/>
      <c r="D5" s="430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162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-19632.71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1542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636.69000000000005</v>
      </c>
      <c r="E12" s="13"/>
    </row>
    <row r="13" spans="1:5" x14ac:dyDescent="0.25">
      <c r="A13" s="13"/>
      <c r="B13" s="15" t="s">
        <v>12</v>
      </c>
      <c r="C13" s="13" t="s">
        <v>13</v>
      </c>
      <c r="D13" s="13">
        <v>24487.08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f>43067.49-22038.42</f>
        <v>21029.07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21029.07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D22+D27</f>
        <v>8469.61</v>
      </c>
      <c r="E21" s="26">
        <f>E22</f>
        <v>2154.2635600000003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D23+D26</f>
        <v>8222.380000000001</v>
      </c>
      <c r="E22" s="26">
        <f>E23+E26</f>
        <v>2154.2635600000003</v>
      </c>
    </row>
    <row r="23" spans="1:5" x14ac:dyDescent="0.25">
      <c r="A23" s="20"/>
      <c r="B23" s="20" t="s">
        <v>23</v>
      </c>
      <c r="C23" s="20"/>
      <c r="D23" s="20">
        <v>7148.22</v>
      </c>
      <c r="E23" s="28">
        <f>D23*26.2%</f>
        <v>1872.8336400000001</v>
      </c>
    </row>
    <row r="24" spans="1:5" x14ac:dyDescent="0.25">
      <c r="A24" s="20"/>
      <c r="B24" s="20" t="s">
        <v>24</v>
      </c>
      <c r="C24" s="20"/>
      <c r="D24" s="29">
        <v>0</v>
      </c>
      <c r="E24" s="28"/>
    </row>
    <row r="25" spans="1:5" x14ac:dyDescent="0.25">
      <c r="A25" s="20"/>
      <c r="B25" s="20" t="s">
        <v>25</v>
      </c>
      <c r="C25" s="13"/>
      <c r="D25" s="13">
        <v>0</v>
      </c>
      <c r="E25" s="28"/>
    </row>
    <row r="26" spans="1:5" x14ac:dyDescent="0.25">
      <c r="A26" s="20"/>
      <c r="B26" s="27" t="s">
        <v>81</v>
      </c>
      <c r="C26" s="13"/>
      <c r="D26" s="13">
        <v>1074.1600000000001</v>
      </c>
      <c r="E26" s="28">
        <f>D26*26.2%</f>
        <v>281.42992000000004</v>
      </c>
    </row>
    <row r="27" spans="1:5" x14ac:dyDescent="0.25">
      <c r="A27" s="20">
        <v>2</v>
      </c>
      <c r="B27" s="27" t="s">
        <v>26</v>
      </c>
      <c r="C27" s="13"/>
      <c r="D27" s="13">
        <v>247.23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12002.91</v>
      </c>
      <c r="E28" s="26">
        <f>E29</f>
        <v>1558.5070000000001</v>
      </c>
    </row>
    <row r="29" spans="1:5" x14ac:dyDescent="0.25">
      <c r="A29" s="20">
        <v>1</v>
      </c>
      <c r="B29" s="31" t="s">
        <v>29</v>
      </c>
      <c r="C29" s="20"/>
      <c r="D29" s="31">
        <v>5948.5</v>
      </c>
      <c r="E29" s="28">
        <f>D29*26.2%</f>
        <v>1558.5070000000001</v>
      </c>
    </row>
    <row r="30" spans="1:5" x14ac:dyDescent="0.25">
      <c r="A30" s="20">
        <v>2</v>
      </c>
      <c r="B30" s="31" t="s">
        <v>26</v>
      </c>
      <c r="C30" s="20"/>
      <c r="D30" s="31">
        <v>6054.41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2875.2035000000001</v>
      </c>
      <c r="E31" s="20"/>
    </row>
    <row r="32" spans="1:5" x14ac:dyDescent="0.25">
      <c r="A32" s="20"/>
      <c r="B32" s="20" t="s">
        <v>32</v>
      </c>
      <c r="C32" s="20"/>
      <c r="D32" s="28">
        <f>D18*5%</f>
        <v>1051.4535000000001</v>
      </c>
      <c r="E32" s="20"/>
    </row>
    <row r="33" spans="1:5" x14ac:dyDescent="0.25">
      <c r="A33" s="20"/>
      <c r="B33" s="20" t="s">
        <v>61</v>
      </c>
      <c r="C33" s="20"/>
      <c r="D33" s="20">
        <f>92.91+90.74</f>
        <v>183.64999999999998</v>
      </c>
      <c r="E33" s="20"/>
    </row>
    <row r="34" spans="1:5" x14ac:dyDescent="0.25">
      <c r="A34" s="20"/>
      <c r="B34" s="20" t="s">
        <v>34</v>
      </c>
      <c r="C34" s="20"/>
      <c r="D34" s="33">
        <v>1056.75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176.16</v>
      </c>
      <c r="E36" s="20"/>
    </row>
    <row r="37" spans="1:5" x14ac:dyDescent="0.25">
      <c r="A37" s="20"/>
      <c r="B37" s="31" t="s">
        <v>38</v>
      </c>
      <c r="C37" s="20"/>
      <c r="D37" s="20">
        <v>407.19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3873.6099999999997</v>
      </c>
      <c r="E38" s="26">
        <f>E39</f>
        <v>755.42722000000003</v>
      </c>
    </row>
    <row r="39" spans="1:5" x14ac:dyDescent="0.25">
      <c r="A39" s="73"/>
      <c r="B39" s="31" t="s">
        <v>40</v>
      </c>
      <c r="C39" s="31"/>
      <c r="D39" s="33">
        <v>2883.31</v>
      </c>
      <c r="E39" s="28">
        <f>D39*26.2%</f>
        <v>755.42722000000003</v>
      </c>
    </row>
    <row r="40" spans="1:5" x14ac:dyDescent="0.25">
      <c r="A40" s="73"/>
      <c r="B40" s="20" t="s">
        <v>41</v>
      </c>
      <c r="C40" s="20"/>
      <c r="D40" s="33">
        <v>990.3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D21+E21+D28+E28+D31+D38+E38</f>
        <v>31689.531280000003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D18*6%</f>
        <v>1261.7441999999999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32951.275480000004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D18-D43</f>
        <v>-11922.205480000004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D10+D45</f>
        <v>-31554.915480000003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39.140625" customWidth="1"/>
    <col min="4" max="4" width="11.42578125" customWidth="1"/>
    <col min="5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174</v>
      </c>
    </row>
    <row r="5" spans="1:5" x14ac:dyDescent="0.25">
      <c r="A5" s="599"/>
      <c r="B5" s="599"/>
      <c r="C5" s="599"/>
      <c r="D5" s="430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175</v>
      </c>
      <c r="C9" s="9"/>
      <c r="D9" s="10">
        <v>-3002.79</v>
      </c>
      <c r="E9" s="11"/>
    </row>
    <row r="10" spans="1:5" x14ac:dyDescent="0.25">
      <c r="A10" s="9"/>
      <c r="B10" s="12" t="s">
        <v>176</v>
      </c>
      <c r="C10" s="9"/>
      <c r="D10" s="10">
        <v>8164.86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1287.74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727.95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27997.02</v>
      </c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49383.88-24869.21</f>
        <v>24514.67</v>
      </c>
      <c r="E15" s="13"/>
    </row>
    <row r="16" spans="1:5" x14ac:dyDescent="0.25">
      <c r="A16" s="13">
        <v>2</v>
      </c>
      <c r="B16" s="13" t="s">
        <v>16</v>
      </c>
      <c r="C16" s="13"/>
      <c r="D16" s="13">
        <f>15766.94-8164.86</f>
        <v>7602.0800000000008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32116.75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7178.52</v>
      </c>
      <c r="E20" s="26">
        <f>E21</f>
        <v>1806.7127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6895.85</v>
      </c>
      <c r="E21" s="26">
        <f>E22+E25</f>
        <v>1806.7127</v>
      </c>
    </row>
    <row r="22" spans="1:5" x14ac:dyDescent="0.25">
      <c r="A22" s="20"/>
      <c r="B22" s="20" t="s">
        <v>23</v>
      </c>
      <c r="C22" s="20"/>
      <c r="D22" s="20">
        <v>6340.77</v>
      </c>
      <c r="E22" s="28">
        <f>D22*26.2%</f>
        <v>1661.2817400000001</v>
      </c>
    </row>
    <row r="23" spans="1:5" x14ac:dyDescent="0.25">
      <c r="A23" s="20"/>
      <c r="B23" s="20" t="s">
        <v>24</v>
      </c>
      <c r="C23" s="20"/>
      <c r="D23" s="29">
        <v>0</v>
      </c>
      <c r="E23" s="28"/>
    </row>
    <row r="24" spans="1:5" x14ac:dyDescent="0.25">
      <c r="A24" s="20"/>
      <c r="B24" s="20" t="s">
        <v>25</v>
      </c>
      <c r="C24" s="13"/>
      <c r="D24" s="13">
        <v>0</v>
      </c>
      <c r="E24" s="28"/>
    </row>
    <row r="25" spans="1:5" x14ac:dyDescent="0.25">
      <c r="A25" s="20"/>
      <c r="B25" s="27" t="s">
        <v>81</v>
      </c>
      <c r="C25" s="13"/>
      <c r="D25" s="13">
        <v>555.08000000000004</v>
      </c>
      <c r="E25" s="28">
        <f>D25*26.2%</f>
        <v>145.43096000000003</v>
      </c>
    </row>
    <row r="26" spans="1:5" x14ac:dyDescent="0.25">
      <c r="A26" s="20">
        <v>2</v>
      </c>
      <c r="B26" s="27" t="s">
        <v>26</v>
      </c>
      <c r="C26" s="13"/>
      <c r="D26" s="13">
        <v>282.67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8117.17</v>
      </c>
      <c r="E27" s="26">
        <f>E28</f>
        <v>1781.89606</v>
      </c>
    </row>
    <row r="28" spans="1:5" x14ac:dyDescent="0.25">
      <c r="A28" s="20">
        <v>1</v>
      </c>
      <c r="B28" s="31" t="s">
        <v>29</v>
      </c>
      <c r="C28" s="20"/>
      <c r="D28" s="31">
        <v>6801.13</v>
      </c>
      <c r="E28" s="28">
        <f>D28*26.2%</f>
        <v>1781.89606</v>
      </c>
    </row>
    <row r="29" spans="1:5" x14ac:dyDescent="0.25">
      <c r="A29" s="20">
        <v>2</v>
      </c>
      <c r="B29" s="31" t="s">
        <v>26</v>
      </c>
      <c r="C29" s="20"/>
      <c r="D29" s="31">
        <v>1316.04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10073.1175</v>
      </c>
      <c r="E30" s="20"/>
    </row>
    <row r="31" spans="1:5" x14ac:dyDescent="0.25">
      <c r="A31" s="20"/>
      <c r="B31" s="20" t="s">
        <v>32</v>
      </c>
      <c r="C31" s="20"/>
      <c r="D31" s="28">
        <f>D17*5%</f>
        <v>1605.8375000000001</v>
      </c>
      <c r="E31" s="20"/>
    </row>
    <row r="32" spans="1:5" x14ac:dyDescent="0.25">
      <c r="A32" s="20"/>
      <c r="B32" s="20" t="s">
        <v>61</v>
      </c>
      <c r="C32" s="20"/>
      <c r="D32" s="20">
        <f>27.34+26.7</f>
        <v>54.04</v>
      </c>
      <c r="E32" s="20"/>
    </row>
    <row r="33" spans="1:5" x14ac:dyDescent="0.25">
      <c r="A33" s="20"/>
      <c r="B33" s="20" t="s">
        <v>34</v>
      </c>
      <c r="C33" s="20"/>
      <c r="D33" s="28">
        <v>1208.22</v>
      </c>
      <c r="E33" s="20"/>
    </row>
    <row r="34" spans="1:5" x14ac:dyDescent="0.25">
      <c r="A34" s="20"/>
      <c r="B34" s="31" t="s">
        <v>35</v>
      </c>
      <c r="C34" s="20"/>
      <c r="D34" s="20">
        <v>0</v>
      </c>
      <c r="E34" s="20"/>
    </row>
    <row r="35" spans="1:5" x14ac:dyDescent="0.25">
      <c r="A35" s="20"/>
      <c r="B35" s="27" t="s">
        <v>36</v>
      </c>
      <c r="C35" s="20"/>
      <c r="D35" s="20">
        <v>201.41</v>
      </c>
      <c r="E35" s="20"/>
    </row>
    <row r="36" spans="1:5" x14ac:dyDescent="0.25">
      <c r="A36" s="20"/>
      <c r="B36" s="27" t="s">
        <v>66</v>
      </c>
      <c r="C36" s="20"/>
      <c r="D36" s="20">
        <v>6538.06</v>
      </c>
      <c r="E36" s="20"/>
    </row>
    <row r="37" spans="1:5" x14ac:dyDescent="0.25">
      <c r="A37" s="20"/>
      <c r="B37" s="31" t="s">
        <v>38</v>
      </c>
      <c r="C37" s="20"/>
      <c r="D37" s="20">
        <v>465.55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4428.83</v>
      </c>
      <c r="E38" s="26">
        <f>E39</f>
        <v>863.70658000000003</v>
      </c>
    </row>
    <row r="39" spans="1:5" x14ac:dyDescent="0.25">
      <c r="A39" s="73"/>
      <c r="B39" s="31" t="s">
        <v>40</v>
      </c>
      <c r="C39" s="31"/>
      <c r="D39" s="33">
        <v>3296.59</v>
      </c>
      <c r="E39" s="28">
        <f>D39*26.2%</f>
        <v>863.70658000000003</v>
      </c>
    </row>
    <row r="40" spans="1:5" x14ac:dyDescent="0.25">
      <c r="A40" s="73"/>
      <c r="B40" s="20" t="s">
        <v>41</v>
      </c>
      <c r="C40" s="20"/>
      <c r="D40" s="33">
        <v>1132.24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D20+E20+D27+E27+D30+D38+E38</f>
        <v>34249.952839999998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1927.0049999999999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36176.957839999995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D15-D43</f>
        <v>-11662.287839999997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D9+D45</f>
        <v>-14665.077839999998</v>
      </c>
      <c r="E46" s="20"/>
    </row>
    <row r="47" spans="1:5" x14ac:dyDescent="0.25">
      <c r="A47" s="34"/>
      <c r="B47" s="35" t="s">
        <v>16</v>
      </c>
      <c r="C47" s="34"/>
      <c r="D47" s="36">
        <f>D16+D10</f>
        <v>15766.94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8" sqref="A38:A46"/>
    </sheetView>
  </sheetViews>
  <sheetFormatPr defaultRowHeight="15" x14ac:dyDescent="0.25"/>
  <cols>
    <col min="2" max="2" width="41.28515625" customWidth="1"/>
    <col min="4" max="4" width="10.57031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177</v>
      </c>
    </row>
    <row r="5" spans="1:5" x14ac:dyDescent="0.25">
      <c r="A5" s="599"/>
      <c r="B5" s="599"/>
      <c r="C5" s="599"/>
      <c r="D5" s="430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13"/>
      <c r="B8" s="14" t="s">
        <v>175</v>
      </c>
      <c r="C8" s="13"/>
      <c r="D8" s="471">
        <v>103412.23</v>
      </c>
      <c r="E8" s="413"/>
    </row>
    <row r="9" spans="1:5" x14ac:dyDescent="0.25">
      <c r="A9" s="9"/>
      <c r="B9" s="12" t="s">
        <v>176</v>
      </c>
      <c r="C9" s="9"/>
      <c r="D9" s="10">
        <v>0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5570.3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4485.1000000000004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172581.78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335428.38-157898.64</f>
        <v>177529.74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46343.78</v>
      </c>
      <c r="E15" s="13"/>
    </row>
    <row r="16" spans="1:5" ht="15.75" x14ac:dyDescent="0.25">
      <c r="A16" s="13"/>
      <c r="B16" s="16" t="s">
        <v>17</v>
      </c>
      <c r="C16" s="13"/>
      <c r="D16" s="19">
        <f>D14+D15</f>
        <v>223873.52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D20+D25</f>
        <v>26359.91</v>
      </c>
      <c r="E19" s="26">
        <f>E20</f>
        <v>6449.9946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D21+D24</f>
        <v>24618.3</v>
      </c>
      <c r="E20" s="26">
        <f>E21+E24</f>
        <v>6449.9946</v>
      </c>
    </row>
    <row r="21" spans="1:5" x14ac:dyDescent="0.25">
      <c r="A21" s="20"/>
      <c r="B21" s="20" t="s">
        <v>23</v>
      </c>
      <c r="C21" s="20"/>
      <c r="D21" s="20">
        <v>21548.89</v>
      </c>
      <c r="E21" s="28">
        <f>D21*26.2%</f>
        <v>5645.8091800000002</v>
      </c>
    </row>
    <row r="22" spans="1:5" x14ac:dyDescent="0.25">
      <c r="A22" s="20"/>
      <c r="B22" s="20" t="s">
        <v>24</v>
      </c>
      <c r="C22" s="20"/>
      <c r="D22" s="29">
        <v>0</v>
      </c>
      <c r="E22" s="28">
        <f>D22*26.2%</f>
        <v>0</v>
      </c>
    </row>
    <row r="23" spans="1:5" x14ac:dyDescent="0.25">
      <c r="A23" s="20"/>
      <c r="B23" s="20" t="s">
        <v>25</v>
      </c>
      <c r="C23" s="13"/>
      <c r="D23" s="13">
        <v>0</v>
      </c>
      <c r="E23" s="28">
        <f>D23*26.2%</f>
        <v>0</v>
      </c>
    </row>
    <row r="24" spans="1:5" x14ac:dyDescent="0.25">
      <c r="A24" s="20"/>
      <c r="B24" s="27" t="s">
        <v>81</v>
      </c>
      <c r="C24" s="13"/>
      <c r="D24" s="13">
        <v>3069.41</v>
      </c>
      <c r="E24" s="28">
        <f>D24*26.2%</f>
        <v>804.18542000000002</v>
      </c>
    </row>
    <row r="25" spans="1:5" x14ac:dyDescent="0.25">
      <c r="A25" s="20">
        <v>2</v>
      </c>
      <c r="B25" s="27" t="s">
        <v>26</v>
      </c>
      <c r="C25" s="13"/>
      <c r="D25" s="13">
        <v>1741.61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45442.579999999994</v>
      </c>
      <c r="E26" s="26">
        <f>E27</f>
        <v>10978.74582</v>
      </c>
    </row>
    <row r="27" spans="1:5" x14ac:dyDescent="0.25">
      <c r="A27" s="20">
        <v>1</v>
      </c>
      <c r="B27" s="31" t="s">
        <v>29</v>
      </c>
      <c r="C27" s="20"/>
      <c r="D27" s="31">
        <v>41903.61</v>
      </c>
      <c r="E27" s="28">
        <f>D27*26.2%</f>
        <v>10978.74582</v>
      </c>
    </row>
    <row r="28" spans="1:5" x14ac:dyDescent="0.25">
      <c r="A28" s="20">
        <v>2</v>
      </c>
      <c r="B28" s="31" t="s">
        <v>26</v>
      </c>
      <c r="C28" s="20"/>
      <c r="D28" s="31">
        <v>1648.77</v>
      </c>
      <c r="E28" s="20"/>
    </row>
    <row r="29" spans="1:5" x14ac:dyDescent="0.25">
      <c r="A29" s="20">
        <v>3</v>
      </c>
      <c r="B29" s="31" t="s">
        <v>86</v>
      </c>
      <c r="C29" s="20"/>
      <c r="D29" s="31">
        <v>1890.2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26055.056</v>
      </c>
      <c r="E30" s="20"/>
    </row>
    <row r="31" spans="1:5" x14ac:dyDescent="0.25">
      <c r="A31" s="20"/>
      <c r="B31" s="20" t="s">
        <v>32</v>
      </c>
      <c r="C31" s="20"/>
      <c r="D31" s="28">
        <f>D16*5%</f>
        <v>11193.675999999999</v>
      </c>
      <c r="E31" s="20"/>
    </row>
    <row r="32" spans="1:5" x14ac:dyDescent="0.25">
      <c r="A32" s="20"/>
      <c r="B32" s="20" t="s">
        <v>61</v>
      </c>
      <c r="C32" s="20"/>
      <c r="D32" s="20">
        <f>318.17+310.7</f>
        <v>628.87</v>
      </c>
      <c r="E32" s="20"/>
    </row>
    <row r="33" spans="1:5" x14ac:dyDescent="0.25">
      <c r="A33" s="20"/>
      <c r="B33" s="20" t="s">
        <v>34</v>
      </c>
      <c r="C33" s="20"/>
      <c r="D33" s="28">
        <v>7444.17</v>
      </c>
      <c r="E33" s="20"/>
    </row>
    <row r="34" spans="1:5" x14ac:dyDescent="0.25">
      <c r="A34" s="20"/>
      <c r="B34" s="13" t="s">
        <v>33</v>
      </c>
      <c r="C34" s="13"/>
      <c r="D34" s="13">
        <v>2679</v>
      </c>
      <c r="E34" s="20"/>
    </row>
    <row r="35" spans="1:5" x14ac:dyDescent="0.25">
      <c r="A35" s="20"/>
      <c r="B35" s="27" t="s">
        <v>36</v>
      </c>
      <c r="C35" s="20"/>
      <c r="D35" s="20">
        <v>1240.95</v>
      </c>
      <c r="E35" s="20"/>
    </row>
    <row r="36" spans="1:5" x14ac:dyDescent="0.25">
      <c r="A36" s="20"/>
      <c r="B36" s="27" t="s">
        <v>66</v>
      </c>
      <c r="C36" s="20"/>
      <c r="D36" s="20">
        <v>0</v>
      </c>
      <c r="E36" s="20"/>
    </row>
    <row r="37" spans="1:5" x14ac:dyDescent="0.25">
      <c r="A37" s="20"/>
      <c r="B37" s="31" t="s">
        <v>38</v>
      </c>
      <c r="C37" s="20"/>
      <c r="D37" s="20">
        <v>2868.39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27287.31</v>
      </c>
      <c r="E38" s="26">
        <f>E39</f>
        <v>5321.5396400000009</v>
      </c>
    </row>
    <row r="39" spans="1:5" x14ac:dyDescent="0.25">
      <c r="A39" s="73"/>
      <c r="B39" s="31" t="s">
        <v>40</v>
      </c>
      <c r="C39" s="31"/>
      <c r="D39" s="33">
        <v>20311.22</v>
      </c>
      <c r="E39" s="28">
        <f>D39*26.2%</f>
        <v>5321.5396400000009</v>
      </c>
    </row>
    <row r="40" spans="1:5" x14ac:dyDescent="0.25">
      <c r="A40" s="73"/>
      <c r="B40" s="20" t="s">
        <v>41</v>
      </c>
      <c r="C40" s="20"/>
      <c r="D40" s="33">
        <v>6976.09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D19+E19+D26+E26+D30+D38+E38</f>
        <v>147895.13605999999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D16*6%</f>
        <v>13432.411199999999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161327.54725999999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D14-D43</f>
        <v>16202.192739999999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D8+D45</f>
        <v>119614.42273999999</v>
      </c>
      <c r="E46" s="20"/>
    </row>
    <row r="47" spans="1:5" x14ac:dyDescent="0.25">
      <c r="A47" s="34"/>
      <c r="B47" s="35" t="s">
        <v>16</v>
      </c>
      <c r="C47" s="34"/>
      <c r="D47" s="36">
        <f>D15</f>
        <v>46343.78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6:E6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6" workbookViewId="0">
      <selection activeCell="A37" sqref="A37:A46"/>
    </sheetView>
  </sheetViews>
  <sheetFormatPr defaultRowHeight="15" x14ac:dyDescent="0.25"/>
  <cols>
    <col min="2" max="2" width="40.28515625" customWidth="1"/>
    <col min="4" max="4" width="10.85546875" customWidth="1"/>
    <col min="5" max="5" width="10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178</v>
      </c>
    </row>
    <row r="5" spans="1:5" x14ac:dyDescent="0.25">
      <c r="A5" s="599"/>
      <c r="B5" s="599"/>
      <c r="C5" s="599"/>
      <c r="D5" s="430"/>
      <c r="E5" s="58"/>
    </row>
    <row r="6" spans="1:5" x14ac:dyDescent="0.25">
      <c r="A6" s="5"/>
      <c r="B6" s="5"/>
      <c r="C6" s="5"/>
      <c r="D6" s="3"/>
      <c r="E6" s="59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114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-22230.02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851.24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443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17153.099999999999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f>30580.54-15818.35</f>
        <v>14762.19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14762.19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D22+D26</f>
        <v>6024.2599999999993</v>
      </c>
      <c r="E21" s="26">
        <f>E22</f>
        <v>1532.9803400000001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5851.07</v>
      </c>
      <c r="E22" s="26">
        <f>E23</f>
        <v>1532.9803400000001</v>
      </c>
    </row>
    <row r="23" spans="1:5" x14ac:dyDescent="0.25">
      <c r="A23" s="20"/>
      <c r="B23" s="20" t="s">
        <v>23</v>
      </c>
      <c r="C23" s="20"/>
      <c r="D23" s="20">
        <v>5851.07</v>
      </c>
      <c r="E23" s="28">
        <f>D23*26.2%</f>
        <v>1532.9803400000001</v>
      </c>
    </row>
    <row r="24" spans="1:5" x14ac:dyDescent="0.25">
      <c r="A24" s="20"/>
      <c r="B24" s="20" t="s">
        <v>24</v>
      </c>
      <c r="C24" s="20"/>
      <c r="D24" s="29">
        <v>0</v>
      </c>
      <c r="E24" s="28"/>
    </row>
    <row r="25" spans="1:5" x14ac:dyDescent="0.25">
      <c r="A25" s="20"/>
      <c r="B25" s="20" t="s">
        <v>25</v>
      </c>
      <c r="C25" s="20"/>
      <c r="D25" s="20">
        <v>0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173.19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5893.35</v>
      </c>
      <c r="E27" s="26">
        <f>E28</f>
        <v>1091.7304200000001</v>
      </c>
    </row>
    <row r="28" spans="1:5" x14ac:dyDescent="0.25">
      <c r="A28" s="20">
        <v>1</v>
      </c>
      <c r="B28" s="31" t="s">
        <v>29</v>
      </c>
      <c r="C28" s="20"/>
      <c r="D28" s="31">
        <v>4166.91</v>
      </c>
      <c r="E28" s="28">
        <f>D28*26.2%</f>
        <v>1091.7304200000001</v>
      </c>
    </row>
    <row r="29" spans="1:5" x14ac:dyDescent="0.25">
      <c r="A29" s="20">
        <v>2</v>
      </c>
      <c r="B29" s="31" t="s">
        <v>26</v>
      </c>
      <c r="C29" s="20"/>
      <c r="D29" s="31">
        <v>1726.44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</f>
        <v>5547.959499999999</v>
      </c>
      <c r="E30" s="20"/>
    </row>
    <row r="31" spans="1:5" x14ac:dyDescent="0.25">
      <c r="A31" s="20"/>
      <c r="B31" s="20" t="s">
        <v>32</v>
      </c>
      <c r="C31" s="20"/>
      <c r="D31" s="28">
        <f>D18*5%</f>
        <v>738.10950000000003</v>
      </c>
      <c r="E31" s="20"/>
    </row>
    <row r="32" spans="1:5" x14ac:dyDescent="0.25">
      <c r="A32" s="20"/>
      <c r="B32" s="20" t="s">
        <v>61</v>
      </c>
      <c r="C32" s="20"/>
      <c r="D32" s="20">
        <v>0</v>
      </c>
      <c r="E32" s="20"/>
    </row>
    <row r="33" spans="1:5" x14ac:dyDescent="0.25">
      <c r="A33" s="20"/>
      <c r="B33" s="20" t="s">
        <v>34</v>
      </c>
      <c r="C33" s="20"/>
      <c r="D33" s="28">
        <v>740.25</v>
      </c>
      <c r="E33" s="20"/>
    </row>
    <row r="34" spans="1:5" x14ac:dyDescent="0.25">
      <c r="A34" s="20"/>
      <c r="B34" s="27" t="s">
        <v>66</v>
      </c>
      <c r="C34" s="13"/>
      <c r="D34" s="13">
        <v>3660.97</v>
      </c>
      <c r="E34" s="20"/>
    </row>
    <row r="35" spans="1:5" x14ac:dyDescent="0.25">
      <c r="A35" s="20"/>
      <c r="B35" s="27" t="s">
        <v>36</v>
      </c>
      <c r="C35" s="20"/>
      <c r="D35" s="20">
        <v>123.4</v>
      </c>
      <c r="E35" s="20"/>
    </row>
    <row r="36" spans="1:5" x14ac:dyDescent="0.25">
      <c r="A36" s="20"/>
      <c r="B36" s="31" t="s">
        <v>38</v>
      </c>
      <c r="C36" s="20"/>
      <c r="D36" s="20">
        <v>285.23</v>
      </c>
      <c r="E36" s="20"/>
    </row>
    <row r="37" spans="1:5" x14ac:dyDescent="0.25">
      <c r="A37" s="73" t="s">
        <v>89</v>
      </c>
      <c r="B37" s="22" t="s">
        <v>39</v>
      </c>
      <c r="C37" s="20"/>
      <c r="D37" s="26">
        <f>D38+D39</f>
        <v>2019.75</v>
      </c>
      <c r="E37" s="26">
        <f>E38</f>
        <v>529.17449999999997</v>
      </c>
    </row>
    <row r="38" spans="1:5" x14ac:dyDescent="0.25">
      <c r="A38" s="73"/>
      <c r="B38" s="31" t="s">
        <v>40</v>
      </c>
      <c r="C38" s="31"/>
      <c r="D38" s="33">
        <v>2019.75</v>
      </c>
      <c r="E38" s="28">
        <f>D38*26.2%</f>
        <v>529.17449999999997</v>
      </c>
    </row>
    <row r="39" spans="1:5" x14ac:dyDescent="0.25">
      <c r="A39" s="73"/>
      <c r="B39" s="20" t="s">
        <v>41</v>
      </c>
      <c r="C39" s="20"/>
      <c r="D39" s="33"/>
      <c r="E39" s="20"/>
    </row>
    <row r="40" spans="1:5" x14ac:dyDescent="0.25">
      <c r="A40" s="73" t="s">
        <v>90</v>
      </c>
      <c r="B40" s="22" t="s">
        <v>42</v>
      </c>
      <c r="C40" s="20"/>
      <c r="D40" s="26">
        <f>D21+E21+D27+E27+D30+D37+E37</f>
        <v>22639.204760000001</v>
      </c>
      <c r="E40" s="20"/>
    </row>
    <row r="41" spans="1:5" x14ac:dyDescent="0.25">
      <c r="A41" s="73" t="s">
        <v>91</v>
      </c>
      <c r="B41" s="20" t="s">
        <v>43</v>
      </c>
      <c r="C41" s="20"/>
      <c r="D41" s="26">
        <f>D18*6%</f>
        <v>885.73140000000001</v>
      </c>
      <c r="E41" s="20"/>
    </row>
    <row r="42" spans="1:5" x14ac:dyDescent="0.25">
      <c r="A42" s="73" t="s">
        <v>92</v>
      </c>
      <c r="B42" s="22" t="s">
        <v>44</v>
      </c>
      <c r="C42" s="20"/>
      <c r="D42" s="26">
        <f>D40+D41</f>
        <v>23524.936160000001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93</v>
      </c>
      <c r="B44" s="22" t="s">
        <v>45</v>
      </c>
      <c r="C44" s="20"/>
      <c r="D44" s="26">
        <f>D18-D42</f>
        <v>-8762.7461600000006</v>
      </c>
      <c r="E44" s="20"/>
    </row>
    <row r="45" spans="1:5" x14ac:dyDescent="0.25">
      <c r="A45" s="73" t="s">
        <v>94</v>
      </c>
      <c r="B45" s="22" t="s">
        <v>46</v>
      </c>
      <c r="C45" s="20"/>
      <c r="D45" s="26">
        <f>D10+D44</f>
        <v>-30992.766159999999</v>
      </c>
      <c r="E45" s="20"/>
    </row>
    <row r="46" spans="1:5" x14ac:dyDescent="0.25">
      <c r="A46" s="490"/>
      <c r="B46" s="35"/>
      <c r="C46" s="34"/>
      <c r="D46" s="36"/>
      <c r="E46" s="34"/>
    </row>
    <row r="47" spans="1:5" x14ac:dyDescent="0.25">
      <c r="A47" s="37"/>
      <c r="B47" s="37" t="s">
        <v>47</v>
      </c>
      <c r="C47" s="37"/>
      <c r="D47" s="37" t="s">
        <v>48</v>
      </c>
      <c r="E47" s="37"/>
    </row>
    <row r="48" spans="1:5" x14ac:dyDescent="0.25">
      <c r="A48" s="37"/>
      <c r="B48" s="37" t="s">
        <v>49</v>
      </c>
      <c r="C48" s="37"/>
      <c r="D48" s="37" t="s">
        <v>50</v>
      </c>
      <c r="E48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8" sqref="A38:A46"/>
    </sheetView>
  </sheetViews>
  <sheetFormatPr defaultRowHeight="15" x14ac:dyDescent="0.25"/>
  <cols>
    <col min="2" max="2" width="40.7109375" customWidth="1"/>
    <col min="4" max="4" width="11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179</v>
      </c>
    </row>
    <row r="5" spans="1:5" x14ac:dyDescent="0.25">
      <c r="B5" t="s">
        <v>2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175</v>
      </c>
      <c r="C8" s="13"/>
      <c r="D8" s="471">
        <v>-87753.15</v>
      </c>
      <c r="E8" s="413"/>
    </row>
    <row r="9" spans="1:5" x14ac:dyDescent="0.25">
      <c r="A9" s="9"/>
      <c r="B9" s="12" t="s">
        <v>176</v>
      </c>
      <c r="C9" s="9"/>
      <c r="D9" s="10">
        <v>40133.58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3980.8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2528.5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106066.08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202491.44-93885.55</f>
        <v>108605.89</v>
      </c>
      <c r="E14" s="13"/>
    </row>
    <row r="15" spans="1:5" x14ac:dyDescent="0.25">
      <c r="A15" s="13">
        <v>2</v>
      </c>
      <c r="B15" s="13" t="s">
        <v>16</v>
      </c>
      <c r="C15" s="13"/>
      <c r="D15" s="13">
        <f>58719.8-40133.58+15423.2</f>
        <v>34009.42</v>
      </c>
      <c r="E15" s="13"/>
    </row>
    <row r="16" spans="1:5" x14ac:dyDescent="0.25">
      <c r="A16" s="13">
        <v>3</v>
      </c>
      <c r="B16" s="13" t="s">
        <v>102</v>
      </c>
      <c r="C16" s="13"/>
      <c r="D16" s="13">
        <v>500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143115.31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31713.920000000002</v>
      </c>
      <c r="E20" s="26">
        <f>E21</f>
        <v>8051.8049600000004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D22+D23+D25</f>
        <v>30732.080000000002</v>
      </c>
      <c r="E21" s="26">
        <f>E22+E23+E25</f>
        <v>8051.8049600000004</v>
      </c>
    </row>
    <row r="22" spans="1:5" x14ac:dyDescent="0.25">
      <c r="A22" s="20"/>
      <c r="B22" s="20" t="s">
        <v>23</v>
      </c>
      <c r="C22" s="20"/>
      <c r="D22" s="20">
        <v>15851.92</v>
      </c>
      <c r="E22" s="28">
        <f>D22*26.2%</f>
        <v>4153.2030400000003</v>
      </c>
    </row>
    <row r="23" spans="1:5" x14ac:dyDescent="0.25">
      <c r="A23" s="20"/>
      <c r="B23" s="20" t="s">
        <v>24</v>
      </c>
      <c r="C23" s="20"/>
      <c r="D23" s="29">
        <v>14583.76</v>
      </c>
      <c r="E23" s="28">
        <f>D23*26.2%</f>
        <v>3820.9451200000003</v>
      </c>
    </row>
    <row r="24" spans="1:5" x14ac:dyDescent="0.25">
      <c r="A24" s="20"/>
      <c r="B24" s="20" t="s">
        <v>25</v>
      </c>
      <c r="C24" s="13"/>
      <c r="D24" s="13">
        <v>0</v>
      </c>
      <c r="E24" s="28"/>
    </row>
    <row r="25" spans="1:5" x14ac:dyDescent="0.25">
      <c r="A25" s="20"/>
      <c r="B25" s="27" t="s">
        <v>81</v>
      </c>
      <c r="C25" s="13"/>
      <c r="D25" s="13">
        <v>296.39999999999998</v>
      </c>
      <c r="E25" s="28">
        <f>D25*26.2%</f>
        <v>77.656800000000004</v>
      </c>
    </row>
    <row r="26" spans="1:5" x14ac:dyDescent="0.25">
      <c r="A26" s="20">
        <v>2</v>
      </c>
      <c r="B26" s="27" t="s">
        <v>26</v>
      </c>
      <c r="C26" s="20"/>
      <c r="D26" s="20">
        <v>981.84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26944.06</v>
      </c>
      <c r="E27" s="26">
        <f>E28</f>
        <v>6189.3281800000004</v>
      </c>
    </row>
    <row r="28" spans="1:5" x14ac:dyDescent="0.25">
      <c r="A28" s="20">
        <v>1</v>
      </c>
      <c r="B28" s="31" t="s">
        <v>29</v>
      </c>
      <c r="C28" s="20"/>
      <c r="D28" s="31">
        <v>23623.39</v>
      </c>
      <c r="E28" s="28">
        <f>D28*26.2%</f>
        <v>6189.3281800000004</v>
      </c>
    </row>
    <row r="29" spans="1:5" x14ac:dyDescent="0.25">
      <c r="A29" s="20">
        <v>2</v>
      </c>
      <c r="B29" s="31" t="s">
        <v>26</v>
      </c>
      <c r="C29" s="20"/>
      <c r="D29" s="31">
        <v>1430.47</v>
      </c>
      <c r="E29" s="20"/>
    </row>
    <row r="30" spans="1:5" x14ac:dyDescent="0.25">
      <c r="A30" s="20">
        <v>3</v>
      </c>
      <c r="B30" s="31" t="s">
        <v>86</v>
      </c>
      <c r="C30" s="20"/>
      <c r="D30" s="31">
        <v>1890.2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14023.8555</v>
      </c>
      <c r="E31" s="20"/>
    </row>
    <row r="32" spans="1:5" x14ac:dyDescent="0.25">
      <c r="A32" s="20"/>
      <c r="B32" s="20" t="s">
        <v>32</v>
      </c>
      <c r="C32" s="20"/>
      <c r="D32" s="28">
        <f>D17*5%</f>
        <v>7155.7655000000004</v>
      </c>
      <c r="E32" s="20"/>
    </row>
    <row r="33" spans="1:5" x14ac:dyDescent="0.25">
      <c r="A33" s="20"/>
      <c r="B33" s="20" t="s">
        <v>61</v>
      </c>
      <c r="C33" s="20"/>
      <c r="D33" s="20">
        <f>179.47+175.27</f>
        <v>354.74</v>
      </c>
      <c r="E33" s="20"/>
    </row>
    <row r="34" spans="1:5" x14ac:dyDescent="0.25">
      <c r="A34" s="20"/>
      <c r="B34" s="20" t="s">
        <v>34</v>
      </c>
      <c r="C34" s="20"/>
      <c r="D34" s="28">
        <v>4196.6899999999996</v>
      </c>
      <c r="E34" s="20"/>
    </row>
    <row r="35" spans="1:5" x14ac:dyDescent="0.25">
      <c r="A35" s="20"/>
      <c r="B35" s="31" t="s">
        <v>36</v>
      </c>
      <c r="C35" s="20"/>
      <c r="D35" s="20">
        <v>699.59</v>
      </c>
      <c r="E35" s="20"/>
    </row>
    <row r="36" spans="1:5" x14ac:dyDescent="0.25">
      <c r="A36" s="20"/>
      <c r="B36" s="31" t="s">
        <v>35</v>
      </c>
      <c r="C36" s="20"/>
      <c r="D36" s="20">
        <v>0</v>
      </c>
      <c r="E36" s="20"/>
    </row>
    <row r="37" spans="1:5" x14ac:dyDescent="0.25">
      <c r="A37" s="20"/>
      <c r="B37" s="20" t="s">
        <v>38</v>
      </c>
      <c r="C37" s="20"/>
      <c r="D37" s="20">
        <v>1617.07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15383.369999999999</v>
      </c>
      <c r="E38" s="26">
        <f>E39</f>
        <v>3000.0467199999998</v>
      </c>
    </row>
    <row r="39" spans="1:5" x14ac:dyDescent="0.25">
      <c r="A39" s="73"/>
      <c r="B39" s="31" t="s">
        <v>40</v>
      </c>
      <c r="C39" s="31"/>
      <c r="D39" s="33">
        <v>11450.56</v>
      </c>
      <c r="E39" s="28">
        <f>D39*26.2%</f>
        <v>3000.0467199999998</v>
      </c>
    </row>
    <row r="40" spans="1:5" x14ac:dyDescent="0.25">
      <c r="A40" s="73"/>
      <c r="B40" s="20" t="s">
        <v>41</v>
      </c>
      <c r="C40" s="20"/>
      <c r="D40" s="33">
        <v>3932.81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D20+E20+D27+E27+D31+D38+E38</f>
        <v>105306.38536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D17*6%</f>
        <v>8586.9185999999991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113893.30396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D14-D43</f>
        <v>-5287.4139600000053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D8+D45</f>
        <v>-93040.563959999999</v>
      </c>
      <c r="E46" s="20"/>
    </row>
    <row r="47" spans="1:5" x14ac:dyDescent="0.25">
      <c r="A47" s="34"/>
      <c r="B47" s="35" t="s">
        <v>16</v>
      </c>
      <c r="C47" s="34"/>
      <c r="D47" s="36">
        <f>D9+D15</f>
        <v>74143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2" max="2" width="42.42578125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180</v>
      </c>
    </row>
    <row r="5" spans="1:5" x14ac:dyDescent="0.25">
      <c r="B5" t="s">
        <v>2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116</v>
      </c>
      <c r="E8" s="596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-62605.93</v>
      </c>
      <c r="E10" s="11"/>
    </row>
    <row r="11" spans="1:5" x14ac:dyDescent="0.25">
      <c r="A11" s="13"/>
      <c r="B11" s="14" t="s">
        <v>9</v>
      </c>
      <c r="C11" s="13" t="s">
        <v>10</v>
      </c>
      <c r="D11" s="13">
        <v>3741.15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2509.41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v>105244.14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7">
        <f>205643.39-97238.01</f>
        <v>108405.38000000002</v>
      </c>
      <c r="E16" s="13"/>
    </row>
    <row r="17" spans="1:5" x14ac:dyDescent="0.25">
      <c r="A17" s="13">
        <v>2</v>
      </c>
      <c r="B17" s="13" t="s">
        <v>102</v>
      </c>
      <c r="C17" s="13"/>
      <c r="D17" s="17">
        <v>500</v>
      </c>
      <c r="E17" s="13"/>
    </row>
    <row r="18" spans="1:5" ht="15.75" x14ac:dyDescent="0.25">
      <c r="A18" s="13"/>
      <c r="B18" s="16" t="s">
        <v>17</v>
      </c>
      <c r="C18" s="13"/>
      <c r="D18" s="18">
        <f>D16+D17</f>
        <v>108905.38000000002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</f>
        <v>41107.33</v>
      </c>
      <c r="E21" s="26">
        <f>E22</f>
        <v>10514.819800000001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D23+D24+D26+D25</f>
        <v>40132.9</v>
      </c>
      <c r="E22" s="26">
        <f>E23+E24+E26+E25</f>
        <v>10514.819800000001</v>
      </c>
    </row>
    <row r="23" spans="1:5" x14ac:dyDescent="0.25">
      <c r="A23" s="20"/>
      <c r="B23" s="20" t="s">
        <v>23</v>
      </c>
      <c r="C23" s="13"/>
      <c r="D23" s="13">
        <v>12352.11</v>
      </c>
      <c r="E23" s="28">
        <f>D23*26.2%</f>
        <v>3236.2528200000002</v>
      </c>
    </row>
    <row r="24" spans="1:5" x14ac:dyDescent="0.25">
      <c r="A24" s="20"/>
      <c r="B24" s="20" t="s">
        <v>24</v>
      </c>
      <c r="C24" s="13"/>
      <c r="D24" s="13">
        <v>11641.65</v>
      </c>
      <c r="E24" s="28">
        <f>D24*26.2%</f>
        <v>3050.1123000000002</v>
      </c>
    </row>
    <row r="25" spans="1:5" x14ac:dyDescent="0.25">
      <c r="A25" s="20"/>
      <c r="B25" s="20" t="s">
        <v>25</v>
      </c>
      <c r="C25" s="13"/>
      <c r="D25" s="13">
        <v>15842.74</v>
      </c>
      <c r="E25" s="28">
        <f>D25*26.2%</f>
        <v>4150.7978800000001</v>
      </c>
    </row>
    <row r="26" spans="1:5" x14ac:dyDescent="0.25">
      <c r="A26" s="20"/>
      <c r="B26" s="27" t="s">
        <v>81</v>
      </c>
      <c r="C26" s="13"/>
      <c r="D26" s="13">
        <v>296.39999999999998</v>
      </c>
      <c r="E26" s="28">
        <f>D26*26.2%</f>
        <v>77.656800000000004</v>
      </c>
    </row>
    <row r="27" spans="1:5" x14ac:dyDescent="0.25">
      <c r="A27" s="20">
        <v>2</v>
      </c>
      <c r="B27" s="27" t="s">
        <v>26</v>
      </c>
      <c r="C27" s="13"/>
      <c r="D27" s="13">
        <v>974.43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D29+D31+D30</f>
        <v>25981.99</v>
      </c>
      <c r="E28" s="26">
        <f>E29</f>
        <v>6142.6004800000001</v>
      </c>
    </row>
    <row r="29" spans="1:5" x14ac:dyDescent="0.25">
      <c r="A29" s="20">
        <v>1</v>
      </c>
      <c r="B29" s="31" t="s">
        <v>29</v>
      </c>
      <c r="C29" s="20"/>
      <c r="D29" s="31">
        <v>23445.040000000001</v>
      </c>
      <c r="E29" s="28">
        <f>D29*26.2%</f>
        <v>6142.6004800000001</v>
      </c>
    </row>
    <row r="30" spans="1:5" x14ac:dyDescent="0.25">
      <c r="A30" s="20">
        <v>2</v>
      </c>
      <c r="B30" s="31" t="s">
        <v>86</v>
      </c>
      <c r="C30" s="20"/>
      <c r="D30" s="31">
        <v>1890.2</v>
      </c>
      <c r="E30" s="28"/>
    </row>
    <row r="31" spans="1:5" x14ac:dyDescent="0.25">
      <c r="A31" s="20">
        <v>3</v>
      </c>
      <c r="B31" s="31" t="s">
        <v>26</v>
      </c>
      <c r="C31" s="20"/>
      <c r="D31" s="31">
        <v>646.75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D33+D34+D35+D36+D37+D38</f>
        <v>12088.919000000002</v>
      </c>
      <c r="E32" s="20"/>
    </row>
    <row r="33" spans="1:5" x14ac:dyDescent="0.25">
      <c r="A33" s="20"/>
      <c r="B33" s="20" t="s">
        <v>32</v>
      </c>
      <c r="C33" s="20"/>
      <c r="D33" s="28">
        <f>D18*5%</f>
        <v>5445.2690000000011</v>
      </c>
      <c r="E33" s="20"/>
    </row>
    <row r="34" spans="1:5" x14ac:dyDescent="0.25">
      <c r="A34" s="20"/>
      <c r="B34" s="20" t="s">
        <v>61</v>
      </c>
      <c r="C34" s="20"/>
      <c r="D34" s="20">
        <v>179.47</v>
      </c>
      <c r="E34" s="20"/>
    </row>
    <row r="35" spans="1:5" x14ac:dyDescent="0.25">
      <c r="A35" s="20"/>
      <c r="B35" s="20" t="s">
        <v>34</v>
      </c>
      <c r="C35" s="20"/>
      <c r="D35" s="28">
        <v>4165.01</v>
      </c>
      <c r="E35" s="20"/>
    </row>
    <row r="36" spans="1:5" x14ac:dyDescent="0.25">
      <c r="A36" s="20"/>
      <c r="B36" s="31" t="s">
        <v>35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694.31</v>
      </c>
      <c r="E37" s="20"/>
    </row>
    <row r="38" spans="1:5" x14ac:dyDescent="0.25">
      <c r="A38" s="20"/>
      <c r="B38" s="31" t="s">
        <v>38</v>
      </c>
      <c r="C38" s="20"/>
      <c r="D38" s="20">
        <v>1604.86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50427.22</v>
      </c>
      <c r="E39" s="26">
        <f>E40</f>
        <v>2977.3968200000004</v>
      </c>
    </row>
    <row r="40" spans="1:5" x14ac:dyDescent="0.25">
      <c r="A40" s="73"/>
      <c r="B40" s="31" t="s">
        <v>40</v>
      </c>
      <c r="C40" s="31"/>
      <c r="D40" s="33">
        <v>11364.11</v>
      </c>
      <c r="E40" s="28">
        <f>D40*26.2%</f>
        <v>2977.3968200000004</v>
      </c>
    </row>
    <row r="41" spans="1:5" x14ac:dyDescent="0.25">
      <c r="A41" s="73"/>
      <c r="B41" s="20" t="s">
        <v>41</v>
      </c>
      <c r="C41" s="20"/>
      <c r="D41" s="33">
        <v>39063.11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D21+E21+D28+E28+D32+D39+E39</f>
        <v>149240.27609999999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6534.3228000000008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155774.59889999998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-46869.218899999963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-109475.14889999997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45" sqref="D45"/>
    </sheetView>
  </sheetViews>
  <sheetFormatPr defaultRowHeight="15" x14ac:dyDescent="0.25"/>
  <cols>
    <col min="2" max="2" width="39.85546875" customWidth="1"/>
    <col min="4" max="4" width="11.28515625" customWidth="1"/>
    <col min="5" max="5" width="11.71093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181</v>
      </c>
    </row>
    <row r="5" spans="1:5" x14ac:dyDescent="0.25">
      <c r="B5" t="s">
        <v>88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182</v>
      </c>
      <c r="C8" s="13"/>
      <c r="D8" s="471">
        <v>-116737.06</v>
      </c>
      <c r="E8" s="413"/>
    </row>
    <row r="9" spans="1:5" x14ac:dyDescent="0.25">
      <c r="A9" s="9"/>
      <c r="B9" s="12" t="s">
        <v>183</v>
      </c>
      <c r="C9" s="9"/>
      <c r="D9" s="10">
        <v>40952.730000000003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5902.23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4583.71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173286.06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355821.33-160164.92</f>
        <v>195656.41</v>
      </c>
      <c r="E14" s="13"/>
    </row>
    <row r="15" spans="1:5" x14ac:dyDescent="0.25">
      <c r="A15" s="13">
        <v>2</v>
      </c>
      <c r="B15" s="13" t="s">
        <v>16</v>
      </c>
      <c r="C15" s="13"/>
      <c r="D15" s="13">
        <f>97441.31-D9</f>
        <v>56488.579999999994</v>
      </c>
      <c r="E15" s="13"/>
    </row>
    <row r="16" spans="1:5" x14ac:dyDescent="0.25">
      <c r="A16" s="13">
        <v>3</v>
      </c>
      <c r="B16" s="13" t="s">
        <v>102</v>
      </c>
      <c r="C16" s="13"/>
      <c r="D16" s="13">
        <f>3000+3210.13+500</f>
        <v>6710.13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258855.12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</f>
        <v>40190.769999999997</v>
      </c>
      <c r="E20" s="26">
        <f>E21</f>
        <v>10063.647939999999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D22+D24</f>
        <v>38410.869999999995</v>
      </c>
      <c r="E21" s="26">
        <f>E22+E24</f>
        <v>10063.647939999999</v>
      </c>
    </row>
    <row r="22" spans="1:5" x14ac:dyDescent="0.25">
      <c r="A22" s="20"/>
      <c r="B22" s="20" t="s">
        <v>23</v>
      </c>
      <c r="C22" s="20"/>
      <c r="D22" s="20">
        <v>36950.879999999997</v>
      </c>
      <c r="E22" s="28">
        <f>D22*26.2%</f>
        <v>9681.1305599999996</v>
      </c>
    </row>
    <row r="23" spans="1:5" x14ac:dyDescent="0.25">
      <c r="A23" s="20"/>
      <c r="B23" s="20" t="s">
        <v>24</v>
      </c>
      <c r="C23" s="20"/>
      <c r="D23" s="29">
        <v>0</v>
      </c>
      <c r="E23" s="28"/>
    </row>
    <row r="24" spans="1:5" x14ac:dyDescent="0.25">
      <c r="A24" s="20"/>
      <c r="B24" s="27" t="s">
        <v>81</v>
      </c>
      <c r="C24" s="20"/>
      <c r="D24" s="20">
        <v>1459.99</v>
      </c>
      <c r="E24" s="28">
        <f>D24*26.2%</f>
        <v>382.51738</v>
      </c>
    </row>
    <row r="25" spans="1:5" x14ac:dyDescent="0.25">
      <c r="A25" s="20">
        <v>2</v>
      </c>
      <c r="B25" s="27" t="s">
        <v>26</v>
      </c>
      <c r="C25" s="20"/>
      <c r="D25" s="20">
        <v>1779.9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67582.350000000006</v>
      </c>
      <c r="E26" s="26">
        <f>E27</f>
        <v>11220.126420000001</v>
      </c>
    </row>
    <row r="27" spans="1:5" x14ac:dyDescent="0.25">
      <c r="A27" s="20">
        <v>1</v>
      </c>
      <c r="B27" s="31" t="s">
        <v>29</v>
      </c>
      <c r="C27" s="20"/>
      <c r="D27" s="31">
        <v>42824.91</v>
      </c>
      <c r="E27" s="28">
        <f>D27*26.2%</f>
        <v>11220.126420000001</v>
      </c>
    </row>
    <row r="28" spans="1:5" x14ac:dyDescent="0.25">
      <c r="A28" s="20">
        <v>2</v>
      </c>
      <c r="B28" s="31" t="s">
        <v>26</v>
      </c>
      <c r="C28" s="20"/>
      <c r="D28" s="31">
        <v>24757.439999999999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D30+D31+D32+D34+D35+D36+D33</f>
        <v>79036.650640000007</v>
      </c>
      <c r="E29" s="20"/>
    </row>
    <row r="30" spans="1:5" x14ac:dyDescent="0.25">
      <c r="A30" s="20"/>
      <c r="B30" s="20" t="s">
        <v>32</v>
      </c>
      <c r="C30" s="20"/>
      <c r="D30" s="28">
        <f>D17*4.7%</f>
        <v>12166.190640000001</v>
      </c>
      <c r="E30" s="20"/>
    </row>
    <row r="31" spans="1:5" x14ac:dyDescent="0.25">
      <c r="A31" s="20"/>
      <c r="B31" s="20" t="s">
        <v>61</v>
      </c>
      <c r="C31" s="20"/>
      <c r="D31" s="20">
        <v>447.18</v>
      </c>
      <c r="E31" s="20"/>
    </row>
    <row r="32" spans="1:5" x14ac:dyDescent="0.25">
      <c r="A32" s="20"/>
      <c r="B32" s="20" t="s">
        <v>34</v>
      </c>
      <c r="C32" s="20"/>
      <c r="D32" s="28">
        <v>7607.84</v>
      </c>
      <c r="E32" s="20"/>
    </row>
    <row r="33" spans="1:5" x14ac:dyDescent="0.25">
      <c r="A33" s="20"/>
      <c r="B33" s="27" t="s">
        <v>37</v>
      </c>
      <c r="C33" s="20"/>
      <c r="D33" s="28">
        <v>54050.48</v>
      </c>
      <c r="E33" s="20"/>
    </row>
    <row r="34" spans="1:5" x14ac:dyDescent="0.25">
      <c r="A34" s="20"/>
      <c r="B34" s="31" t="s">
        <v>35</v>
      </c>
      <c r="C34" s="20"/>
      <c r="D34" s="20">
        <v>565.28</v>
      </c>
      <c r="E34" s="20"/>
    </row>
    <row r="35" spans="1:5" x14ac:dyDescent="0.25">
      <c r="A35" s="20"/>
      <c r="B35" s="27" t="s">
        <v>36</v>
      </c>
      <c r="C35" s="20"/>
      <c r="D35" s="20">
        <v>1268.23</v>
      </c>
      <c r="E35" s="20"/>
    </row>
    <row r="36" spans="1:5" x14ac:dyDescent="0.25">
      <c r="A36" s="20"/>
      <c r="B36" s="31" t="s">
        <v>38</v>
      </c>
      <c r="C36" s="20"/>
      <c r="D36" s="20">
        <v>2931.45</v>
      </c>
      <c r="E36" s="20"/>
    </row>
    <row r="37" spans="1:5" x14ac:dyDescent="0.25">
      <c r="A37" s="73" t="s">
        <v>89</v>
      </c>
      <c r="B37" s="22" t="s">
        <v>39</v>
      </c>
      <c r="C37" s="20"/>
      <c r="D37" s="26">
        <f>D38+D39</f>
        <v>27321.969999999998</v>
      </c>
      <c r="E37" s="26">
        <f>E38</f>
        <v>5438.5383599999996</v>
      </c>
    </row>
    <row r="38" spans="1:5" x14ac:dyDescent="0.25">
      <c r="A38" s="73"/>
      <c r="B38" s="31" t="s">
        <v>40</v>
      </c>
      <c r="C38" s="31"/>
      <c r="D38" s="33">
        <v>20757.78</v>
      </c>
      <c r="E38" s="28">
        <f>D38*26.2%</f>
        <v>5438.5383599999996</v>
      </c>
    </row>
    <row r="39" spans="1:5" x14ac:dyDescent="0.25">
      <c r="A39" s="73"/>
      <c r="B39" s="20" t="s">
        <v>41</v>
      </c>
      <c r="C39" s="20"/>
      <c r="D39" s="33">
        <v>6564.19</v>
      </c>
      <c r="E39" s="20"/>
    </row>
    <row r="40" spans="1:5" x14ac:dyDescent="0.25">
      <c r="A40" s="73" t="s">
        <v>90</v>
      </c>
      <c r="B40" s="22" t="s">
        <v>42</v>
      </c>
      <c r="C40" s="20"/>
      <c r="D40" s="26">
        <f>D20+E20+D26+E26+D29+D37+E37</f>
        <v>240854.05336000002</v>
      </c>
      <c r="E40" s="20"/>
    </row>
    <row r="41" spans="1:5" x14ac:dyDescent="0.25">
      <c r="A41" s="73" t="s">
        <v>91</v>
      </c>
      <c r="B41" s="20" t="s">
        <v>43</v>
      </c>
      <c r="C41" s="20"/>
      <c r="D41" s="26">
        <f>D17*6%</f>
        <v>15531.307199999999</v>
      </c>
      <c r="E41" s="20"/>
    </row>
    <row r="42" spans="1:5" x14ac:dyDescent="0.25">
      <c r="A42" s="73" t="s">
        <v>92</v>
      </c>
      <c r="B42" s="22" t="s">
        <v>44</v>
      </c>
      <c r="C42" s="20"/>
      <c r="D42" s="26">
        <f>D40+D41</f>
        <v>256385.36056000003</v>
      </c>
      <c r="E42" s="20"/>
    </row>
    <row r="43" spans="1:5" x14ac:dyDescent="0.25">
      <c r="A43" s="73"/>
      <c r="B43" s="20"/>
      <c r="C43" s="20"/>
      <c r="D43" s="20"/>
      <c r="E43" s="20"/>
    </row>
    <row r="44" spans="1:5" x14ac:dyDescent="0.25">
      <c r="A44" s="73" t="s">
        <v>93</v>
      </c>
      <c r="B44" s="22" t="s">
        <v>45</v>
      </c>
      <c r="C44" s="20"/>
      <c r="D44" s="26">
        <f>D14+D16-D42</f>
        <v>-54018.820560000022</v>
      </c>
      <c r="E44" s="20"/>
    </row>
    <row r="45" spans="1:5" x14ac:dyDescent="0.25">
      <c r="A45" s="73" t="s">
        <v>94</v>
      </c>
      <c r="B45" s="22" t="s">
        <v>46</v>
      </c>
      <c r="C45" s="20"/>
      <c r="D45" s="26">
        <f>D8+D44</f>
        <v>-170755.88056000002</v>
      </c>
      <c r="E45" s="20"/>
    </row>
    <row r="46" spans="1:5" x14ac:dyDescent="0.25">
      <c r="A46" s="34"/>
      <c r="B46" s="473" t="s">
        <v>16</v>
      </c>
      <c r="C46" s="34"/>
      <c r="D46" s="36">
        <f>D9+D15</f>
        <v>97441.31</v>
      </c>
      <c r="E46" s="34"/>
    </row>
    <row r="47" spans="1:5" x14ac:dyDescent="0.25">
      <c r="A47" s="34"/>
      <c r="B47" s="474" t="s">
        <v>142</v>
      </c>
      <c r="C47" s="34"/>
      <c r="D47" s="36">
        <v>10437</v>
      </c>
      <c r="E47" s="34"/>
    </row>
    <row r="48" spans="1:5" x14ac:dyDescent="0.25">
      <c r="A48" s="34"/>
      <c r="B48" s="474" t="s">
        <v>184</v>
      </c>
      <c r="C48" s="34"/>
      <c r="D48" s="36">
        <f>D46-D47</f>
        <v>87004.31</v>
      </c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G46" sqref="G46"/>
    </sheetView>
  </sheetViews>
  <sheetFormatPr defaultRowHeight="15" x14ac:dyDescent="0.25"/>
  <cols>
    <col min="2" max="2" width="42.28515625" customWidth="1"/>
    <col min="4" max="4" width="12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185</v>
      </c>
    </row>
    <row r="5" spans="1:5" x14ac:dyDescent="0.25">
      <c r="B5" t="s">
        <v>2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112</v>
      </c>
      <c r="E7" s="596"/>
    </row>
    <row r="8" spans="1:5" x14ac:dyDescent="0.25">
      <c r="A8" s="13"/>
      <c r="B8" s="14" t="s">
        <v>175</v>
      </c>
      <c r="C8" s="13"/>
      <c r="D8" s="471">
        <v>51463.03</v>
      </c>
      <c r="E8" s="413"/>
    </row>
    <row r="9" spans="1:5" x14ac:dyDescent="0.25">
      <c r="A9" s="9"/>
      <c r="B9" s="12" t="s">
        <v>176</v>
      </c>
      <c r="C9" s="9"/>
      <c r="D9" s="10">
        <v>36172.44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3713.1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3054.59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117164.22</v>
      </c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225883.7-117988.7</f>
        <v>107895.00000000001</v>
      </c>
      <c r="E14" s="13"/>
    </row>
    <row r="15" spans="1:5" x14ac:dyDescent="0.25">
      <c r="A15" s="13">
        <v>2</v>
      </c>
      <c r="B15" s="13" t="s">
        <v>16</v>
      </c>
      <c r="C15" s="13" t="s">
        <v>13</v>
      </c>
      <c r="D15" s="13">
        <f>65252.71-D9+5237.62</f>
        <v>34317.89</v>
      </c>
      <c r="E15" s="13"/>
    </row>
    <row r="16" spans="1:5" x14ac:dyDescent="0.25">
      <c r="A16" s="13">
        <v>3</v>
      </c>
      <c r="B16" s="13" t="s">
        <v>102</v>
      </c>
      <c r="C16" s="13"/>
      <c r="D16" s="13">
        <v>3500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145712.89000000001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24670.079999999998</v>
      </c>
      <c r="E20" s="26">
        <f>E21</f>
        <v>6152.7948999999999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23483.949999999997</v>
      </c>
      <c r="E21" s="26">
        <f>E22+E25</f>
        <v>6152.7948999999999</v>
      </c>
    </row>
    <row r="22" spans="1:5" x14ac:dyDescent="0.25">
      <c r="A22" s="20"/>
      <c r="B22" s="13" t="s">
        <v>23</v>
      </c>
      <c r="C22" s="13"/>
      <c r="D22" s="13">
        <v>21558.6</v>
      </c>
      <c r="E22" s="28">
        <f>D22*26.2%</f>
        <v>5648.3531999999996</v>
      </c>
    </row>
    <row r="23" spans="1:5" x14ac:dyDescent="0.25">
      <c r="A23" s="20"/>
      <c r="B23" s="13" t="s">
        <v>24</v>
      </c>
      <c r="C23" s="13"/>
      <c r="D23" s="13">
        <v>0</v>
      </c>
      <c r="E23" s="28">
        <f>D23*26.2%</f>
        <v>0</v>
      </c>
    </row>
    <row r="24" spans="1:5" x14ac:dyDescent="0.25">
      <c r="A24" s="20"/>
      <c r="B24" s="13" t="s">
        <v>25</v>
      </c>
      <c r="C24" s="13"/>
      <c r="D24" s="13">
        <v>0</v>
      </c>
      <c r="E24" s="28">
        <f>D24*26.2%</f>
        <v>0</v>
      </c>
    </row>
    <row r="25" spans="1:5" x14ac:dyDescent="0.25">
      <c r="A25" s="20"/>
      <c r="B25" s="27" t="s">
        <v>81</v>
      </c>
      <c r="C25" s="13"/>
      <c r="D25" s="13">
        <v>1925.35</v>
      </c>
      <c r="E25" s="28">
        <f>D25*26.2%</f>
        <v>504.44169999999997</v>
      </c>
    </row>
    <row r="26" spans="1:5" x14ac:dyDescent="0.25">
      <c r="A26" s="20">
        <v>2</v>
      </c>
      <c r="B26" s="27" t="s">
        <v>26</v>
      </c>
      <c r="C26" s="13"/>
      <c r="D26" s="13">
        <v>1186.1300000000001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35424.729999999996</v>
      </c>
      <c r="E27" s="26">
        <f>E28</f>
        <v>7477.1053400000001</v>
      </c>
    </row>
    <row r="28" spans="1:5" x14ac:dyDescent="0.25">
      <c r="A28" s="20">
        <v>1</v>
      </c>
      <c r="B28" s="31" t="s">
        <v>29</v>
      </c>
      <c r="C28" s="20"/>
      <c r="D28" s="13">
        <v>28538.57</v>
      </c>
      <c r="E28" s="28">
        <f>D28*26.2%</f>
        <v>7477.1053400000001</v>
      </c>
    </row>
    <row r="29" spans="1:5" x14ac:dyDescent="0.25">
      <c r="A29" s="20">
        <v>2</v>
      </c>
      <c r="B29" s="31" t="s">
        <v>26</v>
      </c>
      <c r="C29" s="20"/>
      <c r="D29" s="468">
        <v>4995.96</v>
      </c>
      <c r="E29" s="20"/>
    </row>
    <row r="30" spans="1:5" x14ac:dyDescent="0.25">
      <c r="A30" s="20">
        <v>3</v>
      </c>
      <c r="B30" s="31" t="s">
        <v>86</v>
      </c>
      <c r="C30" s="20"/>
      <c r="D30" s="468">
        <v>1890.2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D32+D33+D35+D36+D37+D38+D34</f>
        <v>33165.804499999998</v>
      </c>
      <c r="E31" s="20"/>
    </row>
    <row r="32" spans="1:5" x14ac:dyDescent="0.25">
      <c r="A32" s="20"/>
      <c r="B32" s="20" t="s">
        <v>32</v>
      </c>
      <c r="C32" s="20"/>
      <c r="D32" s="28">
        <f>D17*5%</f>
        <v>7285.6445000000012</v>
      </c>
      <c r="E32" s="20"/>
    </row>
    <row r="33" spans="1:5" x14ac:dyDescent="0.25">
      <c r="A33" s="20"/>
      <c r="B33" s="20" t="s">
        <v>61</v>
      </c>
      <c r="C33" s="20"/>
      <c r="D33" s="20">
        <v>547.66999999999996</v>
      </c>
      <c r="E33" s="20"/>
    </row>
    <row r="34" spans="1:5" x14ac:dyDescent="0.25">
      <c r="A34" s="20"/>
      <c r="B34" s="13" t="s">
        <v>33</v>
      </c>
      <c r="C34" s="13"/>
      <c r="D34" s="13">
        <v>2679</v>
      </c>
      <c r="E34" s="20"/>
    </row>
    <row r="35" spans="1:5" x14ac:dyDescent="0.25">
      <c r="A35" s="20"/>
      <c r="B35" s="20" t="s">
        <v>34</v>
      </c>
      <c r="C35" s="20"/>
      <c r="D35" s="28">
        <v>5069.87</v>
      </c>
      <c r="E35" s="20"/>
    </row>
    <row r="36" spans="1:5" x14ac:dyDescent="0.25">
      <c r="A36" s="20"/>
      <c r="B36" s="13" t="s">
        <v>186</v>
      </c>
      <c r="C36" s="20"/>
      <c r="D36" s="20">
        <v>14784.94</v>
      </c>
      <c r="E36" s="20"/>
    </row>
    <row r="37" spans="1:5" x14ac:dyDescent="0.25">
      <c r="A37" s="20"/>
      <c r="B37" s="27" t="s">
        <v>36</v>
      </c>
      <c r="C37" s="20"/>
      <c r="D37" s="20">
        <v>845.15</v>
      </c>
      <c r="E37" s="20"/>
    </row>
    <row r="38" spans="1:5" x14ac:dyDescent="0.25">
      <c r="A38" s="20"/>
      <c r="B38" s="20" t="s">
        <v>38</v>
      </c>
      <c r="C38" s="20"/>
      <c r="D38" s="20">
        <v>1953.53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18584.099999999999</v>
      </c>
      <c r="E39" s="26">
        <f>E40</f>
        <v>3624.2486200000003</v>
      </c>
    </row>
    <row r="40" spans="1:5" x14ac:dyDescent="0.25">
      <c r="A40" s="73"/>
      <c r="B40" s="31" t="s">
        <v>40</v>
      </c>
      <c r="C40" s="31"/>
      <c r="D40" s="33">
        <v>13833.01</v>
      </c>
      <c r="E40" s="28">
        <f>D40*26.2%</f>
        <v>3624.2486200000003</v>
      </c>
    </row>
    <row r="41" spans="1:5" x14ac:dyDescent="0.25">
      <c r="A41" s="73"/>
      <c r="B41" s="20" t="s">
        <v>41</v>
      </c>
      <c r="C41" s="20"/>
      <c r="D41" s="33">
        <v>4751.09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D20+E20+D27+E27+D31+D39+E39</f>
        <v>129098.86335999999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8742.7734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137841.63675999999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D14+D16-D44</f>
        <v>-26446.636759999979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25016.393240000019</v>
      </c>
      <c r="E47" s="20"/>
    </row>
    <row r="48" spans="1:5" x14ac:dyDescent="0.25">
      <c r="A48" s="34"/>
      <c r="B48" s="35" t="s">
        <v>16</v>
      </c>
      <c r="C48" s="34"/>
      <c r="D48" s="36">
        <f>D15+D9</f>
        <v>70490.33</v>
      </c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187</v>
      </c>
    </row>
    <row r="5" spans="1:5" x14ac:dyDescent="0.25">
      <c r="A5" s="599"/>
      <c r="B5" s="599"/>
      <c r="C5" s="599"/>
      <c r="D5" s="430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144080.18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7687.9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4987.7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209116.37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415160.94-214698.65</f>
        <v>200462.29</v>
      </c>
      <c r="E15" s="13"/>
    </row>
    <row r="16" spans="1:5" x14ac:dyDescent="0.25">
      <c r="A16" s="13">
        <v>2</v>
      </c>
      <c r="B16" s="13" t="s">
        <v>74</v>
      </c>
      <c r="C16" s="13" t="s">
        <v>13</v>
      </c>
      <c r="D16" s="13">
        <v>120000</v>
      </c>
      <c r="E16" s="13"/>
    </row>
    <row r="17" spans="1:5" x14ac:dyDescent="0.25">
      <c r="A17" s="13">
        <v>3</v>
      </c>
      <c r="B17" s="13" t="s">
        <v>188</v>
      </c>
      <c r="C17" s="13"/>
      <c r="D17" s="13">
        <f>3500+1000</f>
        <v>4500</v>
      </c>
      <c r="E17" s="13"/>
    </row>
    <row r="18" spans="1:5" ht="15.75" x14ac:dyDescent="0.25">
      <c r="A18" s="13"/>
      <c r="B18" s="16" t="s">
        <v>17</v>
      </c>
      <c r="C18" s="13"/>
      <c r="D18" s="19">
        <f>D15+D16+D17</f>
        <v>324962.29000000004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77634.02</v>
      </c>
      <c r="E21" s="26">
        <f>E22</f>
        <v>19832.679500000002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75697.25</v>
      </c>
      <c r="E22" s="26">
        <f>E23+E24+E25</f>
        <v>19832.679500000002</v>
      </c>
    </row>
    <row r="23" spans="1:5" x14ac:dyDescent="0.25">
      <c r="A23" s="20"/>
      <c r="B23" s="20" t="s">
        <v>23</v>
      </c>
      <c r="C23" s="20"/>
      <c r="D23" s="20">
        <v>15602.91</v>
      </c>
      <c r="E23" s="28">
        <f>D23*26.2%</f>
        <v>4087.9624200000003</v>
      </c>
    </row>
    <row r="24" spans="1:5" x14ac:dyDescent="0.25">
      <c r="A24" s="20"/>
      <c r="B24" s="20" t="s">
        <v>24</v>
      </c>
      <c r="C24" s="20"/>
      <c r="D24" s="29">
        <v>23283.29</v>
      </c>
      <c r="E24" s="28">
        <f>D24*26.2%</f>
        <v>6100.2219800000003</v>
      </c>
    </row>
    <row r="25" spans="1:5" x14ac:dyDescent="0.25">
      <c r="A25" s="20"/>
      <c r="B25" s="20" t="s">
        <v>25</v>
      </c>
      <c r="C25" s="20"/>
      <c r="D25" s="20">
        <v>36811.050000000003</v>
      </c>
      <c r="E25" s="28">
        <f>D25*26.2%</f>
        <v>9644.4951000000019</v>
      </c>
    </row>
    <row r="26" spans="1:5" x14ac:dyDescent="0.25">
      <c r="A26" s="20">
        <v>2</v>
      </c>
      <c r="B26" s="27" t="s">
        <v>26</v>
      </c>
      <c r="C26" s="20"/>
      <c r="D26" s="20">
        <v>1936.77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53093.03</v>
      </c>
      <c r="E27" s="26">
        <f>E28</f>
        <v>12209.024460000001</v>
      </c>
    </row>
    <row r="28" spans="1:5" x14ac:dyDescent="0.25">
      <c r="A28" s="20">
        <v>1</v>
      </c>
      <c r="B28" s="31" t="s">
        <v>29</v>
      </c>
      <c r="C28" s="20"/>
      <c r="D28" s="31">
        <v>46599.33</v>
      </c>
      <c r="E28" s="28">
        <f>D28*26.2%</f>
        <v>12209.024460000001</v>
      </c>
    </row>
    <row r="29" spans="1:5" x14ac:dyDescent="0.25">
      <c r="A29" s="20">
        <v>2</v>
      </c>
      <c r="B29" s="31" t="s">
        <v>26</v>
      </c>
      <c r="C29" s="20"/>
      <c r="D29" s="31">
        <v>3295.1</v>
      </c>
      <c r="E29" s="20"/>
    </row>
    <row r="30" spans="1:5" x14ac:dyDescent="0.25">
      <c r="A30" s="20">
        <v>3</v>
      </c>
      <c r="B30" s="31" t="s">
        <v>86</v>
      </c>
      <c r="C30" s="20"/>
      <c r="D30" s="31">
        <f>1890.2+436+872.4</f>
        <v>3198.6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D32+D33+D34+D36+D37+D38+D35</f>
        <v>111206.5445</v>
      </c>
      <c r="E31" s="20"/>
    </row>
    <row r="32" spans="1:5" x14ac:dyDescent="0.25">
      <c r="A32" s="20"/>
      <c r="B32" s="20" t="s">
        <v>32</v>
      </c>
      <c r="C32" s="20"/>
      <c r="D32" s="28">
        <f>D18*5%</f>
        <v>16248.114500000003</v>
      </c>
      <c r="E32" s="20"/>
    </row>
    <row r="33" spans="1:5" x14ac:dyDescent="0.25">
      <c r="A33" s="20"/>
      <c r="B33" s="20" t="s">
        <v>61</v>
      </c>
      <c r="C33" s="20"/>
      <c r="D33" s="20">
        <v>110.24</v>
      </c>
      <c r="E33" s="20"/>
    </row>
    <row r="34" spans="1:5" x14ac:dyDescent="0.25">
      <c r="A34" s="20"/>
      <c r="B34" s="20" t="s">
        <v>34</v>
      </c>
      <c r="C34" s="20"/>
      <c r="D34" s="28">
        <v>8278.36</v>
      </c>
      <c r="E34" s="20"/>
    </row>
    <row r="35" spans="1:5" x14ac:dyDescent="0.25">
      <c r="A35" s="20"/>
      <c r="B35" s="27" t="s">
        <v>189</v>
      </c>
      <c r="C35" s="20"/>
      <c r="D35" s="28">
        <v>82000</v>
      </c>
      <c r="E35" s="20"/>
    </row>
    <row r="36" spans="1:5" x14ac:dyDescent="0.25">
      <c r="A36" s="20"/>
      <c r="B36" s="31" t="s">
        <v>35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1380.01</v>
      </c>
      <c r="E37" s="20"/>
    </row>
    <row r="38" spans="1:5" x14ac:dyDescent="0.25">
      <c r="A38" s="20"/>
      <c r="B38" s="31" t="s">
        <v>38</v>
      </c>
      <c r="C38" s="20"/>
      <c r="D38" s="20">
        <v>3189.82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30345.13</v>
      </c>
      <c r="E39" s="26">
        <f>E40</f>
        <v>5917.8699800000004</v>
      </c>
    </row>
    <row r="40" spans="1:5" x14ac:dyDescent="0.25">
      <c r="A40" s="73"/>
      <c r="B40" s="31" t="s">
        <v>40</v>
      </c>
      <c r="C40" s="31"/>
      <c r="D40" s="33">
        <v>22587.29</v>
      </c>
      <c r="E40" s="28">
        <f>D40*26.2%</f>
        <v>5917.8699800000004</v>
      </c>
    </row>
    <row r="41" spans="1:5" x14ac:dyDescent="0.25">
      <c r="A41" s="73"/>
      <c r="B41" s="20" t="s">
        <v>41</v>
      </c>
      <c r="C41" s="20"/>
      <c r="D41" s="33">
        <v>7757.84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D21+E21+D27+E27+D31+D39+E39</f>
        <v>310238.29844000004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D18*6%</f>
        <v>19497.737400000002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329736.03584000003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D18-D44</f>
        <v>-4773.7458399999887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139306.43416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A39" sqref="A39:A47"/>
    </sheetView>
  </sheetViews>
  <sheetFormatPr defaultRowHeight="15" x14ac:dyDescent="0.25"/>
  <cols>
    <col min="2" max="2" width="42.140625" customWidth="1"/>
    <col min="4" max="4" width="11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190</v>
      </c>
    </row>
    <row r="5" spans="1:5" x14ac:dyDescent="0.25">
      <c r="A5" s="57"/>
      <c r="B5" s="57"/>
      <c r="C5" s="57"/>
      <c r="D5" s="57"/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-193890.32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6018.32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4518.3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188291.22</v>
      </c>
      <c r="E12" s="13"/>
    </row>
    <row r="13" spans="1:5" x14ac:dyDescent="0.25">
      <c r="A13" s="13"/>
      <c r="B13" s="15"/>
      <c r="C13" s="13"/>
      <c r="D13" s="19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359718.55-172692.04</f>
        <v>187026.50999999998</v>
      </c>
      <c r="E15" s="13"/>
    </row>
    <row r="16" spans="1:5" x14ac:dyDescent="0.25">
      <c r="A16" s="13">
        <v>2</v>
      </c>
      <c r="B16" s="13" t="s">
        <v>102</v>
      </c>
      <c r="C16" s="13"/>
      <c r="D16" s="13">
        <v>500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187526.50999999998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81288.02</v>
      </c>
      <c r="E20" s="26">
        <f>E21</f>
        <v>20837.78224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D22+D23+D25+D24</f>
        <v>79533.52</v>
      </c>
      <c r="E21" s="26">
        <f>E22+E23+E25+E24</f>
        <v>20837.78224</v>
      </c>
    </row>
    <row r="22" spans="1:5" x14ac:dyDescent="0.25">
      <c r="A22" s="20"/>
      <c r="B22" s="20" t="s">
        <v>23</v>
      </c>
      <c r="C22" s="13"/>
      <c r="D22" s="13">
        <v>30052.63</v>
      </c>
      <c r="E22" s="28">
        <f>D22*26.2%</f>
        <v>7873.789060000001</v>
      </c>
    </row>
    <row r="23" spans="1:5" x14ac:dyDescent="0.25">
      <c r="A23" s="20"/>
      <c r="B23" s="20" t="s">
        <v>24</v>
      </c>
      <c r="C23" s="13"/>
      <c r="D23" s="13">
        <v>18810.62</v>
      </c>
      <c r="E23" s="28">
        <f>D23*26.2%</f>
        <v>4928.3824400000003</v>
      </c>
    </row>
    <row r="24" spans="1:5" x14ac:dyDescent="0.25">
      <c r="A24" s="20"/>
      <c r="B24" s="20" t="s">
        <v>25</v>
      </c>
      <c r="C24" s="13"/>
      <c r="D24" s="13">
        <v>29355.66</v>
      </c>
      <c r="E24" s="28">
        <f>D24*26.2%</f>
        <v>7691.1829200000002</v>
      </c>
    </row>
    <row r="25" spans="1:5" x14ac:dyDescent="0.25">
      <c r="A25" s="20"/>
      <c r="B25" s="27" t="s">
        <v>81</v>
      </c>
      <c r="C25" s="13"/>
      <c r="D25" s="13">
        <v>1314.61</v>
      </c>
      <c r="E25" s="28">
        <f>D25*26.2%</f>
        <v>344.42782</v>
      </c>
    </row>
    <row r="26" spans="1:5" x14ac:dyDescent="0.25">
      <c r="A26" s="20">
        <v>2</v>
      </c>
      <c r="B26" s="27" t="s">
        <v>26</v>
      </c>
      <c r="C26" s="13"/>
      <c r="D26" s="13">
        <v>1754.5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53555.97</v>
      </c>
      <c r="E27" s="26">
        <f>E28</f>
        <v>11060.012980000001</v>
      </c>
    </row>
    <row r="28" spans="1:5" x14ac:dyDescent="0.25">
      <c r="A28" s="20">
        <v>1</v>
      </c>
      <c r="B28" s="31" t="s">
        <v>29</v>
      </c>
      <c r="C28" s="20"/>
      <c r="D28" s="31">
        <v>42213.79</v>
      </c>
      <c r="E28" s="28">
        <f>D28*26.2%</f>
        <v>11060.012980000001</v>
      </c>
    </row>
    <row r="29" spans="1:5" x14ac:dyDescent="0.25">
      <c r="A29" s="20">
        <v>2</v>
      </c>
      <c r="B29" s="31" t="s">
        <v>86</v>
      </c>
      <c r="C29" s="20"/>
      <c r="D29" s="31">
        <v>1890.2</v>
      </c>
      <c r="E29" s="28"/>
    </row>
    <row r="30" spans="1:5" x14ac:dyDescent="0.25">
      <c r="A30" s="20">
        <v>3</v>
      </c>
      <c r="B30" s="31" t="s">
        <v>26</v>
      </c>
      <c r="C30" s="20"/>
      <c r="D30" s="31">
        <v>9451.98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D32+D33+D35+D36+D37+D38+D34</f>
        <v>27082.865499999996</v>
      </c>
      <c r="E31" s="20"/>
    </row>
    <row r="32" spans="1:5" x14ac:dyDescent="0.25">
      <c r="A32" s="20"/>
      <c r="B32" s="20" t="s">
        <v>32</v>
      </c>
      <c r="C32" s="20"/>
      <c r="D32" s="28">
        <f>D17*5%</f>
        <v>9376.325499999999</v>
      </c>
      <c r="E32" s="20"/>
    </row>
    <row r="33" spans="1:5" x14ac:dyDescent="0.25">
      <c r="A33" s="20"/>
      <c r="B33" s="20" t="s">
        <v>61</v>
      </c>
      <c r="C33" s="20"/>
      <c r="D33" s="20">
        <f>358.97+350.54</f>
        <v>709.51</v>
      </c>
      <c r="E33" s="20"/>
    </row>
    <row r="34" spans="1:5" x14ac:dyDescent="0.25">
      <c r="A34" s="20"/>
      <c r="B34" s="13" t="s">
        <v>33</v>
      </c>
      <c r="C34" s="13"/>
      <c r="D34" s="13">
        <v>5358</v>
      </c>
      <c r="E34" s="20"/>
    </row>
    <row r="35" spans="1:5" x14ac:dyDescent="0.25">
      <c r="A35" s="20"/>
      <c r="B35" s="20" t="s">
        <v>34</v>
      </c>
      <c r="C35" s="20"/>
      <c r="D35" s="28">
        <v>7499.27</v>
      </c>
      <c r="E35" s="20"/>
    </row>
    <row r="36" spans="1:5" x14ac:dyDescent="0.25">
      <c r="A36" s="20"/>
      <c r="B36" s="27" t="s">
        <v>35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1250.1400000000001</v>
      </c>
      <c r="E37" s="20"/>
    </row>
    <row r="38" spans="1:5" x14ac:dyDescent="0.25">
      <c r="A38" s="20"/>
      <c r="B38" s="20" t="s">
        <v>38</v>
      </c>
      <c r="C38" s="20"/>
      <c r="D38" s="20">
        <v>2889.62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27489.309999999998</v>
      </c>
      <c r="E39" s="26">
        <f>E40</f>
        <v>5360.9313400000001</v>
      </c>
    </row>
    <row r="40" spans="1:5" x14ac:dyDescent="0.25">
      <c r="A40" s="73"/>
      <c r="B40" s="31" t="s">
        <v>40</v>
      </c>
      <c r="C40" s="31"/>
      <c r="D40" s="33">
        <v>20461.57</v>
      </c>
      <c r="E40" s="28">
        <f>D40*26.2%</f>
        <v>5360.9313400000001</v>
      </c>
    </row>
    <row r="41" spans="1:5" x14ac:dyDescent="0.25">
      <c r="A41" s="73"/>
      <c r="B41" s="20" t="s">
        <v>41</v>
      </c>
      <c r="C41" s="20"/>
      <c r="D41" s="33">
        <v>7027.74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D20+E20+D27+E27+D31+D39+E39</f>
        <v>226674.89206000001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11251.590599999998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237926.48266000001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-50399.972660000029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-244290.29266000004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40" sqref="A40:A47"/>
    </sheetView>
  </sheetViews>
  <sheetFormatPr defaultRowHeight="15" x14ac:dyDescent="0.25"/>
  <cols>
    <col min="2" max="2" width="37.140625" customWidth="1"/>
    <col min="4" max="4" width="10.42578125" customWidth="1"/>
    <col min="5" max="5" width="9.7109375" customWidth="1"/>
  </cols>
  <sheetData>
    <row r="1" spans="1:5" ht="15.75" x14ac:dyDescent="0.25">
      <c r="A1" s="107"/>
      <c r="B1" s="108" t="s">
        <v>0</v>
      </c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 t="s">
        <v>58</v>
      </c>
      <c r="C3" s="107"/>
      <c r="D3" s="107"/>
      <c r="E3" s="107"/>
    </row>
    <row r="4" spans="1:5" x14ac:dyDescent="0.25">
      <c r="A4" s="107"/>
      <c r="B4" s="109" t="s">
        <v>111</v>
      </c>
      <c r="C4" s="107"/>
      <c r="D4" s="107"/>
      <c r="E4" s="107"/>
    </row>
    <row r="5" spans="1:5" x14ac:dyDescent="0.25">
      <c r="A5" s="512"/>
      <c r="B5" s="512"/>
      <c r="C5" s="512"/>
      <c r="D5" s="421"/>
      <c r="E5" s="110"/>
    </row>
    <row r="6" spans="1:5" ht="15.75" x14ac:dyDescent="0.25">
      <c r="A6" s="111"/>
      <c r="B6" s="112" t="s">
        <v>3</v>
      </c>
      <c r="C6" s="113" t="s">
        <v>4</v>
      </c>
      <c r="D6" s="513" t="s">
        <v>5</v>
      </c>
      <c r="E6" s="514"/>
    </row>
    <row r="7" spans="1:5" ht="15.75" x14ac:dyDescent="0.25">
      <c r="A7" s="114"/>
      <c r="B7" s="112" t="s">
        <v>6</v>
      </c>
      <c r="C7" s="113" t="s">
        <v>7</v>
      </c>
      <c r="D7" s="510" t="s">
        <v>112</v>
      </c>
      <c r="E7" s="511"/>
    </row>
    <row r="8" spans="1:5" x14ac:dyDescent="0.25">
      <c r="A8" s="115"/>
      <c r="B8" s="115"/>
      <c r="C8" s="115"/>
      <c r="D8" s="116"/>
      <c r="E8" s="117"/>
    </row>
    <row r="9" spans="1:5" x14ac:dyDescent="0.25">
      <c r="A9" s="115"/>
      <c r="B9" s="118" t="s">
        <v>67</v>
      </c>
      <c r="C9" s="115"/>
      <c r="D9" s="116">
        <v>57129.98</v>
      </c>
      <c r="E9" s="117"/>
    </row>
    <row r="10" spans="1:5" x14ac:dyDescent="0.25">
      <c r="A10" s="119"/>
      <c r="B10" s="120" t="s">
        <v>9</v>
      </c>
      <c r="C10" s="119" t="s">
        <v>10</v>
      </c>
      <c r="D10" s="119">
        <v>4726.8</v>
      </c>
      <c r="E10" s="119"/>
    </row>
    <row r="11" spans="1:5" x14ac:dyDescent="0.25">
      <c r="A11" s="119"/>
      <c r="B11" s="120" t="s">
        <v>11</v>
      </c>
      <c r="C11" s="119" t="s">
        <v>10</v>
      </c>
      <c r="D11" s="119">
        <v>4499.26</v>
      </c>
      <c r="E11" s="119"/>
    </row>
    <row r="12" spans="1:5" x14ac:dyDescent="0.25">
      <c r="A12" s="119"/>
      <c r="B12" s="121" t="s">
        <v>12</v>
      </c>
      <c r="C12" s="119" t="s">
        <v>13</v>
      </c>
      <c r="D12" s="119">
        <v>173072.76</v>
      </c>
      <c r="E12" s="119"/>
    </row>
    <row r="13" spans="1:5" x14ac:dyDescent="0.25">
      <c r="A13" s="119"/>
      <c r="B13" s="119"/>
      <c r="C13" s="119"/>
      <c r="D13" s="119"/>
      <c r="E13" s="119"/>
    </row>
    <row r="14" spans="1:5" ht="15.75" x14ac:dyDescent="0.25">
      <c r="A14" s="119"/>
      <c r="B14" s="122" t="s">
        <v>14</v>
      </c>
      <c r="C14" s="119"/>
      <c r="D14" s="119"/>
      <c r="E14" s="119"/>
    </row>
    <row r="15" spans="1:5" x14ac:dyDescent="0.25">
      <c r="A15" s="119">
        <v>1</v>
      </c>
      <c r="B15" s="119" t="s">
        <v>15</v>
      </c>
      <c r="C15" s="119" t="s">
        <v>13</v>
      </c>
      <c r="D15" s="119">
        <f>373292.98-179580.67</f>
        <v>193712.30999999997</v>
      </c>
      <c r="E15" s="119"/>
    </row>
    <row r="16" spans="1:5" x14ac:dyDescent="0.25">
      <c r="A16" s="119"/>
      <c r="B16" s="119"/>
      <c r="C16" s="119"/>
      <c r="D16" s="119"/>
      <c r="E16" s="119"/>
    </row>
    <row r="17" spans="1:5" ht="15.75" x14ac:dyDescent="0.25">
      <c r="A17" s="119"/>
      <c r="B17" s="122" t="s">
        <v>17</v>
      </c>
      <c r="C17" s="119"/>
      <c r="D17" s="123">
        <f>D15</f>
        <v>193712.30999999997</v>
      </c>
      <c r="E17" s="119"/>
    </row>
    <row r="18" spans="1:5" ht="15.75" x14ac:dyDescent="0.25">
      <c r="A18" s="119"/>
      <c r="B18" s="122"/>
      <c r="C18" s="119"/>
      <c r="D18" s="123"/>
      <c r="E18" s="119"/>
    </row>
    <row r="19" spans="1:5" ht="15.75" x14ac:dyDescent="0.25">
      <c r="A19" s="20"/>
      <c r="B19" s="21" t="s">
        <v>18</v>
      </c>
      <c r="C19" s="20"/>
      <c r="D19" s="22"/>
      <c r="E19" s="31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D21+D26</f>
        <v>20683.27</v>
      </c>
      <c r="E20" s="26">
        <f>E21</f>
        <v>4961.2765399999998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D22+D25</f>
        <v>18936.170000000002</v>
      </c>
      <c r="E21" s="26">
        <f>E22+E25</f>
        <v>4961.2765399999998</v>
      </c>
    </row>
    <row r="22" spans="1:5" x14ac:dyDescent="0.25">
      <c r="A22" s="20"/>
      <c r="B22" s="20" t="s">
        <v>23</v>
      </c>
      <c r="C22" s="20"/>
      <c r="D22" s="119">
        <f>8868.2+8885.95</f>
        <v>17754.150000000001</v>
      </c>
      <c r="E22" s="28">
        <f>D22*26.2%</f>
        <v>4651.5873000000001</v>
      </c>
    </row>
    <row r="23" spans="1:5" x14ac:dyDescent="0.25">
      <c r="A23" s="20"/>
      <c r="B23" s="20" t="s">
        <v>24</v>
      </c>
      <c r="C23" s="20"/>
      <c r="D23" s="119">
        <v>0</v>
      </c>
      <c r="E23" s="28">
        <f>D23*26.2%</f>
        <v>0</v>
      </c>
    </row>
    <row r="24" spans="1:5" x14ac:dyDescent="0.25">
      <c r="A24" s="20"/>
      <c r="B24" s="20" t="s">
        <v>25</v>
      </c>
      <c r="C24" s="20"/>
      <c r="D24" s="119">
        <v>0</v>
      </c>
      <c r="E24" s="28">
        <f>D24*26.2%</f>
        <v>0</v>
      </c>
    </row>
    <row r="25" spans="1:5" x14ac:dyDescent="0.25">
      <c r="A25" s="20"/>
      <c r="B25" s="31" t="s">
        <v>81</v>
      </c>
      <c r="C25" s="20"/>
      <c r="D25" s="119">
        <f>619.67+562.35</f>
        <v>1182.02</v>
      </c>
      <c r="E25" s="28">
        <f>D25*26.2%</f>
        <v>309.68923999999998</v>
      </c>
    </row>
    <row r="26" spans="1:5" x14ac:dyDescent="0.25">
      <c r="A26" s="20">
        <v>2</v>
      </c>
      <c r="B26" s="27" t="s">
        <v>26</v>
      </c>
      <c r="C26" s="20"/>
      <c r="D26" s="119">
        <v>1747.1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65496.020000000004</v>
      </c>
      <c r="E27" s="26">
        <f>E28</f>
        <v>11013.4058</v>
      </c>
    </row>
    <row r="28" spans="1:5" x14ac:dyDescent="0.25">
      <c r="A28" s="20">
        <v>1</v>
      </c>
      <c r="B28" s="31" t="s">
        <v>103</v>
      </c>
      <c r="C28" s="20"/>
      <c r="D28" s="31">
        <f>20896.29+21139.61</f>
        <v>42035.9</v>
      </c>
      <c r="E28" s="33">
        <f>D28*26.2%</f>
        <v>11013.4058</v>
      </c>
    </row>
    <row r="29" spans="1:5" x14ac:dyDescent="0.25">
      <c r="A29" s="20">
        <v>2</v>
      </c>
      <c r="B29" s="31" t="s">
        <v>26</v>
      </c>
      <c r="C29" s="20"/>
      <c r="D29" s="31">
        <v>19348.09</v>
      </c>
      <c r="E29" s="20"/>
    </row>
    <row r="30" spans="1:5" x14ac:dyDescent="0.25">
      <c r="A30" s="20">
        <v>3</v>
      </c>
      <c r="B30" s="31" t="s">
        <v>65</v>
      </c>
      <c r="C30" s="20"/>
      <c r="D30" s="31">
        <v>4112.03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D32+D33+D34+D35+D36+D37+D38+D39</f>
        <v>89955.075499999992</v>
      </c>
      <c r="E31" s="20"/>
    </row>
    <row r="32" spans="1:5" x14ac:dyDescent="0.25">
      <c r="A32" s="20"/>
      <c r="B32" s="20" t="s">
        <v>32</v>
      </c>
      <c r="C32" s="20"/>
      <c r="D32" s="28">
        <f>D17*5%</f>
        <v>9685.6154999999981</v>
      </c>
      <c r="E32" s="20"/>
    </row>
    <row r="33" spans="1:5" x14ac:dyDescent="0.25">
      <c r="A33" s="20"/>
      <c r="B33" s="20" t="s">
        <v>61</v>
      </c>
      <c r="C33" s="20"/>
      <c r="D33" s="20">
        <f>596.73+582.74</f>
        <v>1179.47</v>
      </c>
      <c r="E33" s="20"/>
    </row>
    <row r="34" spans="1:5" x14ac:dyDescent="0.25">
      <c r="A34" s="20"/>
      <c r="B34" s="27" t="s">
        <v>33</v>
      </c>
      <c r="C34" s="20"/>
      <c r="D34" s="20">
        <v>0</v>
      </c>
      <c r="E34" s="20"/>
    </row>
    <row r="35" spans="1:5" x14ac:dyDescent="0.25">
      <c r="A35" s="20"/>
      <c r="B35" s="20" t="s">
        <v>34</v>
      </c>
      <c r="C35" s="20"/>
      <c r="D35" s="28">
        <f>3741.27+3726.4</f>
        <v>7467.67</v>
      </c>
      <c r="E35" s="20"/>
    </row>
    <row r="36" spans="1:5" x14ac:dyDescent="0.25">
      <c r="A36" s="20"/>
      <c r="B36" s="27" t="s">
        <v>56</v>
      </c>
      <c r="C36" s="20"/>
      <c r="D36" s="20">
        <v>18000</v>
      </c>
      <c r="E36" s="20"/>
    </row>
    <row r="37" spans="1:5" x14ac:dyDescent="0.25">
      <c r="A37" s="20"/>
      <c r="B37" s="27" t="s">
        <v>68</v>
      </c>
      <c r="C37" s="20"/>
      <c r="D37" s="20">
        <v>49500</v>
      </c>
      <c r="E37" s="20"/>
    </row>
    <row r="38" spans="1:5" x14ac:dyDescent="0.25">
      <c r="A38" s="20"/>
      <c r="B38" s="27" t="s">
        <v>36</v>
      </c>
      <c r="C38" s="20"/>
      <c r="D38" s="28">
        <v>1244.8699999999999</v>
      </c>
      <c r="E38" s="20"/>
    </row>
    <row r="39" spans="1:5" x14ac:dyDescent="0.25">
      <c r="A39" s="20"/>
      <c r="B39" s="20" t="s">
        <v>38</v>
      </c>
      <c r="C39" s="20"/>
      <c r="D39" s="20">
        <v>2877.45</v>
      </c>
      <c r="E39" s="20"/>
    </row>
    <row r="40" spans="1:5" x14ac:dyDescent="0.25">
      <c r="A40" s="73" t="s">
        <v>89</v>
      </c>
      <c r="B40" s="22" t="s">
        <v>39</v>
      </c>
      <c r="C40" s="20"/>
      <c r="D40" s="26">
        <f>D41+D42</f>
        <v>27373.46</v>
      </c>
      <c r="E40" s="26">
        <f>E41</f>
        <v>5338.3390800000006</v>
      </c>
    </row>
    <row r="41" spans="1:5" x14ac:dyDescent="0.25">
      <c r="A41" s="73"/>
      <c r="B41" s="31" t="s">
        <v>40</v>
      </c>
      <c r="C41" s="31"/>
      <c r="D41" s="33">
        <f>10050.53+10324.81</f>
        <v>20375.34</v>
      </c>
      <c r="E41" s="33">
        <f>D41*26.2%</f>
        <v>5338.3390800000006</v>
      </c>
    </row>
    <row r="42" spans="1:5" x14ac:dyDescent="0.25">
      <c r="A42" s="73"/>
      <c r="B42" s="20" t="s">
        <v>41</v>
      </c>
      <c r="C42" s="20"/>
      <c r="D42" s="33">
        <v>6998.12</v>
      </c>
      <c r="E42" s="20"/>
    </row>
    <row r="43" spans="1:5" x14ac:dyDescent="0.25">
      <c r="A43" s="73" t="s">
        <v>90</v>
      </c>
      <c r="B43" s="22" t="s">
        <v>42</v>
      </c>
      <c r="C43" s="20"/>
      <c r="D43" s="26">
        <f>D20+E20+D27+E27+D31+D40+E40</f>
        <v>224820.84692000001</v>
      </c>
      <c r="E43" s="20"/>
    </row>
    <row r="44" spans="1:5" x14ac:dyDescent="0.25">
      <c r="A44" s="73" t="s">
        <v>91</v>
      </c>
      <c r="B44" s="20" t="s">
        <v>43</v>
      </c>
      <c r="C44" s="20"/>
      <c r="D44" s="26">
        <f>D17*6%</f>
        <v>11622.738599999997</v>
      </c>
      <c r="E44" s="20"/>
    </row>
    <row r="45" spans="1:5" x14ac:dyDescent="0.25">
      <c r="A45" s="73" t="s">
        <v>92</v>
      </c>
      <c r="B45" s="22" t="s">
        <v>44</v>
      </c>
      <c r="C45" s="20"/>
      <c r="D45" s="26">
        <f>D43+D44</f>
        <v>236443.58552000002</v>
      </c>
      <c r="E45" s="20"/>
    </row>
    <row r="46" spans="1:5" x14ac:dyDescent="0.25">
      <c r="A46" s="73" t="s">
        <v>93</v>
      </c>
      <c r="B46" s="22" t="s">
        <v>45</v>
      </c>
      <c r="C46" s="20"/>
      <c r="D46" s="26">
        <f>D17-D45</f>
        <v>-42731.275520000054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14398.704479999949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107"/>
      <c r="B50" s="107" t="s">
        <v>49</v>
      </c>
      <c r="C50" s="107"/>
      <c r="D50" s="107" t="s">
        <v>50</v>
      </c>
      <c r="E50" s="10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2" max="2" width="41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191</v>
      </c>
    </row>
    <row r="5" spans="1:5" x14ac:dyDescent="0.25">
      <c r="B5" t="s">
        <v>77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97" t="s">
        <v>5</v>
      </c>
      <c r="E7" s="598"/>
    </row>
    <row r="8" spans="1:5" ht="15.75" x14ac:dyDescent="0.25">
      <c r="A8" s="8"/>
      <c r="B8" s="6" t="s">
        <v>6</v>
      </c>
      <c r="C8" s="7" t="s">
        <v>7</v>
      </c>
      <c r="D8" s="595" t="s">
        <v>192</v>
      </c>
      <c r="E8" s="596"/>
    </row>
    <row r="9" spans="1:5" ht="15.75" x14ac:dyDescent="0.25">
      <c r="A9" s="8"/>
      <c r="B9" s="475"/>
      <c r="C9" s="7"/>
      <c r="D9" s="431"/>
      <c r="E9" s="432"/>
    </row>
    <row r="10" spans="1:5" x14ac:dyDescent="0.25">
      <c r="A10" s="13"/>
      <c r="B10" s="12" t="s">
        <v>126</v>
      </c>
      <c r="C10" s="13" t="s">
        <v>10</v>
      </c>
      <c r="D10" s="13">
        <v>-11122.01</v>
      </c>
      <c r="E10" s="13"/>
    </row>
    <row r="11" spans="1:5" x14ac:dyDescent="0.25">
      <c r="A11" s="13"/>
      <c r="B11" s="12" t="s">
        <v>127</v>
      </c>
      <c r="C11" s="13"/>
      <c r="D11" s="13">
        <v>12203.38</v>
      </c>
      <c r="E11" s="13"/>
    </row>
    <row r="12" spans="1:5" x14ac:dyDescent="0.25">
      <c r="A12" s="13"/>
      <c r="B12" s="14" t="s">
        <v>9</v>
      </c>
      <c r="C12" s="13" t="s">
        <v>10</v>
      </c>
      <c r="D12" s="13">
        <v>7399.64</v>
      </c>
      <c r="E12" s="13"/>
    </row>
    <row r="13" spans="1:5" x14ac:dyDescent="0.25">
      <c r="A13" s="13"/>
      <c r="B13" s="14" t="s">
        <v>11</v>
      </c>
      <c r="C13" s="13" t="s">
        <v>10</v>
      </c>
      <c r="D13" s="17">
        <v>5164</v>
      </c>
      <c r="E13" s="13"/>
    </row>
    <row r="14" spans="1:5" x14ac:dyDescent="0.25">
      <c r="A14" s="13"/>
      <c r="B14" s="15" t="s">
        <v>12</v>
      </c>
      <c r="C14" s="13" t="s">
        <v>13</v>
      </c>
      <c r="D14" s="17">
        <v>216629.94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7">
        <f>433797.51-249529.63</f>
        <v>184267.88</v>
      </c>
      <c r="E17" s="13"/>
    </row>
    <row r="18" spans="1:5" x14ac:dyDescent="0.25">
      <c r="A18" s="13">
        <v>2</v>
      </c>
      <c r="B18" s="13" t="s">
        <v>16</v>
      </c>
      <c r="C18" s="13"/>
      <c r="D18" s="17">
        <f>86605.21-D11</f>
        <v>74401.83</v>
      </c>
      <c r="E18" s="13"/>
    </row>
    <row r="19" spans="1:5" ht="15.75" x14ac:dyDescent="0.25">
      <c r="A19" s="13"/>
      <c r="B19" s="16" t="s">
        <v>17</v>
      </c>
      <c r="C19" s="13"/>
      <c r="D19" s="18">
        <f>D17+D18</f>
        <v>258669.71000000002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D23+D28</f>
        <v>72716.479999999996</v>
      </c>
      <c r="E22" s="26">
        <f>E23</f>
        <v>18526.3475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D24+D25+D27+D26</f>
        <v>70711.25</v>
      </c>
      <c r="E23" s="26">
        <f>E24+E25+E27+E26</f>
        <v>18526.3475</v>
      </c>
    </row>
    <row r="24" spans="1:5" x14ac:dyDescent="0.25">
      <c r="A24" s="20"/>
      <c r="B24" s="20" t="s">
        <v>23</v>
      </c>
      <c r="C24" s="20"/>
      <c r="D24" s="20">
        <v>14952.79</v>
      </c>
      <c r="E24" s="28">
        <f>D24*26.2%</f>
        <v>3917.6309800000004</v>
      </c>
    </row>
    <row r="25" spans="1:5" x14ac:dyDescent="0.25">
      <c r="A25" s="20"/>
      <c r="B25" s="20" t="s">
        <v>24</v>
      </c>
      <c r="C25" s="20"/>
      <c r="D25" s="29">
        <v>23836.39</v>
      </c>
      <c r="E25" s="28">
        <f>D25*26.2%</f>
        <v>6245.13418</v>
      </c>
    </row>
    <row r="26" spans="1:5" x14ac:dyDescent="0.25">
      <c r="A26" s="20"/>
      <c r="B26" s="20" t="s">
        <v>25</v>
      </c>
      <c r="C26" s="20"/>
      <c r="D26" s="20">
        <v>29355.66</v>
      </c>
      <c r="E26" s="28">
        <f>D26*26.2%</f>
        <v>7691.1829200000002</v>
      </c>
    </row>
    <row r="27" spans="1:5" x14ac:dyDescent="0.25">
      <c r="A27" s="20"/>
      <c r="B27" s="31" t="s">
        <v>81</v>
      </c>
      <c r="C27" s="20"/>
      <c r="D27" s="20">
        <v>2566.41</v>
      </c>
      <c r="E27" s="28">
        <f>D27*26.2%</f>
        <v>672.39941999999996</v>
      </c>
    </row>
    <row r="28" spans="1:5" x14ac:dyDescent="0.25">
      <c r="A28" s="20">
        <v>2</v>
      </c>
      <c r="B28" s="27" t="s">
        <v>26</v>
      </c>
      <c r="C28" s="20"/>
      <c r="D28" s="20">
        <v>2005.23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72310.34</v>
      </c>
      <c r="E29" s="26">
        <f>E30</f>
        <v>12640.575140000001</v>
      </c>
    </row>
    <row r="30" spans="1:5" x14ac:dyDescent="0.25">
      <c r="A30" s="20">
        <v>1</v>
      </c>
      <c r="B30" s="31" t="s">
        <v>29</v>
      </c>
      <c r="C30" s="20"/>
      <c r="D30" s="31">
        <v>48246.47</v>
      </c>
      <c r="E30" s="28">
        <f>D30*26.2%</f>
        <v>12640.575140000001</v>
      </c>
    </row>
    <row r="31" spans="1:5" x14ac:dyDescent="0.25">
      <c r="A31" s="20">
        <v>2</v>
      </c>
      <c r="B31" s="31" t="s">
        <v>26</v>
      </c>
      <c r="C31" s="20"/>
      <c r="D31" s="31">
        <v>24063.87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D33+D34+D35+D36+D37+D38</f>
        <v>35817.325500000006</v>
      </c>
      <c r="E32" s="20"/>
    </row>
    <row r="33" spans="1:5" x14ac:dyDescent="0.25">
      <c r="A33" s="20"/>
      <c r="B33" s="20" t="s">
        <v>32</v>
      </c>
      <c r="C33" s="20"/>
      <c r="D33" s="28">
        <f>D19*5%</f>
        <v>12933.485500000003</v>
      </c>
      <c r="E33" s="20"/>
    </row>
    <row r="34" spans="1:5" x14ac:dyDescent="0.25">
      <c r="A34" s="20"/>
      <c r="B34" s="20" t="s">
        <v>61</v>
      </c>
      <c r="C34" s="20"/>
      <c r="D34" s="20">
        <v>381.5</v>
      </c>
      <c r="E34" s="20"/>
    </row>
    <row r="35" spans="1:5" x14ac:dyDescent="0.25">
      <c r="A35" s="20"/>
      <c r="B35" s="20" t="s">
        <v>34</v>
      </c>
      <c r="C35" s="20"/>
      <c r="D35" s="28">
        <v>8570.98</v>
      </c>
      <c r="E35" s="20"/>
    </row>
    <row r="36" spans="1:5" x14ac:dyDescent="0.25">
      <c r="A36" s="20"/>
      <c r="B36" s="27" t="s">
        <v>193</v>
      </c>
      <c r="C36" s="20"/>
      <c r="D36" s="20">
        <v>9200</v>
      </c>
      <c r="E36" s="20"/>
    </row>
    <row r="37" spans="1:5" x14ac:dyDescent="0.25">
      <c r="A37" s="20"/>
      <c r="B37" s="27" t="s">
        <v>36</v>
      </c>
      <c r="C37" s="20"/>
      <c r="D37" s="20">
        <v>1428.79</v>
      </c>
      <c r="E37" s="20"/>
    </row>
    <row r="38" spans="1:5" x14ac:dyDescent="0.25">
      <c r="A38" s="20"/>
      <c r="B38" s="31" t="s">
        <v>38</v>
      </c>
      <c r="C38" s="20"/>
      <c r="D38" s="20">
        <v>3302.57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31417.73</v>
      </c>
      <c r="E39" s="26">
        <f>E40</f>
        <v>6127.0481600000003</v>
      </c>
    </row>
    <row r="40" spans="1:5" x14ac:dyDescent="0.25">
      <c r="A40" s="73"/>
      <c r="B40" s="31" t="s">
        <v>40</v>
      </c>
      <c r="C40" s="31"/>
      <c r="D40" s="33">
        <v>23385.68</v>
      </c>
      <c r="E40" s="28">
        <f>D40*26.2%</f>
        <v>6127.0481600000003</v>
      </c>
    </row>
    <row r="41" spans="1:5" x14ac:dyDescent="0.25">
      <c r="A41" s="73"/>
      <c r="B41" s="20" t="s">
        <v>41</v>
      </c>
      <c r="C41" s="20"/>
      <c r="D41" s="33">
        <v>8032.05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D22+E22+D29+E29+D32+D39+E39</f>
        <v>249555.8463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D19*6%</f>
        <v>15520.1826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265076.02890000003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D17-D44+D31</f>
        <v>-56744.278900000034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D10+D46</f>
        <v>-67866.288900000029</v>
      </c>
      <c r="E47" s="20"/>
    </row>
    <row r="48" spans="1:5" x14ac:dyDescent="0.25">
      <c r="A48" s="34"/>
      <c r="B48" s="35" t="s">
        <v>16</v>
      </c>
      <c r="C48" s="34"/>
      <c r="D48" s="36">
        <f>D11+D18</f>
        <v>86605.21</v>
      </c>
      <c r="E48" s="34"/>
    </row>
    <row r="49" spans="1:5" x14ac:dyDescent="0.25">
      <c r="A49" s="34"/>
      <c r="B49" s="416" t="s">
        <v>84</v>
      </c>
      <c r="C49" s="34"/>
      <c r="D49" s="418" t="s">
        <v>48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4" workbookViewId="0">
      <selection activeCell="A42" sqref="A42:A50"/>
    </sheetView>
  </sheetViews>
  <sheetFormatPr defaultRowHeight="15" x14ac:dyDescent="0.25"/>
  <cols>
    <col min="2" max="2" width="35.42578125" customWidth="1"/>
    <col min="4" max="4" width="15.140625" customWidth="1"/>
    <col min="5" max="5" width="15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194</v>
      </c>
    </row>
    <row r="7" spans="1:5" x14ac:dyDescent="0.25">
      <c r="A7" s="2"/>
      <c r="B7" s="2"/>
      <c r="C7" s="2"/>
      <c r="D7" s="3"/>
      <c r="E7" s="4"/>
    </row>
    <row r="8" spans="1:5" ht="15.75" x14ac:dyDescent="0.25">
      <c r="A8" s="5"/>
      <c r="B8" s="6" t="s">
        <v>3</v>
      </c>
      <c r="C8" s="7" t="s">
        <v>4</v>
      </c>
      <c r="D8" s="597" t="s">
        <v>5</v>
      </c>
      <c r="E8" s="598"/>
    </row>
    <row r="9" spans="1:5" ht="15.75" x14ac:dyDescent="0.25">
      <c r="A9" s="8"/>
      <c r="B9" s="6" t="s">
        <v>6</v>
      </c>
      <c r="C9" s="7" t="s">
        <v>7</v>
      </c>
      <c r="D9" s="595" t="s">
        <v>114</v>
      </c>
      <c r="E9" s="596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126</v>
      </c>
      <c r="C11" s="9"/>
      <c r="D11" s="10">
        <v>-36467.17</v>
      </c>
      <c r="E11" s="11"/>
    </row>
    <row r="12" spans="1:5" x14ac:dyDescent="0.25">
      <c r="A12" s="9"/>
      <c r="B12" s="12" t="s">
        <v>127</v>
      </c>
      <c r="C12" s="9"/>
      <c r="D12" s="10">
        <v>45616.62</v>
      </c>
      <c r="E12" s="11"/>
    </row>
    <row r="13" spans="1:5" x14ac:dyDescent="0.25">
      <c r="A13" s="13"/>
      <c r="B13" s="14" t="s">
        <v>9</v>
      </c>
      <c r="C13" s="13" t="s">
        <v>10</v>
      </c>
      <c r="D13" s="13">
        <v>6804.5</v>
      </c>
      <c r="E13" s="13"/>
    </row>
    <row r="14" spans="1:5" x14ac:dyDescent="0.25">
      <c r="A14" s="13"/>
      <c r="B14" s="14" t="s">
        <v>11</v>
      </c>
      <c r="C14" s="13" t="s">
        <v>10</v>
      </c>
      <c r="D14" s="13">
        <v>5184.7</v>
      </c>
      <c r="E14" s="13"/>
    </row>
    <row r="15" spans="1:5" x14ac:dyDescent="0.25">
      <c r="A15" s="13"/>
      <c r="B15" s="15" t="s">
        <v>12</v>
      </c>
      <c r="C15" s="13" t="s">
        <v>13</v>
      </c>
      <c r="D15" s="13">
        <v>198710.58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14</v>
      </c>
      <c r="C17" s="13"/>
      <c r="D17" s="13"/>
      <c r="E17" s="13"/>
    </row>
    <row r="18" spans="1:5" x14ac:dyDescent="0.25">
      <c r="A18" s="13">
        <v>1</v>
      </c>
      <c r="B18" s="13" t="s">
        <v>15</v>
      </c>
      <c r="C18" s="13" t="s">
        <v>13</v>
      </c>
      <c r="D18" s="17">
        <f>409253.66-204376.35</f>
        <v>204877.30999999997</v>
      </c>
      <c r="E18" s="13"/>
    </row>
    <row r="19" spans="1:5" x14ac:dyDescent="0.25">
      <c r="A19" s="13">
        <v>2</v>
      </c>
      <c r="B19" s="13" t="s">
        <v>16</v>
      </c>
      <c r="C19" s="13"/>
      <c r="D19" s="17">
        <f>107530.08-D12</f>
        <v>61913.46</v>
      </c>
      <c r="E19" s="13"/>
    </row>
    <row r="20" spans="1:5" x14ac:dyDescent="0.25">
      <c r="A20" s="13">
        <v>3</v>
      </c>
      <c r="B20" s="13" t="s">
        <v>195</v>
      </c>
      <c r="C20" s="13"/>
      <c r="D20" s="17">
        <v>5500</v>
      </c>
      <c r="E20" s="13"/>
    </row>
    <row r="21" spans="1:5" ht="15.75" x14ac:dyDescent="0.25">
      <c r="A21" s="13"/>
      <c r="B21" s="16" t="s">
        <v>17</v>
      </c>
      <c r="C21" s="13"/>
      <c r="D21" s="18">
        <f>D18+D19+D20</f>
        <v>272290.76999999996</v>
      </c>
      <c r="E21" s="13"/>
    </row>
    <row r="22" spans="1:5" ht="15.75" x14ac:dyDescent="0.25">
      <c r="A22" s="13"/>
      <c r="B22" s="16"/>
      <c r="C22" s="13"/>
      <c r="D22" s="19"/>
      <c r="E22" s="13"/>
    </row>
    <row r="23" spans="1:5" ht="15.75" x14ac:dyDescent="0.25">
      <c r="A23" s="20"/>
      <c r="B23" s="21" t="s">
        <v>18</v>
      </c>
      <c r="C23" s="20"/>
      <c r="D23" s="22"/>
      <c r="E23" s="23" t="s">
        <v>19</v>
      </c>
    </row>
    <row r="24" spans="1:5" x14ac:dyDescent="0.25">
      <c r="A24" s="24" t="s">
        <v>20</v>
      </c>
      <c r="B24" s="25" t="s">
        <v>21</v>
      </c>
      <c r="C24" s="20"/>
      <c r="D24" s="22">
        <f>D25+D30</f>
        <v>29226.04</v>
      </c>
      <c r="E24" s="26">
        <f>E25</f>
        <v>7129.7457400000012</v>
      </c>
    </row>
    <row r="25" spans="1:5" x14ac:dyDescent="0.25">
      <c r="A25" s="20">
        <v>1</v>
      </c>
      <c r="B25" s="22" t="s">
        <v>22</v>
      </c>
      <c r="C25" s="27" t="s">
        <v>13</v>
      </c>
      <c r="D25" s="22">
        <f>D26+D29</f>
        <v>27212.77</v>
      </c>
      <c r="E25" s="26">
        <f>E26+E29</f>
        <v>7129.7457400000012</v>
      </c>
    </row>
    <row r="26" spans="1:5" x14ac:dyDescent="0.25">
      <c r="A26" s="20"/>
      <c r="B26" s="20" t="s">
        <v>23</v>
      </c>
      <c r="C26" s="20"/>
      <c r="D26" s="20">
        <v>25363.06</v>
      </c>
      <c r="E26" s="28">
        <f>D26*26.2%</f>
        <v>6645.121720000001</v>
      </c>
    </row>
    <row r="27" spans="1:5" x14ac:dyDescent="0.25">
      <c r="A27" s="20"/>
      <c r="B27" s="20" t="s">
        <v>24</v>
      </c>
      <c r="C27" s="20"/>
      <c r="D27" s="29">
        <v>0</v>
      </c>
      <c r="E27" s="28"/>
    </row>
    <row r="28" spans="1:5" x14ac:dyDescent="0.25">
      <c r="A28" s="20"/>
      <c r="B28" s="20" t="s">
        <v>25</v>
      </c>
      <c r="C28" s="20"/>
      <c r="D28" s="20">
        <v>0</v>
      </c>
      <c r="E28" s="28"/>
    </row>
    <row r="29" spans="1:5" x14ac:dyDescent="0.25">
      <c r="A29" s="20"/>
      <c r="B29" s="27" t="s">
        <v>81</v>
      </c>
      <c r="C29" s="13"/>
      <c r="D29" s="13">
        <v>1849.71</v>
      </c>
      <c r="E29" s="28">
        <f>D29*26.2%</f>
        <v>484.62402000000003</v>
      </c>
    </row>
    <row r="30" spans="1:5" x14ac:dyDescent="0.25">
      <c r="A30" s="20">
        <v>2</v>
      </c>
      <c r="B30" s="27" t="s">
        <v>26</v>
      </c>
      <c r="C30" s="20"/>
      <c r="D30" s="20">
        <v>2013.27</v>
      </c>
      <c r="E30" s="28"/>
    </row>
    <row r="31" spans="1:5" x14ac:dyDescent="0.25">
      <c r="A31" s="24" t="s">
        <v>27</v>
      </c>
      <c r="B31" s="30" t="s">
        <v>28</v>
      </c>
      <c r="C31" s="20"/>
      <c r="D31" s="22">
        <f>D32</f>
        <v>48439.87</v>
      </c>
      <c r="E31" s="26">
        <f>E32</f>
        <v>12691.245940000001</v>
      </c>
    </row>
    <row r="32" spans="1:5" x14ac:dyDescent="0.25">
      <c r="A32" s="20">
        <v>1</v>
      </c>
      <c r="B32" s="31" t="s">
        <v>29</v>
      </c>
      <c r="C32" s="20"/>
      <c r="D32" s="31">
        <v>48439.87</v>
      </c>
      <c r="E32" s="28">
        <f>D32*26.2%</f>
        <v>12691.245940000001</v>
      </c>
    </row>
    <row r="33" spans="1:5" x14ac:dyDescent="0.25">
      <c r="A33" s="20">
        <v>2</v>
      </c>
      <c r="B33" s="31" t="s">
        <v>26</v>
      </c>
      <c r="C33" s="20"/>
      <c r="D33" s="31">
        <v>16515.16</v>
      </c>
      <c r="E33" s="20"/>
    </row>
    <row r="34" spans="1:5" x14ac:dyDescent="0.25">
      <c r="A34" s="24" t="s">
        <v>30</v>
      </c>
      <c r="B34" s="22" t="s">
        <v>31</v>
      </c>
      <c r="C34" s="20"/>
      <c r="D34" s="26">
        <f>D35+D36+D37+D39+D40+D41</f>
        <v>54533.258499999996</v>
      </c>
      <c r="E34" s="20"/>
    </row>
    <row r="35" spans="1:5" x14ac:dyDescent="0.25">
      <c r="A35" s="20"/>
      <c r="B35" s="20" t="s">
        <v>32</v>
      </c>
      <c r="C35" s="20"/>
      <c r="D35" s="28">
        <f>D21*5%</f>
        <v>13614.538499999999</v>
      </c>
      <c r="E35" s="20"/>
    </row>
    <row r="36" spans="1:5" x14ac:dyDescent="0.25">
      <c r="A36" s="20"/>
      <c r="B36" s="20" t="s">
        <v>61</v>
      </c>
      <c r="C36" s="20"/>
      <c r="D36" s="20">
        <v>537.82000000000005</v>
      </c>
      <c r="E36" s="20"/>
    </row>
    <row r="37" spans="1:5" x14ac:dyDescent="0.25">
      <c r="A37" s="20"/>
      <c r="B37" s="20" t="s">
        <v>34</v>
      </c>
      <c r="C37" s="20"/>
      <c r="D37" s="28">
        <v>8605.33</v>
      </c>
      <c r="E37" s="20"/>
    </row>
    <row r="38" spans="1:5" x14ac:dyDescent="0.25">
      <c r="A38" s="20"/>
      <c r="B38" s="31" t="s">
        <v>196</v>
      </c>
      <c r="C38" s="20"/>
      <c r="D38" s="20">
        <v>15000</v>
      </c>
      <c r="E38" s="20"/>
    </row>
    <row r="39" spans="1:5" x14ac:dyDescent="0.25">
      <c r="A39" s="20"/>
      <c r="B39" s="27" t="s">
        <v>36</v>
      </c>
      <c r="C39" s="20"/>
      <c r="D39" s="20">
        <v>1434.52</v>
      </c>
      <c r="E39" s="20"/>
    </row>
    <row r="40" spans="1:5" x14ac:dyDescent="0.25">
      <c r="A40" s="20"/>
      <c r="B40" s="27" t="s">
        <v>37</v>
      </c>
      <c r="C40" s="20"/>
      <c r="D40" s="32">
        <v>27025.24</v>
      </c>
      <c r="E40" s="20"/>
    </row>
    <row r="41" spans="1:5" x14ac:dyDescent="0.25">
      <c r="A41" s="20"/>
      <c r="B41" s="20" t="s">
        <v>38</v>
      </c>
      <c r="C41" s="20"/>
      <c r="D41" s="20">
        <v>3315.81</v>
      </c>
      <c r="E41" s="20"/>
    </row>
    <row r="42" spans="1:5" x14ac:dyDescent="0.25">
      <c r="A42" s="73" t="s">
        <v>89</v>
      </c>
      <c r="B42" s="22" t="s">
        <v>39</v>
      </c>
      <c r="C42" s="20"/>
      <c r="D42" s="26">
        <f>D43+D44</f>
        <v>31543.659999999996</v>
      </c>
      <c r="E42" s="26">
        <f>E43</f>
        <v>6151.6080400000001</v>
      </c>
    </row>
    <row r="43" spans="1:5" x14ac:dyDescent="0.25">
      <c r="A43" s="73"/>
      <c r="B43" s="31" t="s">
        <v>40</v>
      </c>
      <c r="C43" s="31"/>
      <c r="D43" s="33">
        <v>23479.42</v>
      </c>
      <c r="E43" s="28">
        <f>D43*26.2%</f>
        <v>6151.6080400000001</v>
      </c>
    </row>
    <row r="44" spans="1:5" x14ac:dyDescent="0.25">
      <c r="A44" s="73"/>
      <c r="B44" s="20" t="s">
        <v>41</v>
      </c>
      <c r="C44" s="20"/>
      <c r="D44" s="33">
        <v>8064.24</v>
      </c>
      <c r="E44" s="20"/>
    </row>
    <row r="45" spans="1:5" x14ac:dyDescent="0.25">
      <c r="A45" s="73" t="s">
        <v>90</v>
      </c>
      <c r="B45" s="22" t="s">
        <v>42</v>
      </c>
      <c r="C45" s="20"/>
      <c r="D45" s="26">
        <f>D24+E24+D31+E31+D34+D42+E42</f>
        <v>189715.42822</v>
      </c>
      <c r="E45" s="20"/>
    </row>
    <row r="46" spans="1:5" x14ac:dyDescent="0.25">
      <c r="A46" s="73" t="s">
        <v>91</v>
      </c>
      <c r="B46" s="20" t="s">
        <v>43</v>
      </c>
      <c r="C46" s="20"/>
      <c r="D46" s="26">
        <f>D21*6%</f>
        <v>16337.446199999997</v>
      </c>
      <c r="E46" s="20"/>
    </row>
    <row r="47" spans="1:5" x14ac:dyDescent="0.25">
      <c r="A47" s="73" t="s">
        <v>92</v>
      </c>
      <c r="B47" s="22" t="s">
        <v>44</v>
      </c>
      <c r="C47" s="20"/>
      <c r="D47" s="26">
        <f>D45+D46</f>
        <v>206052.87442000001</v>
      </c>
      <c r="E47" s="20"/>
    </row>
    <row r="48" spans="1:5" x14ac:dyDescent="0.25">
      <c r="A48" s="73"/>
      <c r="B48" s="20"/>
      <c r="C48" s="20"/>
      <c r="D48" s="20"/>
      <c r="E48" s="20"/>
    </row>
    <row r="49" spans="1:5" x14ac:dyDescent="0.25">
      <c r="A49" s="73" t="s">
        <v>93</v>
      </c>
      <c r="B49" s="22" t="s">
        <v>45</v>
      </c>
      <c r="C49" s="20"/>
      <c r="D49" s="26">
        <f>D18+D20-D47</f>
        <v>4324.4355799999612</v>
      </c>
      <c r="E49" s="20"/>
    </row>
    <row r="50" spans="1:5" x14ac:dyDescent="0.25">
      <c r="A50" s="73" t="s">
        <v>94</v>
      </c>
      <c r="B50" s="22" t="s">
        <v>46</v>
      </c>
      <c r="C50" s="20"/>
      <c r="D50" s="26">
        <f>D11+D49</f>
        <v>-32142.734420000037</v>
      </c>
      <c r="E50" s="20"/>
    </row>
    <row r="51" spans="1:5" x14ac:dyDescent="0.25">
      <c r="A51" s="34"/>
      <c r="B51" s="35"/>
      <c r="C51" s="34"/>
      <c r="D51" s="36"/>
      <c r="E51" s="34"/>
    </row>
    <row r="52" spans="1:5" x14ac:dyDescent="0.25">
      <c r="A52" s="34"/>
      <c r="B52" s="35"/>
      <c r="C52" s="34"/>
      <c r="D52" s="36"/>
      <c r="E52" s="34"/>
    </row>
    <row r="53" spans="1:5" x14ac:dyDescent="0.25">
      <c r="A53" s="34"/>
      <c r="B53" s="35"/>
      <c r="C53" s="34"/>
      <c r="D53" s="36"/>
      <c r="E53" s="34"/>
    </row>
    <row r="54" spans="1:5" x14ac:dyDescent="0.25">
      <c r="A54" s="34"/>
      <c r="B54" s="35"/>
      <c r="C54" s="34"/>
      <c r="D54" s="36"/>
      <c r="E54" s="34"/>
    </row>
    <row r="55" spans="1:5" x14ac:dyDescent="0.25">
      <c r="A55" s="34"/>
      <c r="B55" s="35"/>
      <c r="C55" s="34"/>
      <c r="D55" s="36"/>
      <c r="E55" s="34"/>
    </row>
    <row r="56" spans="1:5" x14ac:dyDescent="0.25">
      <c r="A56" s="34"/>
      <c r="B56" s="474" t="s">
        <v>213</v>
      </c>
      <c r="C56" s="34"/>
      <c r="D56" s="36">
        <f>D12+D19</f>
        <v>107530.08</v>
      </c>
      <c r="E56" s="34"/>
    </row>
    <row r="57" spans="1:5" x14ac:dyDescent="0.25">
      <c r="A57" s="34"/>
      <c r="B57" s="474"/>
      <c r="C57" s="34"/>
      <c r="D57" s="36"/>
      <c r="E57" s="34"/>
    </row>
    <row r="58" spans="1:5" x14ac:dyDescent="0.25">
      <c r="A58" s="34"/>
      <c r="B58" s="474" t="s">
        <v>142</v>
      </c>
      <c r="C58" s="34"/>
      <c r="D58" s="36">
        <f>D33+D38</f>
        <v>31515.16</v>
      </c>
      <c r="E58" s="34"/>
    </row>
    <row r="59" spans="1:5" x14ac:dyDescent="0.25">
      <c r="A59" s="34"/>
      <c r="B59" s="474"/>
      <c r="C59" s="34"/>
      <c r="D59" s="36"/>
      <c r="E59" s="34"/>
    </row>
    <row r="60" spans="1:5" x14ac:dyDescent="0.25">
      <c r="A60" s="34"/>
      <c r="B60" s="474" t="s">
        <v>184</v>
      </c>
      <c r="C60" s="34"/>
      <c r="D60" s="36">
        <f>D56-D58</f>
        <v>76014.92</v>
      </c>
      <c r="E60" s="34"/>
    </row>
    <row r="61" spans="1:5" x14ac:dyDescent="0.25">
      <c r="A61" s="34"/>
      <c r="B61" s="474"/>
      <c r="C61" s="34"/>
      <c r="D61" s="36"/>
      <c r="E61" s="34"/>
    </row>
    <row r="62" spans="1:5" x14ac:dyDescent="0.25">
      <c r="A62" s="34"/>
      <c r="B62" s="474"/>
      <c r="C62" s="34"/>
      <c r="D62" s="36"/>
      <c r="E62" s="34"/>
    </row>
    <row r="63" spans="1:5" x14ac:dyDescent="0.25">
      <c r="A63" s="34"/>
      <c r="B63" s="474"/>
      <c r="C63" s="34"/>
      <c r="D63" s="36"/>
      <c r="E63" s="34"/>
    </row>
    <row r="64" spans="1:5" x14ac:dyDescent="0.25">
      <c r="A64" s="34"/>
      <c r="B64" s="35"/>
      <c r="C64" s="34"/>
      <c r="D64" s="36"/>
      <c r="E64" s="34"/>
    </row>
    <row r="65" spans="1:4" x14ac:dyDescent="0.25">
      <c r="B65" t="s">
        <v>47</v>
      </c>
      <c r="D65" t="s">
        <v>48</v>
      </c>
    </row>
    <row r="66" spans="1:4" x14ac:dyDescent="0.25">
      <c r="B66" t="s">
        <v>49</v>
      </c>
      <c r="D66" t="s">
        <v>50</v>
      </c>
    </row>
    <row r="67" spans="1:4" x14ac:dyDescent="0.25">
      <c r="A67" s="37"/>
      <c r="B67" s="37"/>
    </row>
  </sheetData>
  <mergeCells count="2"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G40" sqref="G40"/>
    </sheetView>
  </sheetViews>
  <sheetFormatPr defaultRowHeight="15" x14ac:dyDescent="0.25"/>
  <cols>
    <col min="2" max="2" width="40.140625" customWidth="1"/>
    <col min="4" max="4" width="11.7109375" customWidth="1"/>
    <col min="5" max="5" width="12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197</v>
      </c>
    </row>
    <row r="5" spans="1:5" x14ac:dyDescent="0.25">
      <c r="A5" s="599"/>
      <c r="B5" s="599"/>
      <c r="C5" s="599"/>
      <c r="D5" s="430"/>
      <c r="E5" s="58"/>
    </row>
    <row r="6" spans="1:5" ht="15.75" x14ac:dyDescent="0.25">
      <c r="A6" s="5"/>
      <c r="B6" s="6" t="s">
        <v>3</v>
      </c>
      <c r="C6" s="7" t="s">
        <v>4</v>
      </c>
      <c r="D6" s="597" t="s">
        <v>5</v>
      </c>
      <c r="E6" s="598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8</v>
      </c>
      <c r="C8" s="13"/>
      <c r="D8" s="471">
        <v>125592.14</v>
      </c>
      <c r="E8" s="413"/>
    </row>
    <row r="9" spans="1:5" x14ac:dyDescent="0.25">
      <c r="A9" s="13"/>
      <c r="B9" s="14" t="s">
        <v>9</v>
      </c>
      <c r="C9" s="13" t="s">
        <v>10</v>
      </c>
      <c r="D9" s="13">
        <v>5925.2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4452.3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170832.06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336368.61-161770.36</f>
        <v>174598.25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17</v>
      </c>
      <c r="C16" s="13"/>
      <c r="D16" s="19">
        <f>D14+D15</f>
        <v>174598.25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D20+D25</f>
        <v>17465.25</v>
      </c>
      <c r="E19" s="26">
        <f>E20</f>
        <v>4122.93156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D21+D24</f>
        <v>15736.380000000001</v>
      </c>
      <c r="E20" s="26">
        <f>E21+E24</f>
        <v>4122.93156</v>
      </c>
    </row>
    <row r="21" spans="1:5" x14ac:dyDescent="0.25">
      <c r="A21" s="20"/>
      <c r="B21" s="20" t="s">
        <v>23</v>
      </c>
      <c r="C21" s="20"/>
      <c r="D21" s="20">
        <v>15217.84</v>
      </c>
      <c r="E21" s="28">
        <f>D21*26.2%</f>
        <v>3987.0740800000003</v>
      </c>
    </row>
    <row r="22" spans="1:5" x14ac:dyDescent="0.25">
      <c r="A22" s="20"/>
      <c r="B22" s="20" t="s">
        <v>24</v>
      </c>
      <c r="C22" s="20"/>
      <c r="D22" s="29">
        <v>0</v>
      </c>
      <c r="E22" s="28"/>
    </row>
    <row r="23" spans="1:5" x14ac:dyDescent="0.25">
      <c r="A23" s="20"/>
      <c r="B23" s="20" t="s">
        <v>25</v>
      </c>
      <c r="C23" s="20"/>
      <c r="D23" s="29">
        <v>0</v>
      </c>
      <c r="E23" s="28"/>
    </row>
    <row r="24" spans="1:5" x14ac:dyDescent="0.25">
      <c r="A24" s="20"/>
      <c r="B24" s="27" t="s">
        <v>81</v>
      </c>
      <c r="C24" s="13"/>
      <c r="D24" s="13">
        <v>518.54</v>
      </c>
      <c r="E24" s="28">
        <f>D24*26.2%</f>
        <v>135.85748000000001</v>
      </c>
    </row>
    <row r="25" spans="1:5" x14ac:dyDescent="0.25">
      <c r="A25" s="20">
        <v>2</v>
      </c>
      <c r="B25" s="27" t="s">
        <v>26</v>
      </c>
      <c r="C25" s="20"/>
      <c r="D25" s="20">
        <v>1728.87</v>
      </c>
      <c r="E25" s="28"/>
    </row>
    <row r="26" spans="1:5" x14ac:dyDescent="0.25">
      <c r="A26" s="24" t="s">
        <v>27</v>
      </c>
      <c r="B26" s="30" t="s">
        <v>28</v>
      </c>
      <c r="C26" s="20"/>
      <c r="D26" s="26">
        <f>D27+D28+D29+D30</f>
        <v>49210.53</v>
      </c>
      <c r="E26" s="26">
        <f>E27</f>
        <v>10898.455920000002</v>
      </c>
    </row>
    <row r="27" spans="1:5" x14ac:dyDescent="0.25">
      <c r="A27" s="20">
        <v>1</v>
      </c>
      <c r="B27" s="31" t="s">
        <v>29</v>
      </c>
      <c r="C27" s="20"/>
      <c r="D27" s="31">
        <v>41597.160000000003</v>
      </c>
      <c r="E27" s="28">
        <f>D27*26.2%</f>
        <v>10898.455920000002</v>
      </c>
    </row>
    <row r="28" spans="1:5" x14ac:dyDescent="0.25">
      <c r="A28" s="20">
        <v>2</v>
      </c>
      <c r="B28" s="31" t="s">
        <v>26</v>
      </c>
      <c r="C28" s="20"/>
      <c r="D28" s="31">
        <v>1367.17</v>
      </c>
      <c r="E28" s="28"/>
    </row>
    <row r="29" spans="1:5" x14ac:dyDescent="0.25">
      <c r="A29" s="20">
        <v>3</v>
      </c>
      <c r="B29" s="31" t="s">
        <v>86</v>
      </c>
      <c r="C29" s="20"/>
      <c r="D29" s="31">
        <v>1890.2</v>
      </c>
      <c r="E29" s="28"/>
    </row>
    <row r="30" spans="1:5" x14ac:dyDescent="0.25">
      <c r="A30" s="20">
        <v>4</v>
      </c>
      <c r="B30" s="31" t="s">
        <v>69</v>
      </c>
      <c r="C30" s="20"/>
      <c r="D30" s="33">
        <v>4356</v>
      </c>
      <c r="E30" s="28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30419.922499999997</v>
      </c>
      <c r="E31" s="20"/>
    </row>
    <row r="32" spans="1:5" x14ac:dyDescent="0.25">
      <c r="A32" s="20"/>
      <c r="B32" s="20" t="s">
        <v>32</v>
      </c>
      <c r="C32" s="20"/>
      <c r="D32" s="28">
        <f>D16*5%</f>
        <v>8729.9125000000004</v>
      </c>
      <c r="E32" s="20"/>
    </row>
    <row r="33" spans="1:5" x14ac:dyDescent="0.25">
      <c r="A33" s="20"/>
      <c r="B33" s="20" t="s">
        <v>61</v>
      </c>
      <c r="C33" s="20"/>
      <c r="D33" s="31">
        <v>349.05</v>
      </c>
      <c r="E33" s="20"/>
    </row>
    <row r="34" spans="1:5" x14ac:dyDescent="0.25">
      <c r="A34" s="20"/>
      <c r="B34" s="20" t="s">
        <v>34</v>
      </c>
      <c r="C34" s="20"/>
      <c r="D34" s="28">
        <v>7389.73</v>
      </c>
      <c r="E34" s="20"/>
    </row>
    <row r="35" spans="1:5" x14ac:dyDescent="0.25">
      <c r="A35" s="20"/>
      <c r="B35" s="31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1231.8800000000001</v>
      </c>
      <c r="E36" s="20"/>
    </row>
    <row r="37" spans="1:5" x14ac:dyDescent="0.25">
      <c r="A37" s="20"/>
      <c r="B37" s="27" t="s">
        <v>66</v>
      </c>
      <c r="C37" s="20"/>
      <c r="D37" s="20">
        <v>9871.94</v>
      </c>
      <c r="E37" s="20"/>
    </row>
    <row r="38" spans="1:5" x14ac:dyDescent="0.25">
      <c r="A38" s="20"/>
      <c r="B38" s="31" t="s">
        <v>38</v>
      </c>
      <c r="C38" s="20"/>
      <c r="D38" s="20">
        <v>2847.41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27087.760000000002</v>
      </c>
      <c r="E39" s="26">
        <f>E40</f>
        <v>5282.6221599999999</v>
      </c>
    </row>
    <row r="40" spans="1:5" x14ac:dyDescent="0.25">
      <c r="A40" s="73"/>
      <c r="B40" s="31" t="s">
        <v>40</v>
      </c>
      <c r="C40" s="31"/>
      <c r="D40" s="33">
        <v>20162.68</v>
      </c>
      <c r="E40" s="28">
        <f>D40*26.2%</f>
        <v>5282.6221599999999</v>
      </c>
    </row>
    <row r="41" spans="1:5" x14ac:dyDescent="0.25">
      <c r="A41" s="73"/>
      <c r="B41" s="20" t="s">
        <v>41</v>
      </c>
      <c r="C41" s="20"/>
      <c r="D41" s="33">
        <v>6925.08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D19+E19+D26+E26+D31+D39+E39</f>
        <v>144487.47214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D16*6%</f>
        <v>10475.895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154963.36713999999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D16-D44</f>
        <v>19634.882860000012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145227.02286000003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47</v>
      </c>
      <c r="D49" t="s">
        <v>48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8" sqref="A38:A46"/>
    </sheetView>
  </sheetViews>
  <sheetFormatPr defaultRowHeight="15" x14ac:dyDescent="0.25"/>
  <cols>
    <col min="1" max="1" width="6.5703125" customWidth="1"/>
    <col min="2" max="2" width="47.28515625" customWidth="1"/>
    <col min="4" max="4" width="11.85546875" customWidth="1"/>
    <col min="5" max="5" width="11.71093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198</v>
      </c>
    </row>
    <row r="5" spans="1:5" x14ac:dyDescent="0.25">
      <c r="A5" s="601"/>
      <c r="B5" s="599"/>
      <c r="C5" s="599"/>
      <c r="D5" s="430"/>
      <c r="E5" s="58"/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175</v>
      </c>
      <c r="C8" s="13"/>
      <c r="D8" s="471">
        <v>-15553.62</v>
      </c>
      <c r="E8" s="413"/>
    </row>
    <row r="9" spans="1:5" x14ac:dyDescent="0.25">
      <c r="A9" s="9"/>
      <c r="B9" s="12" t="s">
        <v>199</v>
      </c>
      <c r="C9" s="9"/>
      <c r="D9" s="10">
        <v>31367.7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3706.7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2593.8200000000002</v>
      </c>
      <c r="E11" s="13"/>
    </row>
    <row r="12" spans="1:5" x14ac:dyDescent="0.25">
      <c r="A12" s="13"/>
      <c r="B12" s="15" t="s">
        <v>12</v>
      </c>
      <c r="C12" s="13" t="s">
        <v>13</v>
      </c>
      <c r="D12" s="13">
        <v>109219.74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f>214172.03-102972.16</f>
        <v>111199.87</v>
      </c>
      <c r="E15" s="13"/>
    </row>
    <row r="16" spans="1:5" x14ac:dyDescent="0.25">
      <c r="A16" s="13">
        <v>2</v>
      </c>
      <c r="B16" s="13" t="s">
        <v>16</v>
      </c>
      <c r="C16" s="13"/>
      <c r="D16" s="13">
        <f>72692.15-D9</f>
        <v>41324.449999999997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152524.32</v>
      </c>
      <c r="E17" s="13"/>
    </row>
    <row r="18" spans="1:5" ht="15.75" x14ac:dyDescent="0.25">
      <c r="A18" s="13"/>
      <c r="B18" s="16"/>
      <c r="C18" s="13"/>
      <c r="D18" s="19"/>
      <c r="E18" s="13" t="s">
        <v>19</v>
      </c>
    </row>
    <row r="19" spans="1:5" ht="15.75" x14ac:dyDescent="0.25">
      <c r="A19" s="20"/>
      <c r="B19" s="21" t="s">
        <v>18</v>
      </c>
      <c r="C19" s="13"/>
      <c r="D19" s="19"/>
      <c r="E19" s="13"/>
    </row>
    <row r="20" spans="1:5" x14ac:dyDescent="0.25">
      <c r="A20" s="24" t="s">
        <v>20</v>
      </c>
      <c r="B20" s="25" t="s">
        <v>21</v>
      </c>
      <c r="C20" s="13"/>
      <c r="D20" s="19">
        <f>D21+D25</f>
        <v>31602.09</v>
      </c>
      <c r="E20" s="410">
        <f>E21</f>
        <v>8015.8611799999999</v>
      </c>
    </row>
    <row r="21" spans="1:5" x14ac:dyDescent="0.25">
      <c r="A21" s="20">
        <v>1</v>
      </c>
      <c r="B21" s="22" t="s">
        <v>22</v>
      </c>
      <c r="C21" s="13" t="s">
        <v>13</v>
      </c>
      <c r="D21" s="19">
        <f>D22+D23+D24</f>
        <v>30594.89</v>
      </c>
      <c r="E21" s="18">
        <f>E22+E23+E24</f>
        <v>8015.8611799999999</v>
      </c>
    </row>
    <row r="22" spans="1:5" x14ac:dyDescent="0.25">
      <c r="A22" s="20"/>
      <c r="B22" s="20" t="s">
        <v>23</v>
      </c>
      <c r="C22" s="13"/>
      <c r="D22" s="13">
        <v>7705.78</v>
      </c>
      <c r="E22" s="17">
        <f>D22*26.2%</f>
        <v>2018.91436</v>
      </c>
    </row>
    <row r="23" spans="1:5" x14ac:dyDescent="0.25">
      <c r="A23" s="20"/>
      <c r="B23" s="20" t="s">
        <v>24</v>
      </c>
      <c r="C23" s="13"/>
      <c r="D23" s="13">
        <v>8910.2800000000007</v>
      </c>
      <c r="E23" s="17">
        <f>D23*26.2%</f>
        <v>2334.4933600000004</v>
      </c>
    </row>
    <row r="24" spans="1:5" x14ac:dyDescent="0.25">
      <c r="A24" s="20"/>
      <c r="B24" s="20" t="s">
        <v>25</v>
      </c>
      <c r="C24" s="13"/>
      <c r="D24" s="13">
        <v>13978.83</v>
      </c>
      <c r="E24" s="17">
        <f>D24*26.2%</f>
        <v>3662.4534600000002</v>
      </c>
    </row>
    <row r="25" spans="1:5" x14ac:dyDescent="0.25">
      <c r="A25" s="20">
        <v>2</v>
      </c>
      <c r="B25" s="27" t="s">
        <v>26</v>
      </c>
      <c r="C25" s="13"/>
      <c r="D25" s="13">
        <v>1007.2</v>
      </c>
      <c r="E25" s="17"/>
    </row>
    <row r="26" spans="1:5" x14ac:dyDescent="0.25">
      <c r="A26" s="24" t="s">
        <v>27</v>
      </c>
      <c r="B26" s="30" t="s">
        <v>28</v>
      </c>
      <c r="C26" s="13"/>
      <c r="D26" s="467">
        <f>D27+D28</f>
        <v>29268.18</v>
      </c>
      <c r="E26" s="410">
        <f>E27</f>
        <v>6349.2215399999995</v>
      </c>
    </row>
    <row r="27" spans="1:5" x14ac:dyDescent="0.25">
      <c r="A27" s="20">
        <v>1</v>
      </c>
      <c r="B27" s="31" t="s">
        <v>29</v>
      </c>
      <c r="C27" s="13"/>
      <c r="D27" s="13">
        <v>24233.67</v>
      </c>
      <c r="E27" s="17">
        <f>D27*26.2%</f>
        <v>6349.2215399999995</v>
      </c>
    </row>
    <row r="28" spans="1:5" x14ac:dyDescent="0.25">
      <c r="A28" s="20">
        <v>2</v>
      </c>
      <c r="B28" s="31" t="s">
        <v>26</v>
      </c>
      <c r="C28" s="13"/>
      <c r="D28" s="468">
        <v>5034.51</v>
      </c>
      <c r="E28" s="13"/>
    </row>
    <row r="29" spans="1:5" x14ac:dyDescent="0.25">
      <c r="A29" s="13">
        <v>3</v>
      </c>
      <c r="B29" s="19" t="s">
        <v>31</v>
      </c>
      <c r="C29" s="13"/>
      <c r="D29" s="18">
        <f>D30+D31+D32+D33+D34+D35+D36+D37</f>
        <v>15505.096000000001</v>
      </c>
      <c r="E29" s="13"/>
    </row>
    <row r="30" spans="1:5" x14ac:dyDescent="0.25">
      <c r="A30" s="13"/>
      <c r="B30" s="13" t="s">
        <v>32</v>
      </c>
      <c r="C30" s="13"/>
      <c r="D30" s="17">
        <f>D17*5%</f>
        <v>7626.2160000000003</v>
      </c>
      <c r="E30" s="13"/>
    </row>
    <row r="31" spans="1:5" x14ac:dyDescent="0.25">
      <c r="A31" s="13"/>
      <c r="B31" s="13" t="s">
        <v>61</v>
      </c>
      <c r="C31" s="13"/>
      <c r="D31" s="13">
        <v>342.25</v>
      </c>
      <c r="E31" s="13"/>
    </row>
    <row r="32" spans="1:5" x14ac:dyDescent="0.25">
      <c r="A32" s="13"/>
      <c r="B32" s="13" t="s">
        <v>33</v>
      </c>
      <c r="C32" s="13"/>
      <c r="D32" s="13">
        <v>855</v>
      </c>
      <c r="E32" s="13"/>
    </row>
    <row r="33" spans="1:5" x14ac:dyDescent="0.25">
      <c r="A33" s="13"/>
      <c r="B33" s="13" t="s">
        <v>34</v>
      </c>
      <c r="C33" s="13"/>
      <c r="D33" s="13">
        <v>4305.1099999999997</v>
      </c>
      <c r="E33" s="13"/>
    </row>
    <row r="34" spans="1:5" x14ac:dyDescent="0.25">
      <c r="A34" s="13"/>
      <c r="B34" s="27" t="s">
        <v>36</v>
      </c>
      <c r="C34" s="13"/>
      <c r="D34" s="13">
        <v>717.67</v>
      </c>
      <c r="E34" s="13"/>
    </row>
    <row r="35" spans="1:5" x14ac:dyDescent="0.25">
      <c r="A35" s="13"/>
      <c r="B35" s="27" t="s">
        <v>66</v>
      </c>
      <c r="C35" s="13"/>
      <c r="D35" s="13">
        <v>0</v>
      </c>
      <c r="E35" s="13"/>
    </row>
    <row r="36" spans="1:5" x14ac:dyDescent="0.25">
      <c r="A36" s="13"/>
      <c r="B36" s="27" t="s">
        <v>35</v>
      </c>
      <c r="C36" s="13"/>
      <c r="D36" s="13">
        <v>0</v>
      </c>
      <c r="E36" s="13"/>
    </row>
    <row r="37" spans="1:5" x14ac:dyDescent="0.25">
      <c r="A37" s="13"/>
      <c r="B37" s="13" t="s">
        <v>38</v>
      </c>
      <c r="C37" s="13"/>
      <c r="D37" s="13">
        <v>1658.85</v>
      </c>
      <c r="E37" s="13"/>
    </row>
    <row r="38" spans="1:5" x14ac:dyDescent="0.25">
      <c r="A38" s="14" t="s">
        <v>89</v>
      </c>
      <c r="B38" s="19" t="s">
        <v>39</v>
      </c>
      <c r="C38" s="13"/>
      <c r="D38" s="18">
        <f>D40+D39</f>
        <v>15780.78</v>
      </c>
      <c r="E38" s="410">
        <f>E39</f>
        <v>3077.5489400000001</v>
      </c>
    </row>
    <row r="39" spans="1:5" x14ac:dyDescent="0.25">
      <c r="A39" s="14"/>
      <c r="B39" s="31" t="s">
        <v>40</v>
      </c>
      <c r="C39" s="13"/>
      <c r="D39" s="411">
        <v>11746.37</v>
      </c>
      <c r="E39" s="17">
        <f>D39*26.2%</f>
        <v>3077.5489400000001</v>
      </c>
    </row>
    <row r="40" spans="1:5" x14ac:dyDescent="0.25">
      <c r="A40" s="14"/>
      <c r="B40" s="20" t="s">
        <v>41</v>
      </c>
      <c r="C40" s="13"/>
      <c r="D40" s="411">
        <v>4034.41</v>
      </c>
      <c r="E40" s="13"/>
    </row>
    <row r="41" spans="1:5" x14ac:dyDescent="0.25">
      <c r="A41" s="14" t="s">
        <v>90</v>
      </c>
      <c r="B41" s="19" t="s">
        <v>42</v>
      </c>
      <c r="C41" s="13"/>
      <c r="D41" s="18">
        <f>D20+E20+D26+E26+D29+D38+E38</f>
        <v>109598.77765999999</v>
      </c>
      <c r="E41" s="13"/>
    </row>
    <row r="42" spans="1:5" x14ac:dyDescent="0.25">
      <c r="A42" s="14" t="s">
        <v>91</v>
      </c>
      <c r="B42" s="19" t="s">
        <v>43</v>
      </c>
      <c r="C42" s="13"/>
      <c r="D42" s="18">
        <f>D17*6%</f>
        <v>9151.4591999999993</v>
      </c>
      <c r="E42" s="13"/>
    </row>
    <row r="43" spans="1:5" x14ac:dyDescent="0.25">
      <c r="A43" s="14" t="s">
        <v>92</v>
      </c>
      <c r="B43" s="19" t="s">
        <v>44</v>
      </c>
      <c r="C43" s="13"/>
      <c r="D43" s="18">
        <f>D41+D42</f>
        <v>118750.23685999999</v>
      </c>
      <c r="E43" s="13"/>
    </row>
    <row r="44" spans="1:5" x14ac:dyDescent="0.25">
      <c r="A44" s="14"/>
      <c r="B44" s="19"/>
      <c r="C44" s="13"/>
      <c r="D44" s="13"/>
      <c r="E44" s="13"/>
    </row>
    <row r="45" spans="1:5" x14ac:dyDescent="0.25">
      <c r="A45" s="14" t="s">
        <v>93</v>
      </c>
      <c r="B45" s="19" t="s">
        <v>45</v>
      </c>
      <c r="C45" s="13"/>
      <c r="D45" s="18">
        <f>D15-D43</f>
        <v>-7550.3668599999946</v>
      </c>
      <c r="E45" s="13"/>
    </row>
    <row r="46" spans="1:5" x14ac:dyDescent="0.25">
      <c r="A46" s="491" t="s">
        <v>94</v>
      </c>
      <c r="B46" s="19" t="s">
        <v>83</v>
      </c>
      <c r="C46" s="471"/>
      <c r="D46" s="18">
        <f>D8+D45</f>
        <v>-23103.986859999997</v>
      </c>
      <c r="E46" s="413"/>
    </row>
    <row r="47" spans="1:5" x14ac:dyDescent="0.25">
      <c r="A47" s="414"/>
      <c r="B47" s="476" t="s">
        <v>16</v>
      </c>
      <c r="C47" s="57"/>
      <c r="D47" s="476">
        <f>D9+D16</f>
        <v>72692.149999999994</v>
      </c>
      <c r="E47" s="57"/>
    </row>
    <row r="49" spans="2:4" x14ac:dyDescent="0.25">
      <c r="B49" t="s">
        <v>47</v>
      </c>
      <c r="D49" t="s">
        <v>48</v>
      </c>
    </row>
    <row r="50" spans="2:4" x14ac:dyDescent="0.25">
      <c r="B50" t="s">
        <v>49</v>
      </c>
      <c r="D50" t="s">
        <v>50</v>
      </c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39" sqref="A39:A47"/>
    </sheetView>
  </sheetViews>
  <sheetFormatPr defaultRowHeight="15" x14ac:dyDescent="0.25"/>
  <cols>
    <col min="2" max="2" width="39.28515625" customWidth="1"/>
    <col min="4" max="4" width="12.140625" customWidth="1"/>
    <col min="5" max="5" width="12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200</v>
      </c>
    </row>
    <row r="5" spans="1:5" x14ac:dyDescent="0.25">
      <c r="B5" t="s">
        <v>95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8</v>
      </c>
      <c r="C8" s="13"/>
      <c r="D8" s="471">
        <v>122775.1</v>
      </c>
      <c r="E8" s="413"/>
    </row>
    <row r="9" spans="1:5" x14ac:dyDescent="0.25">
      <c r="A9" s="13"/>
      <c r="B9" s="14" t="s">
        <v>9</v>
      </c>
      <c r="C9" s="13" t="s">
        <v>10</v>
      </c>
      <c r="D9" s="17">
        <v>5523.2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4451.0200000000004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170982.72</v>
      </c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7">
        <f>330334.99-160206.21</f>
        <v>170128.78</v>
      </c>
      <c r="E13" s="13"/>
    </row>
    <row r="14" spans="1:5" x14ac:dyDescent="0.25">
      <c r="A14" s="13">
        <v>2</v>
      </c>
      <c r="B14" s="13" t="s">
        <v>74</v>
      </c>
      <c r="C14" s="13"/>
      <c r="D14" s="17">
        <v>123500</v>
      </c>
      <c r="E14" s="13"/>
    </row>
    <row r="15" spans="1:5" ht="15.75" x14ac:dyDescent="0.25">
      <c r="A15" s="13"/>
      <c r="B15" s="16" t="s">
        <v>17</v>
      </c>
      <c r="C15" s="13"/>
      <c r="D15" s="18">
        <f>D13+D14</f>
        <v>293628.78000000003</v>
      </c>
      <c r="E15" s="13"/>
    </row>
    <row r="16" spans="1:5" ht="15.75" x14ac:dyDescent="0.25">
      <c r="A16" s="13"/>
      <c r="B16" s="16"/>
      <c r="C16" s="13"/>
      <c r="D16" s="19"/>
      <c r="E16" s="13"/>
    </row>
    <row r="17" spans="1:5" ht="15.75" x14ac:dyDescent="0.25">
      <c r="A17" s="20"/>
      <c r="B17" s="21" t="s">
        <v>18</v>
      </c>
      <c r="C17" s="20"/>
      <c r="D17" s="22"/>
      <c r="E17" s="23" t="s">
        <v>19</v>
      </c>
    </row>
    <row r="18" spans="1:5" x14ac:dyDescent="0.25">
      <c r="A18" s="24" t="s">
        <v>20</v>
      </c>
      <c r="B18" s="25" t="s">
        <v>21</v>
      </c>
      <c r="C18" s="20"/>
      <c r="D18" s="22">
        <f>D19+D24</f>
        <v>47868.36</v>
      </c>
      <c r="E18" s="26">
        <f>E19</f>
        <v>12088.677380000001</v>
      </c>
    </row>
    <row r="19" spans="1:5" x14ac:dyDescent="0.25">
      <c r="A19" s="20">
        <v>1</v>
      </c>
      <c r="B19" s="22" t="s">
        <v>22</v>
      </c>
      <c r="C19" s="27" t="s">
        <v>13</v>
      </c>
      <c r="D19" s="22">
        <f>D20+D23</f>
        <v>46139.99</v>
      </c>
      <c r="E19" s="26">
        <f>E20+E23</f>
        <v>12088.677380000001</v>
      </c>
    </row>
    <row r="20" spans="1:5" x14ac:dyDescent="0.25">
      <c r="A20" s="20"/>
      <c r="B20" s="20" t="s">
        <v>23</v>
      </c>
      <c r="C20" s="20"/>
      <c r="D20" s="20">
        <v>44385.36</v>
      </c>
      <c r="E20" s="28">
        <f>D20*26.2%</f>
        <v>11628.964320000001</v>
      </c>
    </row>
    <row r="21" spans="1:5" x14ac:dyDescent="0.25">
      <c r="A21" s="20"/>
      <c r="B21" s="20" t="s">
        <v>24</v>
      </c>
      <c r="C21" s="20"/>
      <c r="D21" s="29">
        <v>0</v>
      </c>
      <c r="E21" s="28"/>
    </row>
    <row r="22" spans="1:5" x14ac:dyDescent="0.25">
      <c r="A22" s="20"/>
      <c r="B22" s="20" t="s">
        <v>25</v>
      </c>
      <c r="C22" s="20"/>
      <c r="D22" s="20">
        <v>0</v>
      </c>
      <c r="E22" s="28"/>
    </row>
    <row r="23" spans="1:5" x14ac:dyDescent="0.25">
      <c r="A23" s="20"/>
      <c r="B23" s="27" t="s">
        <v>81</v>
      </c>
      <c r="C23" s="13"/>
      <c r="D23" s="13">
        <v>1754.63</v>
      </c>
      <c r="E23" s="28">
        <f>D23*26.2%</f>
        <v>459.71306000000004</v>
      </c>
    </row>
    <row r="24" spans="1:5" x14ac:dyDescent="0.25">
      <c r="A24" s="20">
        <v>2</v>
      </c>
      <c r="B24" s="27" t="s">
        <v>26</v>
      </c>
      <c r="C24" s="20"/>
      <c r="D24" s="20">
        <v>1728.37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D26+D27+D28</f>
        <v>54838.369999999995</v>
      </c>
      <c r="E25" s="26">
        <f>E26</f>
        <v>10895.32502</v>
      </c>
    </row>
    <row r="26" spans="1:5" x14ac:dyDescent="0.25">
      <c r="A26" s="20">
        <v>1</v>
      </c>
      <c r="B26" s="31" t="s">
        <v>29</v>
      </c>
      <c r="C26" s="20"/>
      <c r="D26" s="31">
        <v>41585.21</v>
      </c>
      <c r="E26" s="28">
        <f>D26*26.2%</f>
        <v>10895.32502</v>
      </c>
    </row>
    <row r="27" spans="1:5" x14ac:dyDescent="0.25">
      <c r="A27" s="20">
        <v>2</v>
      </c>
      <c r="B27" s="31" t="s">
        <v>26</v>
      </c>
      <c r="C27" s="20"/>
      <c r="D27" s="31">
        <v>11362.96</v>
      </c>
      <c r="E27" s="20"/>
    </row>
    <row r="28" spans="1:5" x14ac:dyDescent="0.25">
      <c r="A28" s="20">
        <v>3</v>
      </c>
      <c r="B28" s="31" t="s">
        <v>86</v>
      </c>
      <c r="C28" s="20"/>
      <c r="D28" s="31">
        <v>1890.2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D30+D31+D33+D35+D36+D37+D38+D32+D34</f>
        <v>58784.548999999999</v>
      </c>
      <c r="E29" s="20"/>
    </row>
    <row r="30" spans="1:5" x14ac:dyDescent="0.25">
      <c r="A30" s="20"/>
      <c r="B30" s="20" t="s">
        <v>32</v>
      </c>
      <c r="C30" s="20"/>
      <c r="D30" s="28">
        <f>D15*5%</f>
        <v>14681.439000000002</v>
      </c>
      <c r="E30" s="20"/>
    </row>
    <row r="31" spans="1:5" x14ac:dyDescent="0.25">
      <c r="A31" s="20"/>
      <c r="B31" s="20" t="s">
        <v>61</v>
      </c>
      <c r="C31" s="20"/>
      <c r="D31" s="20">
        <v>349.18</v>
      </c>
      <c r="E31" s="20"/>
    </row>
    <row r="32" spans="1:5" x14ac:dyDescent="0.25">
      <c r="A32" s="20"/>
      <c r="B32" s="13" t="s">
        <v>33</v>
      </c>
      <c r="C32" s="13"/>
      <c r="D32" s="17">
        <v>4503</v>
      </c>
      <c r="E32" s="20"/>
    </row>
    <row r="33" spans="1:5" x14ac:dyDescent="0.25">
      <c r="A33" s="20"/>
      <c r="B33" s="20" t="s">
        <v>34</v>
      </c>
      <c r="C33" s="20"/>
      <c r="D33" s="28">
        <v>7387.6</v>
      </c>
      <c r="E33" s="20"/>
    </row>
    <row r="34" spans="1:5" x14ac:dyDescent="0.25">
      <c r="A34" s="20"/>
      <c r="B34" s="13" t="s">
        <v>201</v>
      </c>
      <c r="C34" s="20"/>
      <c r="D34" s="28">
        <v>2875</v>
      </c>
      <c r="E34" s="20"/>
    </row>
    <row r="35" spans="1:5" x14ac:dyDescent="0.25">
      <c r="A35" s="31"/>
      <c r="B35" s="27" t="s">
        <v>37</v>
      </c>
      <c r="C35" s="13"/>
      <c r="D35" s="13">
        <v>18910.22</v>
      </c>
      <c r="E35" s="20"/>
    </row>
    <row r="36" spans="1:5" x14ac:dyDescent="0.25">
      <c r="A36" s="27"/>
      <c r="B36" s="27" t="s">
        <v>36</v>
      </c>
      <c r="C36" s="20"/>
      <c r="D36" s="20">
        <v>1231.52</v>
      </c>
      <c r="E36" s="20"/>
    </row>
    <row r="37" spans="1:5" x14ac:dyDescent="0.25">
      <c r="A37" s="20"/>
      <c r="B37" s="31" t="s">
        <v>38</v>
      </c>
      <c r="C37" s="20"/>
      <c r="D37" s="20">
        <v>2846.59</v>
      </c>
      <c r="E37" s="20"/>
    </row>
    <row r="38" spans="1:5" x14ac:dyDescent="0.25">
      <c r="A38" s="20"/>
      <c r="B38" s="27" t="s">
        <v>96</v>
      </c>
      <c r="C38" s="20"/>
      <c r="D38" s="20">
        <v>6000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27079.96</v>
      </c>
      <c r="E39" s="26">
        <f>E40</f>
        <v>5281.1025600000003</v>
      </c>
    </row>
    <row r="40" spans="1:5" x14ac:dyDescent="0.25">
      <c r="A40" s="73"/>
      <c r="B40" s="31" t="s">
        <v>40</v>
      </c>
      <c r="C40" s="31"/>
      <c r="D40" s="33">
        <v>20156.88</v>
      </c>
      <c r="E40" s="28">
        <f>D40*26.2%</f>
        <v>5281.1025600000003</v>
      </c>
    </row>
    <row r="41" spans="1:5" x14ac:dyDescent="0.25">
      <c r="A41" s="73"/>
      <c r="B41" s="20" t="s">
        <v>41</v>
      </c>
      <c r="C41" s="20"/>
      <c r="D41" s="33">
        <v>6923.08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D18+E18+D25+E25+D29+D39+E39</f>
        <v>216836.34395999997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D15*6%</f>
        <v>17617.7268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234454.07075999997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D15-D44</f>
        <v>59174.709240000055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181949.80924000006</v>
      </c>
      <c r="E47" s="20"/>
    </row>
    <row r="48" spans="1:5" x14ac:dyDescent="0.25">
      <c r="A48" s="37"/>
      <c r="B48" s="35"/>
      <c r="C48" s="34"/>
      <c r="D48" s="36"/>
      <c r="E48" s="37"/>
    </row>
    <row r="49" spans="2:4" x14ac:dyDescent="0.25">
      <c r="B49" t="s">
        <v>47</v>
      </c>
      <c r="D49" t="s">
        <v>48</v>
      </c>
    </row>
    <row r="50" spans="2:4" x14ac:dyDescent="0.25">
      <c r="B50" s="37" t="s">
        <v>49</v>
      </c>
      <c r="C50" s="37"/>
      <c r="D50" s="37" t="s">
        <v>50</v>
      </c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A39" sqref="A39:A47"/>
    </sheetView>
  </sheetViews>
  <sheetFormatPr defaultRowHeight="15" x14ac:dyDescent="0.25"/>
  <cols>
    <col min="1" max="1" width="6.7109375" customWidth="1"/>
    <col min="2" max="2" width="43.42578125" customWidth="1"/>
    <col min="4" max="4" width="11.140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202</v>
      </c>
    </row>
    <row r="5" spans="1:5" x14ac:dyDescent="0.25">
      <c r="B5" t="s">
        <v>59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114</v>
      </c>
      <c r="E7" s="596"/>
    </row>
    <row r="8" spans="1:5" x14ac:dyDescent="0.25">
      <c r="A8" s="13"/>
      <c r="B8" s="14" t="s">
        <v>8</v>
      </c>
      <c r="C8" s="13"/>
      <c r="D8" s="471">
        <v>97387.54</v>
      </c>
      <c r="E8" s="413"/>
    </row>
    <row r="9" spans="1:5" x14ac:dyDescent="0.25">
      <c r="A9" s="13"/>
      <c r="B9" s="14" t="s">
        <v>9</v>
      </c>
      <c r="C9" s="13" t="s">
        <v>10</v>
      </c>
      <c r="D9" s="13">
        <v>5531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4431.24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170429.64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7">
        <f>346657.07-173000.32</f>
        <v>173656.75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17</v>
      </c>
      <c r="C16" s="13"/>
      <c r="D16" s="18">
        <f>D14</f>
        <v>173656.75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D20+D25</f>
        <v>38385.19</v>
      </c>
      <c r="E19" s="26">
        <f>E20</f>
        <v>9606.099000000002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D21+D24</f>
        <v>36664.5</v>
      </c>
      <c r="E20" s="26">
        <f>E21+E24</f>
        <v>9606.099000000002</v>
      </c>
    </row>
    <row r="21" spans="1:5" x14ac:dyDescent="0.25">
      <c r="A21" s="20"/>
      <c r="B21" s="20" t="s">
        <v>23</v>
      </c>
      <c r="C21" s="20"/>
      <c r="D21" s="20">
        <v>31703.83</v>
      </c>
      <c r="E21" s="28">
        <f>D21*26.2%</f>
        <v>8306.4034600000014</v>
      </c>
    </row>
    <row r="22" spans="1:5" x14ac:dyDescent="0.25">
      <c r="A22" s="20"/>
      <c r="B22" s="20" t="s">
        <v>24</v>
      </c>
      <c r="C22" s="20"/>
      <c r="D22" s="29">
        <v>0</v>
      </c>
      <c r="E22" s="28"/>
    </row>
    <row r="23" spans="1:5" x14ac:dyDescent="0.25">
      <c r="A23" s="20"/>
      <c r="B23" s="20" t="s">
        <v>25</v>
      </c>
      <c r="C23" s="20"/>
      <c r="D23" s="29">
        <v>0</v>
      </c>
      <c r="E23" s="28"/>
    </row>
    <row r="24" spans="1:5" x14ac:dyDescent="0.25">
      <c r="A24" s="20"/>
      <c r="B24" s="27" t="s">
        <v>81</v>
      </c>
      <c r="C24" s="13"/>
      <c r="D24" s="13">
        <v>4960.67</v>
      </c>
      <c r="E24" s="28">
        <f>D24*26.2%</f>
        <v>1299.6955400000002</v>
      </c>
    </row>
    <row r="25" spans="1:5" x14ac:dyDescent="0.25">
      <c r="A25" s="20">
        <v>2</v>
      </c>
      <c r="B25" s="27" t="s">
        <v>26</v>
      </c>
      <c r="C25" s="20"/>
      <c r="D25" s="20">
        <v>1720.69</v>
      </c>
      <c r="E25" s="28"/>
    </row>
    <row r="26" spans="1:5" x14ac:dyDescent="0.25">
      <c r="A26" s="24" t="s">
        <v>27</v>
      </c>
      <c r="B26" s="30" t="s">
        <v>28</v>
      </c>
      <c r="C26" s="20"/>
      <c r="D26" s="26">
        <f>D27+D28+D29+D30</f>
        <v>61279.31</v>
      </c>
      <c r="E26" s="26">
        <f>E27</f>
        <v>10846.9048</v>
      </c>
    </row>
    <row r="27" spans="1:5" x14ac:dyDescent="0.25">
      <c r="A27" s="20">
        <v>1</v>
      </c>
      <c r="B27" s="31" t="s">
        <v>29</v>
      </c>
      <c r="C27" s="20"/>
      <c r="D27" s="31">
        <v>41400.400000000001</v>
      </c>
      <c r="E27" s="28">
        <f>D27*26.2%</f>
        <v>10846.9048</v>
      </c>
    </row>
    <row r="28" spans="1:5" x14ac:dyDescent="0.25">
      <c r="A28" s="20">
        <v>2</v>
      </c>
      <c r="B28" s="31" t="s">
        <v>26</v>
      </c>
      <c r="C28" s="20"/>
      <c r="D28" s="31">
        <v>10579.31</v>
      </c>
      <c r="E28" s="28"/>
    </row>
    <row r="29" spans="1:5" x14ac:dyDescent="0.25">
      <c r="A29" s="20">
        <v>3</v>
      </c>
      <c r="B29" s="31" t="s">
        <v>86</v>
      </c>
      <c r="C29" s="20"/>
      <c r="D29" s="31">
        <f>1890.2+1744.8+1308.6</f>
        <v>4943.6000000000004</v>
      </c>
      <c r="E29" s="28"/>
    </row>
    <row r="30" spans="1:5" x14ac:dyDescent="0.25">
      <c r="A30" s="20">
        <v>4</v>
      </c>
      <c r="B30" s="31" t="s">
        <v>69</v>
      </c>
      <c r="C30" s="20"/>
      <c r="D30" s="33">
        <v>4356</v>
      </c>
      <c r="E30" s="28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26287.4375</v>
      </c>
      <c r="E31" s="20"/>
    </row>
    <row r="32" spans="1:5" x14ac:dyDescent="0.25">
      <c r="A32" s="20"/>
      <c r="B32" s="20" t="s">
        <v>32</v>
      </c>
      <c r="C32" s="20"/>
      <c r="D32" s="28">
        <f>D16*5%</f>
        <v>8682.8374999999996</v>
      </c>
      <c r="E32" s="20"/>
    </row>
    <row r="33" spans="1:5" x14ac:dyDescent="0.25">
      <c r="A33" s="20"/>
      <c r="B33" s="20" t="s">
        <v>61</v>
      </c>
      <c r="C33" s="20"/>
      <c r="D33" s="20">
        <v>700.53</v>
      </c>
      <c r="E33" s="20"/>
    </row>
    <row r="34" spans="1:5" x14ac:dyDescent="0.25">
      <c r="A34" s="20"/>
      <c r="B34" s="20" t="s">
        <v>34</v>
      </c>
      <c r="C34" s="20"/>
      <c r="D34" s="28">
        <v>7354.77</v>
      </c>
      <c r="E34" s="20"/>
    </row>
    <row r="35" spans="1:5" x14ac:dyDescent="0.25">
      <c r="A35" s="20"/>
      <c r="B35" s="31" t="s">
        <v>35</v>
      </c>
      <c r="C35" s="20"/>
      <c r="D35" s="20"/>
      <c r="E35" s="20"/>
    </row>
    <row r="36" spans="1:5" x14ac:dyDescent="0.25">
      <c r="A36" s="20"/>
      <c r="B36" s="27" t="s">
        <v>36</v>
      </c>
      <c r="C36" s="20"/>
      <c r="D36" s="20">
        <v>1226.05</v>
      </c>
      <c r="E36" s="20"/>
    </row>
    <row r="37" spans="1:5" x14ac:dyDescent="0.25">
      <c r="A37" s="20"/>
      <c r="B37" s="27" t="s">
        <v>66</v>
      </c>
      <c r="C37" s="20"/>
      <c r="D37" s="20">
        <v>5489.31</v>
      </c>
      <c r="E37" s="20"/>
    </row>
    <row r="38" spans="1:5" x14ac:dyDescent="0.25">
      <c r="A38" s="20"/>
      <c r="B38" s="31" t="s">
        <v>38</v>
      </c>
      <c r="C38" s="20"/>
      <c r="D38" s="20">
        <v>2833.94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26959.63</v>
      </c>
      <c r="E39" s="28">
        <f>E40</f>
        <v>5257.6352200000001</v>
      </c>
    </row>
    <row r="40" spans="1:5" x14ac:dyDescent="0.25">
      <c r="A40" s="73"/>
      <c r="B40" s="31" t="s">
        <v>40</v>
      </c>
      <c r="C40" s="31"/>
      <c r="D40" s="33">
        <v>20067.310000000001</v>
      </c>
      <c r="E40" s="28">
        <f>D40*26.2%</f>
        <v>5257.6352200000001</v>
      </c>
    </row>
    <row r="41" spans="1:5" x14ac:dyDescent="0.25">
      <c r="A41" s="73"/>
      <c r="B41" s="20" t="s">
        <v>41</v>
      </c>
      <c r="C41" s="20"/>
      <c r="D41" s="33">
        <v>6892.32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D19+E19+D26+E26+D31+D39+E39</f>
        <v>178622.20652000001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D16*6%</f>
        <v>10419.404999999999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189041.61152000001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D16-D44</f>
        <v>-15384.861520000006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82002.678479999988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47</v>
      </c>
      <c r="D49" t="s">
        <v>48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9" sqref="A39:A47"/>
    </sheetView>
  </sheetViews>
  <sheetFormatPr defaultRowHeight="15" x14ac:dyDescent="0.25"/>
  <cols>
    <col min="2" max="2" width="44.71093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203</v>
      </c>
    </row>
    <row r="5" spans="1:5" x14ac:dyDescent="0.25">
      <c r="B5" t="s">
        <v>97</v>
      </c>
    </row>
    <row r="6" spans="1:5" ht="15.75" x14ac:dyDescent="0.25">
      <c r="A6" s="2"/>
      <c r="B6" s="488" t="s">
        <v>3</v>
      </c>
      <c r="C6" s="489" t="s">
        <v>98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13"/>
      <c r="B8" s="14" t="s">
        <v>8</v>
      </c>
      <c r="C8" s="13"/>
      <c r="D8" s="471">
        <v>33695.839999999997</v>
      </c>
      <c r="E8" s="413"/>
    </row>
    <row r="9" spans="1:5" x14ac:dyDescent="0.25">
      <c r="A9" s="13"/>
      <c r="B9" s="14" t="s">
        <v>9</v>
      </c>
      <c r="C9" s="13" t="s">
        <v>10</v>
      </c>
      <c r="D9" s="13">
        <v>5597.1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4207.8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161924.28</v>
      </c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3">
        <f>324282.76-154048.33</f>
        <v>170234.43000000002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17</v>
      </c>
      <c r="C15" s="13" t="s">
        <v>13</v>
      </c>
      <c r="D15" s="19">
        <f>D13</f>
        <v>170234.43000000002</v>
      </c>
      <c r="E15" s="13"/>
    </row>
    <row r="16" spans="1:5" ht="15.75" x14ac:dyDescent="0.25">
      <c r="A16" s="13"/>
      <c r="B16" s="16"/>
      <c r="C16" s="13"/>
      <c r="D16" s="19"/>
      <c r="E16" s="13"/>
    </row>
    <row r="17" spans="1:5" ht="15.75" x14ac:dyDescent="0.25">
      <c r="A17" s="20"/>
      <c r="B17" s="21" t="s">
        <v>18</v>
      </c>
      <c r="C17" s="20"/>
      <c r="D17" s="22"/>
      <c r="E17" s="23" t="s">
        <v>19</v>
      </c>
    </row>
    <row r="18" spans="1:5" x14ac:dyDescent="0.25">
      <c r="A18" s="24" t="s">
        <v>20</v>
      </c>
      <c r="B18" s="25" t="s">
        <v>21</v>
      </c>
      <c r="C18" s="20"/>
      <c r="D18" s="22">
        <f>D19+D24</f>
        <v>40587.450000000004</v>
      </c>
      <c r="E18" s="26">
        <f>E19</f>
        <v>10205.822240000001</v>
      </c>
    </row>
    <row r="19" spans="1:5" x14ac:dyDescent="0.25">
      <c r="A19" s="20">
        <v>1</v>
      </c>
      <c r="B19" s="22" t="s">
        <v>22</v>
      </c>
      <c r="C19" s="27" t="s">
        <v>13</v>
      </c>
      <c r="D19" s="22">
        <f>D20+D23</f>
        <v>38953.520000000004</v>
      </c>
      <c r="E19" s="26">
        <f>E20+E23</f>
        <v>10205.822240000001</v>
      </c>
    </row>
    <row r="20" spans="1:5" x14ac:dyDescent="0.25">
      <c r="A20" s="20"/>
      <c r="B20" s="20" t="s">
        <v>23</v>
      </c>
      <c r="C20" s="20"/>
      <c r="D20" s="20">
        <v>30435.68</v>
      </c>
      <c r="E20" s="28">
        <f>D20*26.2%</f>
        <v>7974.1481600000006</v>
      </c>
    </row>
    <row r="21" spans="1:5" x14ac:dyDescent="0.25">
      <c r="A21" s="20"/>
      <c r="B21" s="20" t="s">
        <v>24</v>
      </c>
      <c r="C21" s="20"/>
      <c r="D21" s="29">
        <v>0</v>
      </c>
      <c r="E21" s="28"/>
    </row>
    <row r="22" spans="1:5" x14ac:dyDescent="0.25">
      <c r="A22" s="20"/>
      <c r="B22" s="20" t="s">
        <v>25</v>
      </c>
      <c r="C22" s="20"/>
      <c r="D22" s="29">
        <v>0</v>
      </c>
      <c r="E22" s="28"/>
    </row>
    <row r="23" spans="1:5" x14ac:dyDescent="0.25">
      <c r="A23" s="20"/>
      <c r="B23" s="27" t="s">
        <v>81</v>
      </c>
      <c r="C23" s="20"/>
      <c r="D23" s="20">
        <v>8517.84</v>
      </c>
      <c r="E23" s="28">
        <f>D23*26.2%</f>
        <v>2231.6740800000002</v>
      </c>
    </row>
    <row r="24" spans="1:5" x14ac:dyDescent="0.25">
      <c r="A24" s="20">
        <v>2</v>
      </c>
      <c r="B24" s="27" t="s">
        <v>26</v>
      </c>
      <c r="C24" s="20"/>
      <c r="D24" s="20">
        <v>1633.93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D26+D27+D28+D29</f>
        <v>54127.569999999992</v>
      </c>
      <c r="E25" s="26">
        <f>E26</f>
        <v>10299.96408</v>
      </c>
    </row>
    <row r="26" spans="1:5" x14ac:dyDescent="0.25">
      <c r="A26" s="20">
        <v>1</v>
      </c>
      <c r="B26" s="31" t="s">
        <v>29</v>
      </c>
      <c r="C26" s="20"/>
      <c r="D26" s="31">
        <v>39312.839999999997</v>
      </c>
      <c r="E26" s="28">
        <f>D26*26.2%</f>
        <v>10299.96408</v>
      </c>
    </row>
    <row r="27" spans="1:5" x14ac:dyDescent="0.25">
      <c r="A27" s="20">
        <v>2</v>
      </c>
      <c r="B27" s="31" t="s">
        <v>26</v>
      </c>
      <c r="C27" s="20"/>
      <c r="D27" s="31">
        <v>9068.26</v>
      </c>
      <c r="E27" s="28"/>
    </row>
    <row r="28" spans="1:5" x14ac:dyDescent="0.25">
      <c r="A28" s="20">
        <v>3</v>
      </c>
      <c r="B28" s="31" t="s">
        <v>86</v>
      </c>
      <c r="C28" s="20"/>
      <c r="D28" s="31">
        <v>1890.2</v>
      </c>
      <c r="E28" s="28"/>
    </row>
    <row r="29" spans="1:5" x14ac:dyDescent="0.25">
      <c r="A29" s="20">
        <v>4</v>
      </c>
      <c r="B29" s="31" t="s">
        <v>69</v>
      </c>
      <c r="C29" s="20"/>
      <c r="D29" s="31">
        <v>3856.27</v>
      </c>
      <c r="E29" s="28"/>
    </row>
    <row r="30" spans="1:5" x14ac:dyDescent="0.25">
      <c r="A30" s="24" t="s">
        <v>30</v>
      </c>
      <c r="B30" s="22" t="s">
        <v>31</v>
      </c>
      <c r="C30" s="20"/>
      <c r="D30" s="26">
        <f>D31+D32+D33+D34+D36+D37+D38+D35</f>
        <v>32021.6315</v>
      </c>
      <c r="E30" s="20"/>
    </row>
    <row r="31" spans="1:5" x14ac:dyDescent="0.25">
      <c r="A31" s="20"/>
      <c r="B31" s="20" t="s">
        <v>32</v>
      </c>
      <c r="C31" s="20"/>
      <c r="D31" s="28">
        <f>D15*5%</f>
        <v>8511.7215000000015</v>
      </c>
      <c r="E31" s="20"/>
    </row>
    <row r="32" spans="1:5" x14ac:dyDescent="0.25">
      <c r="A32" s="20"/>
      <c r="B32" s="20" t="s">
        <v>61</v>
      </c>
      <c r="C32" s="20"/>
      <c r="D32" s="20">
        <v>483.29</v>
      </c>
      <c r="E32" s="20"/>
    </row>
    <row r="33" spans="1:5" x14ac:dyDescent="0.25">
      <c r="A33" s="20"/>
      <c r="B33" s="27" t="s">
        <v>99</v>
      </c>
      <c r="C33" s="20"/>
      <c r="D33" s="20">
        <v>0</v>
      </c>
      <c r="E33" s="20"/>
    </row>
    <row r="34" spans="1:5" x14ac:dyDescent="0.25">
      <c r="A34" s="20"/>
      <c r="B34" s="20" t="s">
        <v>34</v>
      </c>
      <c r="C34" s="20"/>
      <c r="D34" s="28">
        <v>6983.92</v>
      </c>
      <c r="E34" s="20"/>
    </row>
    <row r="35" spans="1:5" x14ac:dyDescent="0.25">
      <c r="A35" s="20"/>
      <c r="B35" s="31" t="s">
        <v>56</v>
      </c>
      <c r="C35" s="20"/>
      <c r="D35" s="20">
        <v>3000</v>
      </c>
      <c r="E35" s="20"/>
    </row>
    <row r="36" spans="1:5" x14ac:dyDescent="0.25">
      <c r="A36" s="20"/>
      <c r="B36" s="31" t="s">
        <v>36</v>
      </c>
      <c r="C36" s="20"/>
      <c r="D36" s="20">
        <v>1164.23</v>
      </c>
      <c r="E36" s="20"/>
    </row>
    <row r="37" spans="1:5" x14ac:dyDescent="0.25">
      <c r="A37" s="20"/>
      <c r="B37" s="27" t="s">
        <v>66</v>
      </c>
      <c r="C37" s="20"/>
      <c r="D37" s="20">
        <v>9187.42</v>
      </c>
      <c r="E37" s="20"/>
    </row>
    <row r="38" spans="1:5" x14ac:dyDescent="0.25">
      <c r="A38" s="20"/>
      <c r="B38" s="31" t="s">
        <v>38</v>
      </c>
      <c r="C38" s="20"/>
      <c r="D38" s="20">
        <v>2691.05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25600.219999999998</v>
      </c>
      <c r="E39" s="26">
        <f>E40</f>
        <v>4992.5252799999998</v>
      </c>
    </row>
    <row r="40" spans="1:5" x14ac:dyDescent="0.25">
      <c r="A40" s="73"/>
      <c r="B40" s="31" t="s">
        <v>40</v>
      </c>
      <c r="C40" s="31"/>
      <c r="D40" s="33">
        <v>19055.439999999999</v>
      </c>
      <c r="E40" s="28">
        <f>D40*26.2%</f>
        <v>4992.5252799999998</v>
      </c>
    </row>
    <row r="41" spans="1:5" x14ac:dyDescent="0.25">
      <c r="A41" s="73"/>
      <c r="B41" s="20" t="s">
        <v>41</v>
      </c>
      <c r="C41" s="20"/>
      <c r="D41" s="33">
        <v>6544.78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D18+E18+D25+E25+D30+D39+E39</f>
        <v>177835.18309999999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D15*6%</f>
        <v>10214.0658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188049.24890000001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D15-D44</f>
        <v>-17814.818899999984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15881.021100000013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9" sqref="A39:A47"/>
    </sheetView>
  </sheetViews>
  <sheetFormatPr defaultRowHeight="15" x14ac:dyDescent="0.25"/>
  <cols>
    <col min="2" max="2" width="41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204</v>
      </c>
    </row>
    <row r="5" spans="1:5" x14ac:dyDescent="0.25">
      <c r="B5" t="s">
        <v>64</v>
      </c>
    </row>
    <row r="6" spans="1:5" ht="15.75" x14ac:dyDescent="0.25">
      <c r="A6" s="2"/>
      <c r="B6" s="488" t="s">
        <v>3</v>
      </c>
      <c r="C6" s="489" t="s">
        <v>4</v>
      </c>
      <c r="D6" s="593" t="s">
        <v>5</v>
      </c>
      <c r="E6" s="594"/>
    </row>
    <row r="7" spans="1:5" ht="15.75" x14ac:dyDescent="0.25">
      <c r="A7" s="8"/>
      <c r="B7" s="6" t="s">
        <v>6</v>
      </c>
      <c r="C7" s="7" t="s">
        <v>7</v>
      </c>
      <c r="D7" s="595" t="s">
        <v>116</v>
      </c>
      <c r="E7" s="596"/>
    </row>
    <row r="8" spans="1:5" x14ac:dyDescent="0.25">
      <c r="A8" s="13"/>
      <c r="B8" s="14" t="s">
        <v>205</v>
      </c>
      <c r="C8" s="13"/>
      <c r="D8" s="492">
        <v>54189.1</v>
      </c>
      <c r="E8" s="413"/>
    </row>
    <row r="9" spans="1:5" x14ac:dyDescent="0.25">
      <c r="A9" s="9"/>
      <c r="B9" s="12" t="s">
        <v>206</v>
      </c>
      <c r="C9" s="9"/>
      <c r="D9" s="477">
        <v>24840.92</v>
      </c>
      <c r="E9" s="11"/>
    </row>
    <row r="10" spans="1:5" x14ac:dyDescent="0.25">
      <c r="A10" s="13"/>
      <c r="B10" s="14" t="s">
        <v>9</v>
      </c>
      <c r="C10" s="14" t="s">
        <v>10</v>
      </c>
      <c r="D10" s="17">
        <v>4619.5</v>
      </c>
      <c r="E10" s="13"/>
    </row>
    <row r="11" spans="1:5" x14ac:dyDescent="0.25">
      <c r="A11" s="13"/>
      <c r="B11" s="14" t="s">
        <v>11</v>
      </c>
      <c r="C11" s="14" t="s">
        <v>10</v>
      </c>
      <c r="D11" s="17">
        <v>3701.3</v>
      </c>
      <c r="E11" s="13"/>
    </row>
    <row r="12" spans="1:5" x14ac:dyDescent="0.25">
      <c r="A12" s="13"/>
      <c r="B12" s="15" t="s">
        <v>12</v>
      </c>
      <c r="C12" s="14" t="s">
        <v>13</v>
      </c>
      <c r="D12" s="17">
        <v>142028.88</v>
      </c>
      <c r="E12" s="13"/>
    </row>
    <row r="13" spans="1:5" ht="15.75" x14ac:dyDescent="0.25">
      <c r="A13" s="13"/>
      <c r="B13" s="16" t="s">
        <v>14</v>
      </c>
      <c r="C13" s="14"/>
      <c r="D13" s="17"/>
      <c r="E13" s="13"/>
    </row>
    <row r="14" spans="1:5" x14ac:dyDescent="0.25">
      <c r="A14" s="13">
        <v>1</v>
      </c>
      <c r="B14" s="13" t="s">
        <v>15</v>
      </c>
      <c r="C14" s="14" t="s">
        <v>13</v>
      </c>
      <c r="D14" s="17">
        <f>262442.09-129585.6</f>
        <v>132856.49000000002</v>
      </c>
      <c r="E14" s="13"/>
    </row>
    <row r="15" spans="1:5" x14ac:dyDescent="0.25">
      <c r="A15" s="13">
        <v>2</v>
      </c>
      <c r="B15" s="13" t="s">
        <v>16</v>
      </c>
      <c r="C15" s="14" t="s">
        <v>13</v>
      </c>
      <c r="D15" s="17">
        <f>65889.54-D9</f>
        <v>41048.619999999995</v>
      </c>
      <c r="E15" s="13"/>
    </row>
    <row r="16" spans="1:5" ht="15.75" x14ac:dyDescent="0.25">
      <c r="A16" s="13"/>
      <c r="B16" s="16" t="s">
        <v>17</v>
      </c>
      <c r="C16" s="14"/>
      <c r="D16" s="18">
        <f>SUM(D14:D15)</f>
        <v>173905.11000000002</v>
      </c>
      <c r="E16" s="13"/>
    </row>
    <row r="17" spans="1:5" ht="15.75" x14ac:dyDescent="0.25">
      <c r="A17" s="13"/>
      <c r="B17" s="16"/>
      <c r="C17" s="14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2">
        <f>D20+D24</f>
        <v>20459.55</v>
      </c>
      <c r="E19" s="26">
        <f>E20</f>
        <v>4983.8425999999999</v>
      </c>
    </row>
    <row r="20" spans="1:5" x14ac:dyDescent="0.25">
      <c r="A20" s="20">
        <v>1</v>
      </c>
      <c r="B20" s="22" t="s">
        <v>22</v>
      </c>
      <c r="C20" s="27" t="s">
        <v>13</v>
      </c>
      <c r="D20" s="22">
        <f>D21</f>
        <v>19022.3</v>
      </c>
      <c r="E20" s="26">
        <f>E21</f>
        <v>4983.8425999999999</v>
      </c>
    </row>
    <row r="21" spans="1:5" x14ac:dyDescent="0.25">
      <c r="A21" s="20"/>
      <c r="B21" s="20" t="s">
        <v>23</v>
      </c>
      <c r="C21" s="20"/>
      <c r="D21" s="20">
        <v>19022.3</v>
      </c>
      <c r="E21" s="28">
        <f>D21*26.2%</f>
        <v>4983.8425999999999</v>
      </c>
    </row>
    <row r="22" spans="1:5" x14ac:dyDescent="0.25">
      <c r="A22" s="20"/>
      <c r="B22" s="20" t="s">
        <v>24</v>
      </c>
      <c r="C22" s="20"/>
      <c r="D22" s="29">
        <v>0</v>
      </c>
      <c r="E22" s="28">
        <f>D22*26.2%</f>
        <v>0</v>
      </c>
    </row>
    <row r="23" spans="1:5" x14ac:dyDescent="0.25">
      <c r="A23" s="20"/>
      <c r="B23" s="20" t="s">
        <v>25</v>
      </c>
      <c r="C23" s="20"/>
      <c r="D23" s="20">
        <v>0</v>
      </c>
      <c r="E23" s="28">
        <f>D23*26.2%</f>
        <v>0</v>
      </c>
    </row>
    <row r="24" spans="1:5" x14ac:dyDescent="0.25">
      <c r="A24" s="20">
        <v>2</v>
      </c>
      <c r="B24" s="27" t="s">
        <v>26</v>
      </c>
      <c r="C24" s="20"/>
      <c r="D24" s="20">
        <v>1437.25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D26+D27+D28+D29</f>
        <v>48754.770000000004</v>
      </c>
      <c r="E25" s="26">
        <f>E26</f>
        <v>9060.1407800000015</v>
      </c>
    </row>
    <row r="26" spans="1:5" x14ac:dyDescent="0.25">
      <c r="A26" s="20">
        <v>1</v>
      </c>
      <c r="B26" s="31" t="s">
        <v>29</v>
      </c>
      <c r="C26" s="20"/>
      <c r="D26" s="31">
        <v>34580.69</v>
      </c>
      <c r="E26" s="28">
        <f>D26*26.2%</f>
        <v>9060.1407800000015</v>
      </c>
    </row>
    <row r="27" spans="1:5" x14ac:dyDescent="0.25">
      <c r="A27" s="20">
        <v>2</v>
      </c>
      <c r="B27" s="31" t="s">
        <v>26</v>
      </c>
      <c r="C27" s="20"/>
      <c r="D27" s="31">
        <v>9258.08</v>
      </c>
      <c r="E27" s="28"/>
    </row>
    <row r="28" spans="1:5" x14ac:dyDescent="0.25">
      <c r="A28" s="20">
        <v>3</v>
      </c>
      <c r="B28" s="31" t="s">
        <v>86</v>
      </c>
      <c r="C28" s="20"/>
      <c r="D28" s="31">
        <f>1890.2+436.2</f>
        <v>2326.4</v>
      </c>
      <c r="E28" s="28"/>
    </row>
    <row r="29" spans="1:5" x14ac:dyDescent="0.25">
      <c r="A29" s="20">
        <v>4</v>
      </c>
      <c r="B29" s="31" t="s">
        <v>69</v>
      </c>
      <c r="C29" s="20"/>
      <c r="D29" s="31">
        <v>2589.6</v>
      </c>
      <c r="E29" s="28"/>
    </row>
    <row r="30" spans="1:5" x14ac:dyDescent="0.25">
      <c r="A30" s="24" t="s">
        <v>30</v>
      </c>
      <c r="B30" s="22" t="s">
        <v>31</v>
      </c>
      <c r="C30" s="20"/>
      <c r="D30" s="26">
        <f>D31+D32+D33+D34+D35+D36+D37+D38</f>
        <v>30267.505499999999</v>
      </c>
      <c r="E30" s="20"/>
    </row>
    <row r="31" spans="1:5" x14ac:dyDescent="0.25">
      <c r="A31" s="20"/>
      <c r="B31" s="20" t="s">
        <v>32</v>
      </c>
      <c r="C31" s="20"/>
      <c r="D31" s="28">
        <f>D16*5%</f>
        <v>8695.2555000000011</v>
      </c>
      <c r="E31" s="20"/>
    </row>
    <row r="32" spans="1:5" x14ac:dyDescent="0.25">
      <c r="A32" s="20"/>
      <c r="B32" s="20" t="s">
        <v>61</v>
      </c>
      <c r="C32" s="20"/>
      <c r="D32" s="20">
        <v>211.23</v>
      </c>
      <c r="E32" s="20"/>
    </row>
    <row r="33" spans="1:5" x14ac:dyDescent="0.25">
      <c r="A33" s="20"/>
      <c r="B33" s="13" t="s">
        <v>33</v>
      </c>
      <c r="C33" s="20"/>
      <c r="D33" s="20"/>
      <c r="E33" s="20"/>
    </row>
    <row r="34" spans="1:5" x14ac:dyDescent="0.25">
      <c r="A34" s="20"/>
      <c r="B34" s="20" t="s">
        <v>34</v>
      </c>
      <c r="C34" s="20"/>
      <c r="D34" s="28">
        <v>6143.25</v>
      </c>
      <c r="E34" s="20"/>
    </row>
    <row r="35" spans="1:5" x14ac:dyDescent="0.25">
      <c r="A35" s="20"/>
      <c r="B35" s="31" t="s">
        <v>99</v>
      </c>
      <c r="C35" s="20"/>
      <c r="D35" s="20">
        <v>11826.56</v>
      </c>
      <c r="E35" s="20"/>
    </row>
    <row r="36" spans="1:5" x14ac:dyDescent="0.25">
      <c r="A36" s="20"/>
      <c r="B36" s="27" t="s">
        <v>36</v>
      </c>
      <c r="C36" s="20"/>
      <c r="D36" s="20">
        <v>1024.0899999999999</v>
      </c>
      <c r="E36" s="20"/>
    </row>
    <row r="37" spans="1:5" x14ac:dyDescent="0.25">
      <c r="A37" s="20"/>
      <c r="B37" s="27" t="s">
        <v>66</v>
      </c>
      <c r="C37" s="20"/>
      <c r="D37" s="20">
        <v>0</v>
      </c>
      <c r="E37" s="20"/>
    </row>
    <row r="38" spans="1:5" x14ac:dyDescent="0.25">
      <c r="A38" s="20"/>
      <c r="B38" s="31" t="s">
        <v>38</v>
      </c>
      <c r="C38" s="20"/>
      <c r="D38" s="20">
        <v>2367.12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22518.66</v>
      </c>
      <c r="E39" s="26">
        <f>E40</f>
        <v>4391.5654000000004</v>
      </c>
    </row>
    <row r="40" spans="1:5" x14ac:dyDescent="0.25">
      <c r="A40" s="73"/>
      <c r="B40" s="31" t="s">
        <v>40</v>
      </c>
      <c r="C40" s="31"/>
      <c r="D40" s="33">
        <v>16761.7</v>
      </c>
      <c r="E40" s="28">
        <f>D40*26.2%</f>
        <v>4391.5654000000004</v>
      </c>
    </row>
    <row r="41" spans="1:5" x14ac:dyDescent="0.25">
      <c r="A41" s="73"/>
      <c r="B41" s="20" t="s">
        <v>41</v>
      </c>
      <c r="C41" s="20"/>
      <c r="D41" s="33">
        <v>5756.96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D19+E19+D25+E25+D30+D39+E39</f>
        <v>140436.03427999999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D16*6%</f>
        <v>10434.3066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150870.34088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D14-D44</f>
        <v>-18013.850879999984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D8+D46</f>
        <v>36175.249120000015</v>
      </c>
      <c r="E47" s="20"/>
    </row>
    <row r="48" spans="1:5" x14ac:dyDescent="0.25">
      <c r="A48" s="34"/>
      <c r="B48" s="35" t="s">
        <v>16</v>
      </c>
      <c r="C48" s="34"/>
      <c r="D48" s="36">
        <f>24840.92+D15</f>
        <v>65889.539999999994</v>
      </c>
      <c r="E48" s="34"/>
    </row>
    <row r="49" spans="1:5" x14ac:dyDescent="0.25">
      <c r="A49" s="34"/>
      <c r="B49" t="s">
        <v>47</v>
      </c>
      <c r="D49" t="s">
        <v>48</v>
      </c>
      <c r="E49" s="34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opLeftCell="A28" workbookViewId="0">
      <selection activeCell="G50" sqref="G50"/>
    </sheetView>
  </sheetViews>
  <sheetFormatPr defaultRowHeight="15" x14ac:dyDescent="0.25"/>
  <cols>
    <col min="1" max="1" width="2.42578125" customWidth="1"/>
    <col min="2" max="2" width="6" customWidth="1"/>
    <col min="3" max="3" width="43.85546875" customWidth="1"/>
    <col min="5" max="5" width="11.85546875" customWidth="1"/>
    <col min="6" max="6" width="11.140625" customWidth="1"/>
  </cols>
  <sheetData>
    <row r="1" spans="2:6" ht="15.75" x14ac:dyDescent="0.25">
      <c r="C1" s="1" t="s">
        <v>0</v>
      </c>
    </row>
    <row r="3" spans="2:6" x14ac:dyDescent="0.25">
      <c r="C3" t="s">
        <v>1</v>
      </c>
    </row>
    <row r="4" spans="2:6" x14ac:dyDescent="0.25">
      <c r="C4" t="s">
        <v>207</v>
      </c>
    </row>
    <row r="5" spans="2:6" x14ac:dyDescent="0.25">
      <c r="B5" s="599"/>
      <c r="C5" s="599"/>
      <c r="D5" s="599"/>
      <c r="E5" s="430"/>
      <c r="F5" s="58"/>
    </row>
    <row r="6" spans="2:6" ht="15.75" x14ac:dyDescent="0.25">
      <c r="B6" s="5"/>
      <c r="C6" s="6" t="s">
        <v>3</v>
      </c>
      <c r="D6" s="7" t="s">
        <v>4</v>
      </c>
      <c r="E6" s="597" t="s">
        <v>5</v>
      </c>
      <c r="F6" s="598"/>
    </row>
    <row r="7" spans="2:6" ht="15.75" x14ac:dyDescent="0.25">
      <c r="B7" s="8"/>
      <c r="C7" s="6" t="s">
        <v>6</v>
      </c>
      <c r="D7" s="7" t="s">
        <v>7</v>
      </c>
      <c r="E7" s="595" t="s">
        <v>114</v>
      </c>
      <c r="F7" s="596"/>
    </row>
    <row r="8" spans="2:6" x14ac:dyDescent="0.25">
      <c r="B8" s="9"/>
      <c r="C8" s="9"/>
      <c r="D8" s="9"/>
      <c r="E8" s="10"/>
      <c r="F8" s="11"/>
    </row>
    <row r="9" spans="2:6" x14ac:dyDescent="0.25">
      <c r="B9" s="9"/>
      <c r="C9" s="12" t="s">
        <v>8</v>
      </c>
      <c r="D9" s="9"/>
      <c r="E9" s="10">
        <v>-104651.11</v>
      </c>
      <c r="F9" s="11"/>
    </row>
    <row r="10" spans="2:6" x14ac:dyDescent="0.25">
      <c r="B10" s="13"/>
      <c r="C10" s="14" t="s">
        <v>9</v>
      </c>
      <c r="D10" s="14" t="s">
        <v>10</v>
      </c>
      <c r="E10" s="17">
        <v>4619.5</v>
      </c>
      <c r="F10" s="13"/>
    </row>
    <row r="11" spans="2:6" x14ac:dyDescent="0.25">
      <c r="B11" s="13"/>
      <c r="C11" s="14" t="s">
        <v>11</v>
      </c>
      <c r="D11" s="14" t="s">
        <v>10</v>
      </c>
      <c r="E11" s="17">
        <v>3701.3</v>
      </c>
      <c r="F11" s="13"/>
    </row>
    <row r="12" spans="2:6" x14ac:dyDescent="0.25">
      <c r="B12" s="13"/>
      <c r="C12" s="15" t="s">
        <v>12</v>
      </c>
      <c r="D12" s="14" t="s">
        <v>13</v>
      </c>
      <c r="E12" s="17">
        <v>205409.34</v>
      </c>
      <c r="F12" s="13"/>
    </row>
    <row r="13" spans="2:6" x14ac:dyDescent="0.25">
      <c r="B13" s="13"/>
      <c r="C13" s="13"/>
      <c r="D13" s="14"/>
      <c r="E13" s="17"/>
      <c r="F13" s="13"/>
    </row>
    <row r="14" spans="2:6" ht="15.75" x14ac:dyDescent="0.25">
      <c r="B14" s="13"/>
      <c r="C14" s="16" t="s">
        <v>14</v>
      </c>
      <c r="D14" s="14"/>
      <c r="E14" s="17"/>
      <c r="F14" s="13"/>
    </row>
    <row r="15" spans="2:6" x14ac:dyDescent="0.25">
      <c r="B15" s="13">
        <v>1</v>
      </c>
      <c r="C15" s="13" t="s">
        <v>15</v>
      </c>
      <c r="D15" s="14" t="s">
        <v>13</v>
      </c>
      <c r="E15" s="17">
        <f>403648.98-166875.41</f>
        <v>236773.56999999998</v>
      </c>
      <c r="F15" s="13"/>
    </row>
    <row r="16" spans="2:6" x14ac:dyDescent="0.25">
      <c r="B16" s="13"/>
      <c r="C16" s="13"/>
      <c r="D16" s="14"/>
      <c r="E16" s="17"/>
      <c r="F16" s="13"/>
    </row>
    <row r="17" spans="2:6" ht="15.75" x14ac:dyDescent="0.25">
      <c r="B17" s="13"/>
      <c r="C17" s="16" t="s">
        <v>17</v>
      </c>
      <c r="D17" s="14"/>
      <c r="E17" s="18">
        <f>E15</f>
        <v>236773.56999999998</v>
      </c>
      <c r="F17" s="13"/>
    </row>
    <row r="18" spans="2:6" ht="15.75" x14ac:dyDescent="0.25">
      <c r="B18" s="13"/>
      <c r="C18" s="16"/>
      <c r="D18" s="14"/>
      <c r="E18" s="19"/>
      <c r="F18" s="13"/>
    </row>
    <row r="19" spans="2:6" ht="15.75" x14ac:dyDescent="0.25">
      <c r="B19" s="20"/>
      <c r="C19" s="21" t="s">
        <v>18</v>
      </c>
      <c r="D19" s="20"/>
      <c r="E19" s="22"/>
      <c r="F19" s="23" t="s">
        <v>19</v>
      </c>
    </row>
    <row r="20" spans="2:6" x14ac:dyDescent="0.25">
      <c r="B20" s="24" t="s">
        <v>20</v>
      </c>
      <c r="C20" s="25" t="s">
        <v>21</v>
      </c>
      <c r="D20" s="20"/>
      <c r="E20" s="26">
        <f>E21+E26</f>
        <v>79986.11</v>
      </c>
      <c r="F20" s="26">
        <f>F21</f>
        <v>20461.623600000003</v>
      </c>
    </row>
    <row r="21" spans="2:6" x14ac:dyDescent="0.25">
      <c r="B21" s="20">
        <v>1</v>
      </c>
      <c r="C21" s="22" t="s">
        <v>22</v>
      </c>
      <c r="D21" s="27" t="s">
        <v>13</v>
      </c>
      <c r="E21" s="26">
        <f>E22+E23+E24+E25</f>
        <v>78097.8</v>
      </c>
      <c r="F21" s="26">
        <f>F22+F23+F24+F25</f>
        <v>20461.623600000003</v>
      </c>
    </row>
    <row r="22" spans="2:6" x14ac:dyDescent="0.25">
      <c r="B22" s="20"/>
      <c r="C22" s="20" t="s">
        <v>23</v>
      </c>
      <c r="D22" s="20"/>
      <c r="E22" s="20">
        <v>25084.7</v>
      </c>
      <c r="F22" s="28">
        <f>E22*26.2%</f>
        <v>6572.1914000000006</v>
      </c>
    </row>
    <row r="23" spans="2:6" x14ac:dyDescent="0.25">
      <c r="B23" s="20"/>
      <c r="C23" s="20" t="s">
        <v>24</v>
      </c>
      <c r="D23" s="20"/>
      <c r="E23" s="29">
        <v>23321.34</v>
      </c>
      <c r="F23" s="28">
        <f>E23*26.2%</f>
        <v>6110.1910800000005</v>
      </c>
    </row>
    <row r="24" spans="2:6" x14ac:dyDescent="0.25">
      <c r="B24" s="20"/>
      <c r="C24" s="20" t="s">
        <v>25</v>
      </c>
      <c r="D24" s="20"/>
      <c r="E24" s="20">
        <v>29154.84</v>
      </c>
      <c r="F24" s="28">
        <f>E24*26.2%</f>
        <v>7638.56808</v>
      </c>
    </row>
    <row r="25" spans="2:6" x14ac:dyDescent="0.25">
      <c r="B25" s="20"/>
      <c r="C25" s="27" t="s">
        <v>81</v>
      </c>
      <c r="D25" s="20"/>
      <c r="E25" s="20">
        <v>536.91999999999996</v>
      </c>
      <c r="F25" s="28">
        <f>E25*26.2%</f>
        <v>140.67303999999999</v>
      </c>
    </row>
    <row r="26" spans="2:6" x14ac:dyDescent="0.25">
      <c r="B26" s="20">
        <v>2</v>
      </c>
      <c r="C26" s="27" t="s">
        <v>26</v>
      </c>
      <c r="D26" s="20"/>
      <c r="E26" s="20">
        <v>1888.31</v>
      </c>
      <c r="F26" s="28"/>
    </row>
    <row r="27" spans="2:6" x14ac:dyDescent="0.25">
      <c r="B27" s="24" t="s">
        <v>27</v>
      </c>
      <c r="C27" s="30" t="s">
        <v>28</v>
      </c>
      <c r="D27" s="20"/>
      <c r="E27" s="22">
        <f>E28+E29</f>
        <v>49971.31</v>
      </c>
      <c r="F27" s="26">
        <f>F28</f>
        <v>11903.53508</v>
      </c>
    </row>
    <row r="28" spans="2:6" x14ac:dyDescent="0.25">
      <c r="B28" s="20">
        <v>1</v>
      </c>
      <c r="C28" s="31" t="s">
        <v>29</v>
      </c>
      <c r="D28" s="20"/>
      <c r="E28" s="31">
        <v>45433.34</v>
      </c>
      <c r="F28" s="28">
        <f>E28*26.2%</f>
        <v>11903.53508</v>
      </c>
    </row>
    <row r="29" spans="2:6" x14ac:dyDescent="0.25">
      <c r="B29" s="20">
        <v>2</v>
      </c>
      <c r="C29" s="31" t="s">
        <v>26</v>
      </c>
      <c r="D29" s="20"/>
      <c r="E29" s="31">
        <v>4537.97</v>
      </c>
      <c r="F29" s="20"/>
    </row>
    <row r="30" spans="2:6" x14ac:dyDescent="0.25">
      <c r="B30" s="24" t="s">
        <v>30</v>
      </c>
      <c r="C30" s="22" t="s">
        <v>31</v>
      </c>
      <c r="D30" s="20"/>
      <c r="E30" s="26">
        <f>E31+E32+E33+E34+E35+E37+E36</f>
        <v>29599.078500000003</v>
      </c>
      <c r="F30" s="20"/>
    </row>
    <row r="31" spans="2:6" x14ac:dyDescent="0.25">
      <c r="B31" s="20"/>
      <c r="C31" s="20" t="s">
        <v>32</v>
      </c>
      <c r="D31" s="20"/>
      <c r="E31" s="28">
        <f>E17*5%</f>
        <v>11838.6785</v>
      </c>
      <c r="F31" s="20"/>
    </row>
    <row r="32" spans="2:6" x14ac:dyDescent="0.25">
      <c r="B32" s="20"/>
      <c r="C32" s="20" t="s">
        <v>61</v>
      </c>
      <c r="D32" s="20"/>
      <c r="E32" s="20">
        <v>633.69000000000005</v>
      </c>
      <c r="F32" s="20"/>
    </row>
    <row r="33" spans="2:6" x14ac:dyDescent="0.25">
      <c r="B33" s="20"/>
      <c r="C33" s="20" t="s">
        <v>34</v>
      </c>
      <c r="D33" s="20"/>
      <c r="E33" s="28">
        <v>8071.22</v>
      </c>
      <c r="F33" s="20"/>
    </row>
    <row r="34" spans="2:6" x14ac:dyDescent="0.25">
      <c r="B34" s="20"/>
      <c r="C34" s="31" t="s">
        <v>35</v>
      </c>
      <c r="D34" s="20"/>
      <c r="E34" s="20">
        <v>0</v>
      </c>
      <c r="F34" s="20"/>
    </row>
    <row r="35" spans="2:6" x14ac:dyDescent="0.25">
      <c r="B35" s="20"/>
      <c r="C35" s="27" t="s">
        <v>36</v>
      </c>
      <c r="D35" s="20"/>
      <c r="E35" s="20">
        <v>1345.48</v>
      </c>
      <c r="F35" s="20"/>
    </row>
    <row r="36" spans="2:6" x14ac:dyDescent="0.25">
      <c r="B36" s="20"/>
      <c r="C36" s="27" t="s">
        <v>208</v>
      </c>
      <c r="D36" s="20"/>
      <c r="E36" s="20">
        <v>4600</v>
      </c>
      <c r="F36" s="20"/>
    </row>
    <row r="37" spans="2:6" x14ac:dyDescent="0.25">
      <c r="B37" s="20"/>
      <c r="C37" s="31" t="s">
        <v>38</v>
      </c>
      <c r="D37" s="20"/>
      <c r="E37" s="20">
        <v>3110.01</v>
      </c>
      <c r="F37" s="20"/>
    </row>
    <row r="38" spans="2:6" x14ac:dyDescent="0.25">
      <c r="B38" s="73" t="s">
        <v>89</v>
      </c>
      <c r="C38" s="22" t="s">
        <v>39</v>
      </c>
      <c r="D38" s="20"/>
      <c r="E38" s="26">
        <f>E39+E40</f>
        <v>29585.84</v>
      </c>
      <c r="F38" s="26">
        <f>F39</f>
        <v>5769.7954399999999</v>
      </c>
    </row>
    <row r="39" spans="2:6" x14ac:dyDescent="0.25">
      <c r="B39" s="73"/>
      <c r="C39" s="31" t="s">
        <v>40</v>
      </c>
      <c r="D39" s="31"/>
      <c r="E39" s="33">
        <v>22022.12</v>
      </c>
      <c r="F39" s="28">
        <f>E39*26.2%</f>
        <v>5769.7954399999999</v>
      </c>
    </row>
    <row r="40" spans="2:6" x14ac:dyDescent="0.25">
      <c r="B40" s="73"/>
      <c r="C40" s="31" t="s">
        <v>41</v>
      </c>
      <c r="D40" s="20"/>
      <c r="E40" s="33">
        <v>7563.72</v>
      </c>
      <c r="F40" s="20"/>
    </row>
    <row r="41" spans="2:6" x14ac:dyDescent="0.25">
      <c r="B41" s="73" t="s">
        <v>90</v>
      </c>
      <c r="C41" s="22" t="s">
        <v>42</v>
      </c>
      <c r="D41" s="20"/>
      <c r="E41" s="26">
        <f>E20+F20+E27+F27+E30+E38+F38</f>
        <v>227277.29261999999</v>
      </c>
      <c r="F41" s="20"/>
    </row>
    <row r="42" spans="2:6" x14ac:dyDescent="0.25">
      <c r="B42" s="73" t="s">
        <v>91</v>
      </c>
      <c r="C42" s="20" t="s">
        <v>43</v>
      </c>
      <c r="D42" s="20"/>
      <c r="E42" s="26">
        <f>E17*6%</f>
        <v>14206.414199999997</v>
      </c>
      <c r="F42" s="20"/>
    </row>
    <row r="43" spans="2:6" x14ac:dyDescent="0.25">
      <c r="B43" s="73" t="s">
        <v>92</v>
      </c>
      <c r="C43" s="22" t="s">
        <v>44</v>
      </c>
      <c r="D43" s="20"/>
      <c r="E43" s="26">
        <f>E41+E42</f>
        <v>241483.70681999999</v>
      </c>
      <c r="F43" s="20"/>
    </row>
    <row r="44" spans="2:6" x14ac:dyDescent="0.25">
      <c r="B44" s="73"/>
      <c r="C44" s="20"/>
      <c r="D44" s="20"/>
      <c r="E44" s="20"/>
      <c r="F44" s="20"/>
    </row>
    <row r="45" spans="2:6" x14ac:dyDescent="0.25">
      <c r="B45" s="73" t="s">
        <v>93</v>
      </c>
      <c r="C45" s="22" t="s">
        <v>45</v>
      </c>
      <c r="D45" s="20"/>
      <c r="E45" s="26">
        <f>E17-E43</f>
        <v>-4710.1368200000143</v>
      </c>
      <c r="F45" s="20"/>
    </row>
    <row r="46" spans="2:6" x14ac:dyDescent="0.25">
      <c r="B46" s="73" t="s">
        <v>94</v>
      </c>
      <c r="C46" s="22" t="s">
        <v>46</v>
      </c>
      <c r="D46" s="20"/>
      <c r="E46" s="26">
        <f>E9+E45</f>
        <v>-109361.24682000001</v>
      </c>
      <c r="F46" s="20"/>
    </row>
    <row r="47" spans="2:6" x14ac:dyDescent="0.25">
      <c r="B47" s="34"/>
      <c r="C47" s="35"/>
      <c r="D47" s="34"/>
      <c r="E47" s="36"/>
      <c r="F47" s="34"/>
    </row>
    <row r="48" spans="2:6" x14ac:dyDescent="0.25">
      <c r="B48" s="34"/>
      <c r="C48" t="s">
        <v>47</v>
      </c>
      <c r="E48" t="s">
        <v>48</v>
      </c>
      <c r="F48" s="34"/>
    </row>
    <row r="49" spans="2:6" x14ac:dyDescent="0.25">
      <c r="B49" s="37"/>
      <c r="C49" s="37" t="s">
        <v>49</v>
      </c>
      <c r="D49" s="37"/>
      <c r="E49" s="37" t="s">
        <v>50</v>
      </c>
      <c r="F49" s="37"/>
    </row>
  </sheetData>
  <mergeCells count="3">
    <mergeCell ref="B5:D5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A39" sqref="A39:A47"/>
    </sheetView>
  </sheetViews>
  <sheetFormatPr defaultRowHeight="15" x14ac:dyDescent="0.25"/>
  <cols>
    <col min="2" max="2" width="38.28515625" customWidth="1"/>
    <col min="4" max="4" width="10.42578125" customWidth="1"/>
  </cols>
  <sheetData>
    <row r="1" spans="1:5" ht="15.75" x14ac:dyDescent="0.25">
      <c r="A1" s="107"/>
      <c r="B1" s="108" t="s">
        <v>0</v>
      </c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 t="s">
        <v>1</v>
      </c>
      <c r="C3" s="107"/>
      <c r="D3" s="107"/>
      <c r="E3" s="107"/>
    </row>
    <row r="4" spans="1:5" x14ac:dyDescent="0.25">
      <c r="A4" s="107"/>
      <c r="B4" s="109" t="s">
        <v>113</v>
      </c>
      <c r="C4" s="107"/>
      <c r="D4" s="107"/>
      <c r="E4" s="107"/>
    </row>
    <row r="5" spans="1:5" x14ac:dyDescent="0.25">
      <c r="A5" s="512"/>
      <c r="B5" s="512"/>
      <c r="C5" s="512"/>
      <c r="D5" s="421"/>
      <c r="E5" s="110"/>
    </row>
    <row r="6" spans="1:5" ht="15.75" x14ac:dyDescent="0.25">
      <c r="A6" s="111"/>
      <c r="B6" s="112" t="s">
        <v>3</v>
      </c>
      <c r="C6" s="113" t="s">
        <v>4</v>
      </c>
      <c r="D6" s="513" t="s">
        <v>5</v>
      </c>
      <c r="E6" s="514"/>
    </row>
    <row r="7" spans="1:5" ht="15.75" x14ac:dyDescent="0.25">
      <c r="A7" s="114"/>
      <c r="B7" s="112" t="s">
        <v>6</v>
      </c>
      <c r="C7" s="113" t="s">
        <v>7</v>
      </c>
      <c r="D7" s="510" t="s">
        <v>114</v>
      </c>
      <c r="E7" s="511"/>
    </row>
    <row r="8" spans="1:5" x14ac:dyDescent="0.25">
      <c r="A8" s="115"/>
      <c r="B8" s="115"/>
      <c r="C8" s="115"/>
      <c r="D8" s="116"/>
      <c r="E8" s="117"/>
    </row>
    <row r="9" spans="1:5" x14ac:dyDescent="0.25">
      <c r="A9" s="115"/>
      <c r="B9" s="118" t="s">
        <v>8</v>
      </c>
      <c r="C9" s="115"/>
      <c r="D9" s="116">
        <v>65362.86</v>
      </c>
      <c r="E9" s="117"/>
    </row>
    <row r="10" spans="1:5" x14ac:dyDescent="0.25">
      <c r="A10" s="119"/>
      <c r="B10" s="120" t="s">
        <v>9</v>
      </c>
      <c r="C10" s="119" t="s">
        <v>10</v>
      </c>
      <c r="D10" s="119">
        <v>4428.1000000000004</v>
      </c>
      <c r="E10" s="119"/>
    </row>
    <row r="11" spans="1:5" x14ac:dyDescent="0.25">
      <c r="A11" s="119"/>
      <c r="B11" s="120" t="s">
        <v>11</v>
      </c>
      <c r="C11" s="119" t="s">
        <v>10</v>
      </c>
      <c r="D11" s="119">
        <v>3467.4</v>
      </c>
      <c r="E11" s="119"/>
    </row>
    <row r="12" spans="1:5" x14ac:dyDescent="0.25">
      <c r="A12" s="119"/>
      <c r="B12" s="121" t="s">
        <v>12</v>
      </c>
      <c r="C12" s="119" t="s">
        <v>13</v>
      </c>
      <c r="D12" s="119">
        <v>135898.85999999999</v>
      </c>
      <c r="E12" s="119"/>
    </row>
    <row r="13" spans="1:5" x14ac:dyDescent="0.25">
      <c r="A13" s="119"/>
      <c r="B13" s="119"/>
      <c r="C13" s="119"/>
      <c r="D13" s="119"/>
      <c r="E13" s="119"/>
    </row>
    <row r="14" spans="1:5" ht="15.75" x14ac:dyDescent="0.25">
      <c r="A14" s="119"/>
      <c r="B14" s="122" t="s">
        <v>14</v>
      </c>
      <c r="C14" s="119"/>
      <c r="D14" s="119"/>
      <c r="E14" s="119"/>
    </row>
    <row r="15" spans="1:5" x14ac:dyDescent="0.25">
      <c r="A15" s="119">
        <v>1</v>
      </c>
      <c r="B15" s="119" t="s">
        <v>15</v>
      </c>
      <c r="C15" s="119" t="s">
        <v>13</v>
      </c>
      <c r="D15" s="119">
        <f>268590.96-133742.66</f>
        <v>134848.30000000002</v>
      </c>
      <c r="E15" s="119"/>
    </row>
    <row r="16" spans="1:5" x14ac:dyDescent="0.25">
      <c r="A16" s="119">
        <v>2</v>
      </c>
      <c r="B16" s="119" t="s">
        <v>102</v>
      </c>
      <c r="C16" s="119" t="s">
        <v>13</v>
      </c>
      <c r="D16" s="119">
        <v>5000</v>
      </c>
      <c r="E16" s="119"/>
    </row>
    <row r="17" spans="1:5" ht="15.75" x14ac:dyDescent="0.25">
      <c r="A17" s="119"/>
      <c r="B17" s="122" t="s">
        <v>17</v>
      </c>
      <c r="C17" s="119"/>
      <c r="D17" s="123">
        <f>D15+D16</f>
        <v>139848.30000000002</v>
      </c>
      <c r="E17" s="119"/>
    </row>
    <row r="18" spans="1:5" ht="15.75" x14ac:dyDescent="0.25">
      <c r="A18" s="119"/>
      <c r="B18" s="122"/>
      <c r="C18" s="119"/>
      <c r="D18" s="123"/>
      <c r="E18" s="119"/>
    </row>
    <row r="19" spans="1:5" ht="15.75" x14ac:dyDescent="0.25">
      <c r="A19" s="20"/>
      <c r="B19" s="21" t="s">
        <v>18</v>
      </c>
      <c r="C19" s="20"/>
      <c r="D19" s="22"/>
      <c r="E19" s="119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</f>
        <v>17904.700000000004</v>
      </c>
      <c r="E20" s="26">
        <f>E21</f>
        <v>4338.2693600000002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D22+D24</f>
        <v>16558.280000000002</v>
      </c>
      <c r="E21" s="26">
        <f>E22+E24</f>
        <v>4338.2693600000002</v>
      </c>
    </row>
    <row r="22" spans="1:5" x14ac:dyDescent="0.25">
      <c r="A22" s="20"/>
      <c r="B22" s="20" t="s">
        <v>23</v>
      </c>
      <c r="C22" s="20"/>
      <c r="D22" s="20">
        <f>8234.76+6876.03</f>
        <v>15110.79</v>
      </c>
      <c r="E22" s="28">
        <f>D22*26.2%</f>
        <v>3959.0269800000005</v>
      </c>
    </row>
    <row r="23" spans="1:5" x14ac:dyDescent="0.25">
      <c r="A23" s="20"/>
      <c r="B23" s="20" t="s">
        <v>25</v>
      </c>
      <c r="C23" s="20"/>
      <c r="D23" s="20">
        <v>0</v>
      </c>
      <c r="E23" s="28">
        <f>D23*26.2%</f>
        <v>0</v>
      </c>
    </row>
    <row r="24" spans="1:5" x14ac:dyDescent="0.25">
      <c r="A24" s="20"/>
      <c r="B24" s="31" t="s">
        <v>81</v>
      </c>
      <c r="C24" s="20"/>
      <c r="D24" s="20">
        <v>1447.49</v>
      </c>
      <c r="E24" s="28">
        <f>D24*26.2%</f>
        <v>379.24238000000003</v>
      </c>
    </row>
    <row r="25" spans="1:5" x14ac:dyDescent="0.25">
      <c r="A25" s="20">
        <v>2</v>
      </c>
      <c r="B25" s="27" t="s">
        <v>26</v>
      </c>
      <c r="C25" s="20"/>
      <c r="D25" s="20">
        <v>1346.42</v>
      </c>
      <c r="E25" s="28">
        <f>D25*26.2%</f>
        <v>352.76204000000001</v>
      </c>
    </row>
    <row r="26" spans="1:5" x14ac:dyDescent="0.25">
      <c r="A26" s="24" t="s">
        <v>27</v>
      </c>
      <c r="B26" s="30" t="s">
        <v>28</v>
      </c>
      <c r="C26" s="20"/>
      <c r="D26" s="22">
        <f>D27+D28+D29</f>
        <v>39857.33</v>
      </c>
      <c r="E26" s="26">
        <f>E27</f>
        <v>8487.5921799999996</v>
      </c>
    </row>
    <row r="27" spans="1:5" x14ac:dyDescent="0.25">
      <c r="A27" s="20">
        <v>1</v>
      </c>
      <c r="B27" s="31" t="s">
        <v>103</v>
      </c>
      <c r="C27" s="20"/>
      <c r="D27" s="31">
        <f>16103.94+16291.45</f>
        <v>32395.39</v>
      </c>
      <c r="E27" s="28">
        <f>D27*26.2%</f>
        <v>8487.5921799999996</v>
      </c>
    </row>
    <row r="28" spans="1:5" x14ac:dyDescent="0.25">
      <c r="A28" s="20">
        <v>2</v>
      </c>
      <c r="B28" s="31" t="s">
        <v>26</v>
      </c>
      <c r="C28" s="20"/>
      <c r="D28" s="31">
        <v>3211.58</v>
      </c>
      <c r="E28" s="20"/>
    </row>
    <row r="29" spans="1:5" x14ac:dyDescent="0.25">
      <c r="A29" s="20">
        <v>3</v>
      </c>
      <c r="B29" s="31" t="s">
        <v>69</v>
      </c>
      <c r="C29" s="20"/>
      <c r="D29" s="31">
        <v>4250.3599999999997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D31+D32+D34+D35+D36+D37+D38+D33</f>
        <v>30042.875</v>
      </c>
      <c r="E30" s="20"/>
    </row>
    <row r="31" spans="1:5" x14ac:dyDescent="0.25">
      <c r="A31" s="20"/>
      <c r="B31" s="20" t="s">
        <v>32</v>
      </c>
      <c r="C31" s="20"/>
      <c r="D31" s="28">
        <f>D17*5%</f>
        <v>6992.4150000000009</v>
      </c>
      <c r="E31" s="20"/>
    </row>
    <row r="32" spans="1:5" x14ac:dyDescent="0.25">
      <c r="A32" s="20"/>
      <c r="B32" s="20" t="s">
        <v>61</v>
      </c>
      <c r="C32" s="20"/>
      <c r="D32" s="20">
        <f>428.57+418.51</f>
        <v>847.07999999999993</v>
      </c>
      <c r="E32" s="20"/>
    </row>
    <row r="33" spans="1:5" x14ac:dyDescent="0.25">
      <c r="A33" s="20"/>
      <c r="B33" s="31" t="s">
        <v>33</v>
      </c>
      <c r="C33" s="20"/>
      <c r="D33" s="28">
        <v>3543</v>
      </c>
      <c r="E33" s="20"/>
    </row>
    <row r="34" spans="1:5" x14ac:dyDescent="0.25">
      <c r="A34" s="20"/>
      <c r="B34" s="20" t="s">
        <v>34</v>
      </c>
      <c r="C34" s="20"/>
      <c r="D34" s="28">
        <f>2883.25+2871.79</f>
        <v>5755.04</v>
      </c>
      <c r="E34" s="20"/>
    </row>
    <row r="35" spans="1:5" x14ac:dyDescent="0.25">
      <c r="A35" s="20"/>
      <c r="B35" s="27" t="s">
        <v>35</v>
      </c>
      <c r="C35" s="20"/>
      <c r="D35" s="20">
        <v>427.61</v>
      </c>
      <c r="E35" s="20"/>
    </row>
    <row r="36" spans="1:5" x14ac:dyDescent="0.25">
      <c r="A36" s="20"/>
      <c r="B36" s="27" t="s">
        <v>36</v>
      </c>
      <c r="C36" s="20"/>
      <c r="D36" s="20">
        <v>959.37</v>
      </c>
      <c r="E36" s="20"/>
    </row>
    <row r="37" spans="1:5" x14ac:dyDescent="0.25">
      <c r="A37" s="20"/>
      <c r="B37" s="27" t="s">
        <v>66</v>
      </c>
      <c r="C37" s="20"/>
      <c r="D37" s="20">
        <v>9300.83</v>
      </c>
      <c r="E37" s="20"/>
    </row>
    <row r="38" spans="1:5" x14ac:dyDescent="0.25">
      <c r="A38" s="20"/>
      <c r="B38" s="20" t="s">
        <v>38</v>
      </c>
      <c r="C38" s="20"/>
      <c r="D38" s="20">
        <v>2217.5300000000002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20668.03</v>
      </c>
      <c r="E39" s="26">
        <f>E40</f>
        <v>4114.0445200000004</v>
      </c>
    </row>
    <row r="40" spans="1:5" x14ac:dyDescent="0.25">
      <c r="A40" s="73"/>
      <c r="B40" s="31" t="s">
        <v>40</v>
      </c>
      <c r="C40" s="20"/>
      <c r="D40" s="33">
        <f>7745.54+7956.92</f>
        <v>15702.46</v>
      </c>
      <c r="E40" s="33">
        <f>D40*26.2%</f>
        <v>4114.0445200000004</v>
      </c>
    </row>
    <row r="41" spans="1:5" x14ac:dyDescent="0.25">
      <c r="A41" s="73"/>
      <c r="B41" s="20" t="s">
        <v>41</v>
      </c>
      <c r="C41" s="20"/>
      <c r="D41" s="33">
        <v>4965.57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D20+E20+D26+E26+D30+D39+E39</f>
        <v>125412.84106000001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D17*6%</f>
        <v>8390.898000000001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133803.73905999999</v>
      </c>
      <c r="E44" s="20"/>
    </row>
    <row r="45" spans="1:5" x14ac:dyDescent="0.25">
      <c r="A45" s="73"/>
      <c r="B45" s="22"/>
      <c r="C45" s="20"/>
      <c r="D45" s="26"/>
      <c r="E45" s="20"/>
    </row>
    <row r="46" spans="1:5" x14ac:dyDescent="0.25">
      <c r="A46" s="73" t="s">
        <v>93</v>
      </c>
      <c r="B46" s="22" t="s">
        <v>45</v>
      </c>
      <c r="C46" s="20"/>
      <c r="D46" s="26">
        <f>D17-D44</f>
        <v>6044.5609400000249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D9+D46</f>
        <v>71407.420940000025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D7:E7"/>
    <mergeCell ref="A5:C5"/>
    <mergeCell ref="D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39" sqref="A39:A47"/>
    </sheetView>
  </sheetViews>
  <sheetFormatPr defaultRowHeight="15" x14ac:dyDescent="0.25"/>
  <cols>
    <col min="2" max="2" width="36" customWidth="1"/>
    <col min="4" max="4" width="13.42578125" customWidth="1"/>
    <col min="5" max="5" width="11.28515625" customWidth="1"/>
  </cols>
  <sheetData>
    <row r="1" spans="1:5" ht="15.75" x14ac:dyDescent="0.25">
      <c r="A1" s="38"/>
      <c r="B1" s="39" t="s">
        <v>0</v>
      </c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 t="s">
        <v>78</v>
      </c>
      <c r="C3" s="38"/>
      <c r="D3" s="38"/>
      <c r="E3" s="38"/>
    </row>
    <row r="4" spans="1:5" x14ac:dyDescent="0.25">
      <c r="A4" s="38"/>
      <c r="B4" s="40" t="s">
        <v>209</v>
      </c>
      <c r="C4" s="38"/>
      <c r="D4" s="38"/>
      <c r="E4" s="38"/>
    </row>
    <row r="5" spans="1:5" x14ac:dyDescent="0.25">
      <c r="A5" s="38"/>
      <c r="B5" s="38" t="s">
        <v>51</v>
      </c>
      <c r="C5" s="38"/>
      <c r="D5" s="38"/>
      <c r="E5" s="38"/>
    </row>
    <row r="6" spans="1:5" x14ac:dyDescent="0.25">
      <c r="A6" s="515"/>
      <c r="B6" s="515"/>
      <c r="C6" s="515"/>
      <c r="D6" s="460"/>
      <c r="E6" s="41"/>
    </row>
    <row r="7" spans="1:5" x14ac:dyDescent="0.25">
      <c r="A7" s="42"/>
      <c r="B7" s="42"/>
      <c r="C7" s="42"/>
      <c r="D7" s="43"/>
      <c r="E7" s="44"/>
    </row>
    <row r="8" spans="1:5" ht="15.75" x14ac:dyDescent="0.25">
      <c r="A8" s="42"/>
      <c r="B8" s="45" t="s">
        <v>3</v>
      </c>
      <c r="C8" s="46" t="s">
        <v>4</v>
      </c>
      <c r="D8" s="516" t="s">
        <v>5</v>
      </c>
      <c r="E8" s="517"/>
    </row>
    <row r="9" spans="1:5" ht="15.75" x14ac:dyDescent="0.25">
      <c r="A9" s="47"/>
      <c r="B9" s="45" t="s">
        <v>6</v>
      </c>
      <c r="C9" s="46" t="s">
        <v>52</v>
      </c>
      <c r="D9" s="518" t="s">
        <v>210</v>
      </c>
      <c r="E9" s="519"/>
    </row>
    <row r="10" spans="1:5" x14ac:dyDescent="0.25">
      <c r="A10" s="48"/>
      <c r="B10" s="48"/>
      <c r="C10" s="48"/>
      <c r="D10" s="49"/>
      <c r="E10" s="50"/>
    </row>
    <row r="11" spans="1:5" x14ac:dyDescent="0.25">
      <c r="A11" s="48"/>
      <c r="B11" s="51" t="s">
        <v>8</v>
      </c>
      <c r="C11" s="48"/>
      <c r="D11" s="49">
        <v>-121702.26</v>
      </c>
      <c r="E11" s="50"/>
    </row>
    <row r="12" spans="1:5" x14ac:dyDescent="0.25">
      <c r="A12" s="52"/>
      <c r="B12" s="53" t="s">
        <v>9</v>
      </c>
      <c r="C12" s="52" t="s">
        <v>10</v>
      </c>
      <c r="D12" s="52">
        <v>3663.44</v>
      </c>
      <c r="E12" s="52"/>
    </row>
    <row r="13" spans="1:5" x14ac:dyDescent="0.25">
      <c r="A13" s="52"/>
      <c r="B13" s="53" t="s">
        <v>11</v>
      </c>
      <c r="C13" s="52" t="s">
        <v>10</v>
      </c>
      <c r="D13" s="52">
        <v>2609.8000000000002</v>
      </c>
      <c r="E13" s="52"/>
    </row>
    <row r="14" spans="1:5" x14ac:dyDescent="0.25">
      <c r="A14" s="52"/>
      <c r="B14" s="54" t="s">
        <v>12</v>
      </c>
      <c r="C14" s="52" t="s">
        <v>13</v>
      </c>
      <c r="D14" s="55">
        <v>109381.08</v>
      </c>
      <c r="E14" s="52"/>
    </row>
    <row r="15" spans="1:5" x14ac:dyDescent="0.25">
      <c r="A15" s="52"/>
      <c r="B15" s="52"/>
      <c r="C15" s="52"/>
      <c r="D15" s="52"/>
      <c r="E15" s="52"/>
    </row>
    <row r="16" spans="1:5" ht="15.75" x14ac:dyDescent="0.25">
      <c r="A16" s="52"/>
      <c r="B16" s="56" t="s">
        <v>14</v>
      </c>
      <c r="C16" s="52"/>
      <c r="D16" s="52"/>
      <c r="E16" s="52"/>
    </row>
    <row r="17" spans="1:5" x14ac:dyDescent="0.25">
      <c r="A17" s="52">
        <v>1</v>
      </c>
      <c r="B17" s="52" t="s">
        <v>15</v>
      </c>
      <c r="C17" s="52" t="s">
        <v>13</v>
      </c>
      <c r="D17" s="52">
        <f>179851.06-87969.78</f>
        <v>91881.279999999999</v>
      </c>
      <c r="E17" s="52"/>
    </row>
    <row r="18" spans="1:5" x14ac:dyDescent="0.25">
      <c r="A18" s="52">
        <v>2</v>
      </c>
      <c r="B18" s="52" t="s">
        <v>102</v>
      </c>
      <c r="C18" s="52"/>
      <c r="D18" s="52">
        <v>3000</v>
      </c>
      <c r="E18" s="52"/>
    </row>
    <row r="19" spans="1:5" ht="15.75" x14ac:dyDescent="0.25">
      <c r="A19" s="52"/>
      <c r="B19" s="56" t="s">
        <v>17</v>
      </c>
      <c r="C19" s="52"/>
      <c r="D19" s="55">
        <f>D17+D18</f>
        <v>94881.279999999999</v>
      </c>
      <c r="E19" s="52"/>
    </row>
    <row r="20" spans="1:5" ht="15.75" x14ac:dyDescent="0.25">
      <c r="A20" s="52"/>
      <c r="B20" s="56"/>
      <c r="C20" s="52"/>
      <c r="D20" s="55"/>
      <c r="E20" s="52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D23+D28</f>
        <v>30666.5</v>
      </c>
      <c r="E22" s="26">
        <f>E23</f>
        <v>7769.1095800000003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D24+D25+D26+D27</f>
        <v>29653.09</v>
      </c>
      <c r="E23" s="26">
        <f>E24+E25+E26+E27</f>
        <v>7769.1095800000003</v>
      </c>
    </row>
    <row r="24" spans="1:5" x14ac:dyDescent="0.25">
      <c r="A24" s="20"/>
      <c r="B24" s="20" t="s">
        <v>23</v>
      </c>
      <c r="C24" s="20"/>
      <c r="D24" s="20">
        <f>2706.13+4067.32</f>
        <v>6773.4500000000007</v>
      </c>
      <c r="E24" s="28">
        <f>D24*26.2%</f>
        <v>1774.6439000000003</v>
      </c>
    </row>
    <row r="25" spans="1:5" x14ac:dyDescent="0.25">
      <c r="A25" s="20"/>
      <c r="B25" s="20" t="s">
        <v>24</v>
      </c>
      <c r="C25" s="20"/>
      <c r="D25" s="20">
        <f>3876.67+6103.19</f>
        <v>9979.86</v>
      </c>
      <c r="E25" s="28">
        <f>D25*26.2%</f>
        <v>2614.7233200000001</v>
      </c>
    </row>
    <row r="26" spans="1:5" x14ac:dyDescent="0.25">
      <c r="A26" s="20"/>
      <c r="B26" s="20" t="s">
        <v>25</v>
      </c>
      <c r="C26" s="20"/>
      <c r="D26" s="20">
        <f>5895.6+6358.02</f>
        <v>12253.62</v>
      </c>
      <c r="E26" s="28">
        <f>D26*26.2%</f>
        <v>3210.4484400000001</v>
      </c>
    </row>
    <row r="27" spans="1:5" x14ac:dyDescent="0.25">
      <c r="A27" s="20"/>
      <c r="B27" s="31" t="s">
        <v>81</v>
      </c>
      <c r="C27" s="20"/>
      <c r="D27" s="20">
        <v>646.16</v>
      </c>
      <c r="E27" s="28">
        <f>D27*26.2%</f>
        <v>169.29391999999999</v>
      </c>
    </row>
    <row r="28" spans="1:5" x14ac:dyDescent="0.25">
      <c r="A28" s="20">
        <v>2</v>
      </c>
      <c r="B28" s="27" t="s">
        <v>26</v>
      </c>
      <c r="C28" s="20"/>
      <c r="D28" s="20">
        <v>1013.41</v>
      </c>
      <c r="E28" s="28"/>
    </row>
    <row r="29" spans="1:5" x14ac:dyDescent="0.25">
      <c r="A29" s="24" t="s">
        <v>27</v>
      </c>
      <c r="B29" s="30" t="s">
        <v>28</v>
      </c>
      <c r="C29" s="20"/>
      <c r="D29" s="22">
        <f>D30+D31</f>
        <v>21612.079999999998</v>
      </c>
      <c r="E29" s="26">
        <f>E30</f>
        <v>5285.8290399999996</v>
      </c>
    </row>
    <row r="30" spans="1:5" x14ac:dyDescent="0.25">
      <c r="A30" s="20">
        <v>1</v>
      </c>
      <c r="B30" s="31" t="s">
        <v>105</v>
      </c>
      <c r="C30" s="20"/>
      <c r="D30" s="31">
        <f>7912.87+12262.05</f>
        <v>20174.919999999998</v>
      </c>
      <c r="E30" s="28">
        <f>D30*26.2%</f>
        <v>5285.8290399999996</v>
      </c>
    </row>
    <row r="31" spans="1:5" x14ac:dyDescent="0.25">
      <c r="A31" s="20">
        <v>2</v>
      </c>
      <c r="B31" s="31" t="s">
        <v>26</v>
      </c>
      <c r="C31" s="20"/>
      <c r="D31" s="31">
        <v>1437.16</v>
      </c>
      <c r="E31" s="20"/>
    </row>
    <row r="32" spans="1:5" x14ac:dyDescent="0.25">
      <c r="A32" s="24" t="s">
        <v>30</v>
      </c>
      <c r="B32" s="22" t="s">
        <v>31</v>
      </c>
      <c r="C32" s="20"/>
      <c r="D32" s="26">
        <f>D33+D34+D35+D37+D38+D36</f>
        <v>10947.164000000001</v>
      </c>
      <c r="E32" s="20"/>
    </row>
    <row r="33" spans="1:5" x14ac:dyDescent="0.25">
      <c r="A33" s="20"/>
      <c r="B33" s="20" t="s">
        <v>32</v>
      </c>
      <c r="C33" s="20"/>
      <c r="D33" s="28">
        <f>D19*5%</f>
        <v>4744.0640000000003</v>
      </c>
      <c r="E33" s="20"/>
    </row>
    <row r="34" spans="1:5" x14ac:dyDescent="0.25">
      <c r="A34" s="20"/>
      <c r="B34" s="20" t="s">
        <v>61</v>
      </c>
      <c r="C34" s="20"/>
      <c r="D34" s="20">
        <v>209.43</v>
      </c>
      <c r="E34" s="20"/>
    </row>
    <row r="35" spans="1:5" x14ac:dyDescent="0.25">
      <c r="A35" s="20"/>
      <c r="B35" s="20" t="s">
        <v>34</v>
      </c>
      <c r="C35" s="20"/>
      <c r="D35" s="28">
        <v>3602.51</v>
      </c>
      <c r="E35" s="20"/>
    </row>
    <row r="36" spans="1:5" x14ac:dyDescent="0.25">
      <c r="A36" s="20"/>
      <c r="B36" s="20" t="s">
        <v>35</v>
      </c>
      <c r="C36" s="20"/>
      <c r="D36" s="28">
        <v>0</v>
      </c>
      <c r="E36" s="20"/>
    </row>
    <row r="37" spans="1:5" x14ac:dyDescent="0.25">
      <c r="A37" s="20"/>
      <c r="B37" s="27" t="s">
        <v>36</v>
      </c>
      <c r="C37" s="20"/>
      <c r="D37" s="20">
        <v>722.09</v>
      </c>
      <c r="E37" s="20"/>
    </row>
    <row r="38" spans="1:5" x14ac:dyDescent="0.25">
      <c r="A38" s="20"/>
      <c r="B38" s="20" t="s">
        <v>38</v>
      </c>
      <c r="C38" s="20"/>
      <c r="D38" s="20">
        <v>1669.07</v>
      </c>
      <c r="E38" s="20"/>
    </row>
    <row r="39" spans="1:5" x14ac:dyDescent="0.25">
      <c r="A39" s="73" t="s">
        <v>89</v>
      </c>
      <c r="B39" s="22" t="s">
        <v>39</v>
      </c>
      <c r="C39" s="20"/>
      <c r="D39" s="26">
        <f>D40+D41</f>
        <v>13853.1</v>
      </c>
      <c r="E39" s="26">
        <f>E40</f>
        <v>2565.9860800000001</v>
      </c>
    </row>
    <row r="40" spans="1:5" x14ac:dyDescent="0.25">
      <c r="A40" s="73"/>
      <c r="B40" s="31" t="s">
        <v>40</v>
      </c>
      <c r="C40" s="31"/>
      <c r="D40" s="33">
        <f>3804.92+5988.92</f>
        <v>9793.84</v>
      </c>
      <c r="E40" s="33">
        <f>D40*26.2%</f>
        <v>2565.9860800000001</v>
      </c>
    </row>
    <row r="41" spans="1:5" x14ac:dyDescent="0.25">
      <c r="A41" s="73"/>
      <c r="B41" s="31" t="s">
        <v>41</v>
      </c>
      <c r="C41" s="20"/>
      <c r="D41" s="33">
        <v>4059.26</v>
      </c>
      <c r="E41" s="20"/>
    </row>
    <row r="42" spans="1:5" x14ac:dyDescent="0.25">
      <c r="A42" s="73" t="s">
        <v>90</v>
      </c>
      <c r="B42" s="22" t="s">
        <v>42</v>
      </c>
      <c r="C42" s="20"/>
      <c r="D42" s="26">
        <f>D22+E22+D29+E29+D32+D39+E39</f>
        <v>92699.768700000015</v>
      </c>
      <c r="E42" s="20"/>
    </row>
    <row r="43" spans="1:5" x14ac:dyDescent="0.25">
      <c r="A43" s="73" t="s">
        <v>91</v>
      </c>
      <c r="B43" s="20" t="s">
        <v>43</v>
      </c>
      <c r="C43" s="20"/>
      <c r="D43" s="26">
        <f>D19*6%</f>
        <v>5692.8768</v>
      </c>
      <c r="E43" s="20"/>
    </row>
    <row r="44" spans="1:5" x14ac:dyDescent="0.25">
      <c r="A44" s="73" t="s">
        <v>92</v>
      </c>
      <c r="B44" s="22" t="s">
        <v>44</v>
      </c>
      <c r="C44" s="20"/>
      <c r="D44" s="26">
        <f>D42+D43</f>
        <v>98392.645500000013</v>
      </c>
      <c r="E44" s="20"/>
    </row>
    <row r="45" spans="1:5" x14ac:dyDescent="0.25">
      <c r="A45" s="73"/>
      <c r="B45" s="20"/>
      <c r="C45" s="20"/>
      <c r="D45" s="20"/>
      <c r="E45" s="20"/>
    </row>
    <row r="46" spans="1:5" x14ac:dyDescent="0.25">
      <c r="A46" s="73" t="s">
        <v>93</v>
      </c>
      <c r="B46" s="22" t="s">
        <v>45</v>
      </c>
      <c r="C46" s="20"/>
      <c r="D46" s="26">
        <f>D19-D44</f>
        <v>-3511.3655000000144</v>
      </c>
      <c r="E46" s="20"/>
    </row>
    <row r="47" spans="1:5" x14ac:dyDescent="0.25">
      <c r="A47" s="73" t="s">
        <v>94</v>
      </c>
      <c r="B47" s="22" t="s">
        <v>46</v>
      </c>
      <c r="C47" s="20"/>
      <c r="D47" s="26">
        <f>D11+D46</f>
        <v>-125213.62550000001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40" sqref="A40:A48"/>
    </sheetView>
  </sheetViews>
  <sheetFormatPr defaultRowHeight="15" x14ac:dyDescent="0.25"/>
  <cols>
    <col min="2" max="2" width="40" customWidth="1"/>
    <col min="4" max="4" width="10.140625" customWidth="1"/>
    <col min="5" max="5" width="11.140625" customWidth="1"/>
  </cols>
  <sheetData>
    <row r="1" spans="1:5" ht="15.75" x14ac:dyDescent="0.25">
      <c r="A1" s="124"/>
      <c r="B1" s="125" t="s">
        <v>0</v>
      </c>
      <c r="C1" s="124"/>
      <c r="D1" s="124"/>
      <c r="E1" s="124"/>
    </row>
    <row r="2" spans="1:5" x14ac:dyDescent="0.25">
      <c r="A2" s="124"/>
      <c r="B2" s="124"/>
      <c r="C2" s="124"/>
      <c r="D2" s="124"/>
      <c r="E2" s="124"/>
    </row>
    <row r="3" spans="1:5" x14ac:dyDescent="0.25">
      <c r="A3" s="124"/>
      <c r="B3" s="124" t="s">
        <v>1</v>
      </c>
      <c r="C3" s="124"/>
      <c r="D3" s="124"/>
      <c r="E3" s="124"/>
    </row>
    <row r="4" spans="1:5" x14ac:dyDescent="0.25">
      <c r="A4" s="124"/>
      <c r="B4" s="126" t="s">
        <v>115</v>
      </c>
      <c r="C4" s="124"/>
      <c r="D4" s="124"/>
      <c r="E4" s="124"/>
    </row>
    <row r="5" spans="1:5" x14ac:dyDescent="0.25">
      <c r="A5" s="520"/>
      <c r="B5" s="520"/>
      <c r="C5" s="520"/>
      <c r="D5" s="422"/>
      <c r="E5" s="481"/>
    </row>
    <row r="6" spans="1:5" ht="15.75" x14ac:dyDescent="0.25">
      <c r="A6" s="127"/>
      <c r="B6" s="482" t="s">
        <v>3</v>
      </c>
      <c r="C6" s="483" t="s">
        <v>4</v>
      </c>
      <c r="D6" s="521" t="s">
        <v>5</v>
      </c>
      <c r="E6" s="522"/>
    </row>
    <row r="7" spans="1:5" ht="15.75" x14ac:dyDescent="0.25">
      <c r="A7" s="130"/>
      <c r="B7" s="128" t="s">
        <v>6</v>
      </c>
      <c r="C7" s="129" t="s">
        <v>7</v>
      </c>
      <c r="D7" s="523" t="s">
        <v>116</v>
      </c>
      <c r="E7" s="524"/>
    </row>
    <row r="8" spans="1:5" x14ac:dyDescent="0.25">
      <c r="A8" s="131"/>
      <c r="B8" s="131"/>
      <c r="C8" s="131"/>
      <c r="D8" s="132"/>
      <c r="E8" s="133"/>
    </row>
    <row r="9" spans="1:5" x14ac:dyDescent="0.25">
      <c r="A9" s="131"/>
      <c r="B9" s="134" t="s">
        <v>8</v>
      </c>
      <c r="C9" s="131"/>
      <c r="D9" s="132">
        <v>-120983.7</v>
      </c>
      <c r="E9" s="133"/>
    </row>
    <row r="10" spans="1:5" x14ac:dyDescent="0.25">
      <c r="A10" s="135"/>
      <c r="B10" s="136" t="s">
        <v>9</v>
      </c>
      <c r="C10" s="135" t="s">
        <v>10</v>
      </c>
      <c r="D10" s="135">
        <v>5024.3100000000004</v>
      </c>
      <c r="E10" s="135"/>
    </row>
    <row r="11" spans="1:5" x14ac:dyDescent="0.25">
      <c r="A11" s="135"/>
      <c r="B11" s="136" t="s">
        <v>11</v>
      </c>
      <c r="C11" s="135" t="s">
        <v>10</v>
      </c>
      <c r="D11" s="135">
        <v>3641.7</v>
      </c>
      <c r="E11" s="135"/>
    </row>
    <row r="12" spans="1:5" x14ac:dyDescent="0.25">
      <c r="A12" s="135"/>
      <c r="B12" s="137" t="s">
        <v>12</v>
      </c>
      <c r="C12" s="135" t="s">
        <v>13</v>
      </c>
      <c r="D12" s="135">
        <v>150805.85999999999</v>
      </c>
      <c r="E12" s="135"/>
    </row>
    <row r="13" spans="1:5" x14ac:dyDescent="0.25">
      <c r="A13" s="135"/>
      <c r="B13" s="135"/>
      <c r="C13" s="135"/>
      <c r="D13" s="135"/>
      <c r="E13" s="135"/>
    </row>
    <row r="14" spans="1:5" ht="15.75" x14ac:dyDescent="0.25">
      <c r="A14" s="135"/>
      <c r="B14" s="138" t="s">
        <v>14</v>
      </c>
      <c r="C14" s="135"/>
      <c r="D14" s="135"/>
      <c r="E14" s="135"/>
    </row>
    <row r="15" spans="1:5" x14ac:dyDescent="0.25">
      <c r="A15" s="135">
        <v>1</v>
      </c>
      <c r="B15" s="135" t="s">
        <v>15</v>
      </c>
      <c r="C15" s="135" t="s">
        <v>13</v>
      </c>
      <c r="D15" s="135">
        <f>293229.04-142776.89</f>
        <v>150452.14999999997</v>
      </c>
      <c r="E15" s="135"/>
    </row>
    <row r="16" spans="1:5" x14ac:dyDescent="0.25">
      <c r="A16" s="135">
        <v>2</v>
      </c>
      <c r="B16" s="135" t="s">
        <v>102</v>
      </c>
      <c r="C16" s="135"/>
      <c r="D16" s="135">
        <f>3500+500</f>
        <v>4000</v>
      </c>
      <c r="E16" s="135"/>
    </row>
    <row r="17" spans="1:5" ht="15.75" x14ac:dyDescent="0.25">
      <c r="A17" s="135"/>
      <c r="B17" s="138" t="s">
        <v>17</v>
      </c>
      <c r="C17" s="135"/>
      <c r="D17" s="139">
        <f>D15+D16</f>
        <v>154452.14999999997</v>
      </c>
      <c r="E17" s="135"/>
    </row>
    <row r="18" spans="1:5" ht="15.75" x14ac:dyDescent="0.25">
      <c r="A18" s="135"/>
      <c r="B18" s="138"/>
      <c r="C18" s="135"/>
      <c r="D18" s="139"/>
      <c r="E18" s="135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</f>
        <v>39968.159999999996</v>
      </c>
      <c r="E20" s="26">
        <f>E21</f>
        <v>10101.161099999999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D22+D23+D25</f>
        <v>38554.049999999996</v>
      </c>
      <c r="E21" s="26">
        <f>E22+E23+E25</f>
        <v>10101.161099999999</v>
      </c>
    </row>
    <row r="22" spans="1:5" x14ac:dyDescent="0.25">
      <c r="A22" s="20"/>
      <c r="B22" s="20" t="s">
        <v>23</v>
      </c>
      <c r="C22" s="20"/>
      <c r="D22" s="135">
        <v>11702.2</v>
      </c>
      <c r="E22" s="28">
        <f>D22*26.2%</f>
        <v>3065.9764000000005</v>
      </c>
    </row>
    <row r="23" spans="1:5" x14ac:dyDescent="0.25">
      <c r="A23" s="20"/>
      <c r="B23" s="20" t="s">
        <v>24</v>
      </c>
      <c r="C23" s="20"/>
      <c r="D23" s="436">
        <v>25160.639999999999</v>
      </c>
      <c r="E23" s="28">
        <f>D23*26.2%</f>
        <v>6592.0876800000005</v>
      </c>
    </row>
    <row r="24" spans="1:5" x14ac:dyDescent="0.25">
      <c r="A24" s="20"/>
      <c r="B24" s="20" t="s">
        <v>117</v>
      </c>
      <c r="C24" s="20"/>
      <c r="D24" s="436">
        <v>18409.939999999999</v>
      </c>
      <c r="E24" s="28">
        <f>D24*26.2%</f>
        <v>4823.4042799999997</v>
      </c>
    </row>
    <row r="25" spans="1:5" x14ac:dyDescent="0.25">
      <c r="A25" s="20"/>
      <c r="B25" s="31" t="s">
        <v>118</v>
      </c>
      <c r="C25" s="20"/>
      <c r="D25" s="135">
        <v>1691.21</v>
      </c>
      <c r="E25" s="28">
        <f>D25*26.2%</f>
        <v>443.09702000000004</v>
      </c>
    </row>
    <row r="26" spans="1:5" x14ac:dyDescent="0.25">
      <c r="A26" s="20">
        <v>2</v>
      </c>
      <c r="B26" s="27" t="s">
        <v>26</v>
      </c>
      <c r="C26" s="20"/>
      <c r="D26" s="135">
        <v>1414.11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38816.769999999997</v>
      </c>
      <c r="E27" s="26">
        <f>E28</f>
        <v>8914.2487000000001</v>
      </c>
    </row>
    <row r="28" spans="1:5" x14ac:dyDescent="0.25">
      <c r="A28" s="20">
        <v>1</v>
      </c>
      <c r="B28" s="31" t="s">
        <v>103</v>
      </c>
      <c r="C28" s="20"/>
      <c r="D28" s="135">
        <v>34023.85</v>
      </c>
      <c r="E28" s="28">
        <f>D28*26.2%</f>
        <v>8914.2487000000001</v>
      </c>
    </row>
    <row r="29" spans="1:5" x14ac:dyDescent="0.25">
      <c r="A29" s="20">
        <v>2</v>
      </c>
      <c r="B29" s="31" t="s">
        <v>26</v>
      </c>
      <c r="C29" s="20"/>
      <c r="D29" s="437">
        <v>4792.92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D31+D32+D34+D35+D36+D37+D38+D39+D33</f>
        <v>40442.627499999995</v>
      </c>
      <c r="E30" s="20"/>
    </row>
    <row r="31" spans="1:5" x14ac:dyDescent="0.25">
      <c r="A31" s="20"/>
      <c r="B31" s="20" t="s">
        <v>32</v>
      </c>
      <c r="C31" s="20"/>
      <c r="D31" s="28">
        <f>D17*5%</f>
        <v>7722.6074999999983</v>
      </c>
      <c r="E31" s="20"/>
    </row>
    <row r="32" spans="1:5" x14ac:dyDescent="0.25">
      <c r="A32" s="20"/>
      <c r="B32" s="20" t="s">
        <v>61</v>
      </c>
      <c r="C32" s="135"/>
      <c r="D32" s="436">
        <f>207.84+202.97</f>
        <v>410.81</v>
      </c>
      <c r="E32" s="20"/>
    </row>
    <row r="33" spans="1:5" x14ac:dyDescent="0.25">
      <c r="A33" s="20"/>
      <c r="B33" s="31" t="s">
        <v>33</v>
      </c>
      <c r="C33" s="135"/>
      <c r="D33" s="436">
        <v>2679</v>
      </c>
      <c r="E33" s="20"/>
    </row>
    <row r="34" spans="1:5" x14ac:dyDescent="0.25">
      <c r="A34" s="20"/>
      <c r="B34" s="135" t="s">
        <v>34</v>
      </c>
      <c r="C34" s="135"/>
      <c r="D34" s="135">
        <v>6044.33</v>
      </c>
      <c r="E34" s="20"/>
    </row>
    <row r="35" spans="1:5" x14ac:dyDescent="0.25">
      <c r="A35" s="20"/>
      <c r="B35" s="27" t="s">
        <v>119</v>
      </c>
      <c r="C35" s="20"/>
      <c r="D35" s="20">
        <v>5747</v>
      </c>
      <c r="E35" s="20"/>
    </row>
    <row r="36" spans="1:5" x14ac:dyDescent="0.25">
      <c r="A36" s="20"/>
      <c r="B36" s="27" t="s">
        <v>36</v>
      </c>
      <c r="C36" s="20"/>
      <c r="D36" s="20">
        <v>1007.6</v>
      </c>
      <c r="E36" s="20"/>
    </row>
    <row r="37" spans="1:5" x14ac:dyDescent="0.25">
      <c r="A37" s="20"/>
      <c r="B37" s="27" t="s">
        <v>66</v>
      </c>
      <c r="C37" s="20"/>
      <c r="D37" s="20">
        <v>14053.17</v>
      </c>
      <c r="E37" s="20"/>
    </row>
    <row r="38" spans="1:5" x14ac:dyDescent="0.25">
      <c r="A38" s="20"/>
      <c r="B38" s="27" t="s">
        <v>35</v>
      </c>
      <c r="C38" s="20"/>
      <c r="D38" s="135">
        <v>449.11</v>
      </c>
      <c r="E38" s="20"/>
    </row>
    <row r="39" spans="1:5" x14ac:dyDescent="0.25">
      <c r="A39" s="20"/>
      <c r="B39" s="20" t="s">
        <v>38</v>
      </c>
      <c r="C39" s="20"/>
      <c r="D39" s="135">
        <v>2329</v>
      </c>
      <c r="E39" s="20"/>
    </row>
    <row r="40" spans="1:5" x14ac:dyDescent="0.25">
      <c r="A40" s="73" t="s">
        <v>89</v>
      </c>
      <c r="B40" s="22" t="s">
        <v>39</v>
      </c>
      <c r="C40" s="20"/>
      <c r="D40" s="26">
        <f>D41+D42</f>
        <v>21706.959999999999</v>
      </c>
      <c r="E40" s="26">
        <f>E41</f>
        <v>4320.8516</v>
      </c>
    </row>
    <row r="41" spans="1:5" x14ac:dyDescent="0.25">
      <c r="A41" s="73"/>
      <c r="B41" s="31" t="s">
        <v>63</v>
      </c>
      <c r="C41" s="31"/>
      <c r="D41" s="33">
        <v>16491.8</v>
      </c>
      <c r="E41" s="33">
        <f>D41*26.2%</f>
        <v>4320.8516</v>
      </c>
    </row>
    <row r="42" spans="1:5" x14ac:dyDescent="0.25">
      <c r="A42" s="73"/>
      <c r="B42" s="27" t="s">
        <v>41</v>
      </c>
      <c r="C42" s="20"/>
      <c r="D42" s="33">
        <v>5215.16</v>
      </c>
      <c r="E42" s="20"/>
    </row>
    <row r="43" spans="1:5" x14ac:dyDescent="0.25">
      <c r="A43" s="73" t="s">
        <v>90</v>
      </c>
      <c r="B43" s="22" t="s">
        <v>42</v>
      </c>
      <c r="C43" s="20"/>
      <c r="D43" s="26">
        <f>D20+E20+D27+E27+D30+D40+E40</f>
        <v>164270.77889999998</v>
      </c>
      <c r="E43" s="20"/>
    </row>
    <row r="44" spans="1:5" x14ac:dyDescent="0.25">
      <c r="A44" s="73" t="s">
        <v>91</v>
      </c>
      <c r="B44" s="20" t="s">
        <v>43</v>
      </c>
      <c r="C44" s="20"/>
      <c r="D44" s="26">
        <f>D17*6%</f>
        <v>9267.1289999999972</v>
      </c>
      <c r="E44" s="20"/>
    </row>
    <row r="45" spans="1:5" x14ac:dyDescent="0.25">
      <c r="A45" s="73" t="s">
        <v>92</v>
      </c>
      <c r="B45" s="22" t="s">
        <v>44</v>
      </c>
      <c r="C45" s="20"/>
      <c r="D45" s="26">
        <f>D43+D44</f>
        <v>173537.90789999996</v>
      </c>
      <c r="E45" s="20"/>
    </row>
    <row r="46" spans="1:5" x14ac:dyDescent="0.25">
      <c r="A46" s="73"/>
      <c r="B46" s="20"/>
      <c r="C46" s="20"/>
      <c r="D46" s="20"/>
      <c r="E46" s="20"/>
    </row>
    <row r="47" spans="1:5" x14ac:dyDescent="0.25">
      <c r="A47" s="73" t="s">
        <v>93</v>
      </c>
      <c r="B47" s="22" t="s">
        <v>45</v>
      </c>
      <c r="C47" s="20"/>
      <c r="D47" s="26">
        <f>D17-D45</f>
        <v>-19085.757899999997</v>
      </c>
      <c r="E47" s="20"/>
    </row>
    <row r="48" spans="1:5" x14ac:dyDescent="0.25">
      <c r="A48" s="73" t="s">
        <v>94</v>
      </c>
      <c r="B48" s="22" t="s">
        <v>46</v>
      </c>
      <c r="C48" s="20"/>
      <c r="D48" s="26">
        <f>D9+D47</f>
        <v>-140069.45789999998</v>
      </c>
      <c r="E48" s="20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50" sqref="A1:XFD50"/>
    </sheetView>
  </sheetViews>
  <sheetFormatPr defaultRowHeight="15" x14ac:dyDescent="0.25"/>
  <cols>
    <col min="1" max="1" width="6.85546875" customWidth="1"/>
    <col min="2" max="2" width="43.5703125" customWidth="1"/>
    <col min="4" max="5" width="10.85546875" customWidth="1"/>
  </cols>
  <sheetData>
    <row r="1" spans="1:5" ht="15.75" x14ac:dyDescent="0.25">
      <c r="A1" s="140"/>
      <c r="B1" s="141" t="s">
        <v>0</v>
      </c>
      <c r="C1" s="140"/>
      <c r="D1" s="140"/>
      <c r="E1" s="140"/>
    </row>
    <row r="2" spans="1:5" x14ac:dyDescent="0.25">
      <c r="A2" s="140"/>
      <c r="B2" s="140"/>
      <c r="C2" s="140"/>
      <c r="D2" s="140"/>
      <c r="E2" s="140"/>
    </row>
    <row r="3" spans="1:5" x14ac:dyDescent="0.25">
      <c r="A3" s="140"/>
      <c r="B3" s="140" t="s">
        <v>1</v>
      </c>
      <c r="C3" s="140"/>
      <c r="D3" s="140"/>
      <c r="E3" s="140"/>
    </row>
    <row r="4" spans="1:5" x14ac:dyDescent="0.25">
      <c r="A4" s="140"/>
      <c r="B4" s="142" t="s">
        <v>120</v>
      </c>
      <c r="C4" s="140"/>
      <c r="D4" s="140"/>
      <c r="E4" s="140"/>
    </row>
    <row r="5" spans="1:5" x14ac:dyDescent="0.25">
      <c r="A5" s="140"/>
      <c r="B5" s="140" t="s">
        <v>71</v>
      </c>
      <c r="C5" s="140"/>
      <c r="D5" s="140"/>
      <c r="E5" s="140"/>
    </row>
    <row r="6" spans="1:5" x14ac:dyDescent="0.25">
      <c r="A6" s="525"/>
      <c r="B6" s="525"/>
      <c r="C6" s="525"/>
      <c r="D6" s="423"/>
      <c r="E6" s="143"/>
    </row>
    <row r="7" spans="1:5" x14ac:dyDescent="0.25">
      <c r="A7" s="144"/>
      <c r="B7" s="144"/>
      <c r="C7" s="144"/>
      <c r="D7" s="145"/>
      <c r="E7" s="146"/>
    </row>
    <row r="8" spans="1:5" ht="15.75" x14ac:dyDescent="0.25">
      <c r="A8" s="144"/>
      <c r="B8" s="147" t="s">
        <v>3</v>
      </c>
      <c r="C8" s="148" t="s">
        <v>4</v>
      </c>
      <c r="D8" s="526" t="s">
        <v>5</v>
      </c>
      <c r="E8" s="527"/>
    </row>
    <row r="9" spans="1:5" ht="15.75" x14ac:dyDescent="0.25">
      <c r="A9" s="149"/>
      <c r="B9" s="147" t="s">
        <v>6</v>
      </c>
      <c r="C9" s="148" t="s">
        <v>7</v>
      </c>
      <c r="D9" s="528" t="s">
        <v>114</v>
      </c>
      <c r="E9" s="529"/>
    </row>
    <row r="10" spans="1:5" x14ac:dyDescent="0.25">
      <c r="A10" s="150"/>
      <c r="B10" s="150"/>
      <c r="C10" s="150"/>
      <c r="D10" s="151"/>
      <c r="E10" s="152"/>
    </row>
    <row r="11" spans="1:5" x14ac:dyDescent="0.25">
      <c r="A11" s="150"/>
      <c r="B11" s="153" t="s">
        <v>8</v>
      </c>
      <c r="C11" s="150"/>
      <c r="D11" s="151">
        <v>-114758.78</v>
      </c>
      <c r="E11" s="152"/>
    </row>
    <row r="12" spans="1:5" x14ac:dyDescent="0.25">
      <c r="A12" s="154"/>
      <c r="B12" s="155" t="s">
        <v>9</v>
      </c>
      <c r="C12" s="154" t="s">
        <v>10</v>
      </c>
      <c r="D12" s="154">
        <v>7865.6</v>
      </c>
      <c r="E12" s="154"/>
    </row>
    <row r="13" spans="1:5" x14ac:dyDescent="0.25">
      <c r="A13" s="154"/>
      <c r="B13" s="155" t="s">
        <v>11</v>
      </c>
      <c r="C13" s="154" t="s">
        <v>10</v>
      </c>
      <c r="D13" s="154">
        <v>5669.08</v>
      </c>
      <c r="E13" s="154"/>
    </row>
    <row r="14" spans="1:5" x14ac:dyDescent="0.25">
      <c r="A14" s="154"/>
      <c r="B14" s="156" t="s">
        <v>12</v>
      </c>
      <c r="C14" s="154" t="s">
        <v>55</v>
      </c>
      <c r="D14" s="154">
        <v>233777.88</v>
      </c>
      <c r="E14" s="154"/>
    </row>
    <row r="15" spans="1:5" x14ac:dyDescent="0.25">
      <c r="A15" s="154"/>
      <c r="B15" s="154"/>
      <c r="C15" s="154"/>
      <c r="D15" s="154"/>
      <c r="E15" s="154"/>
    </row>
    <row r="16" spans="1:5" ht="15.75" x14ac:dyDescent="0.25">
      <c r="A16" s="154"/>
      <c r="B16" s="157" t="s">
        <v>14</v>
      </c>
      <c r="C16" s="154"/>
      <c r="D16" s="154"/>
      <c r="E16" s="154"/>
    </row>
    <row r="17" spans="1:5" x14ac:dyDescent="0.25">
      <c r="A17" s="154">
        <v>1</v>
      </c>
      <c r="B17" s="154" t="s">
        <v>15</v>
      </c>
      <c r="C17" s="154" t="s">
        <v>13</v>
      </c>
      <c r="D17" s="154">
        <f>470544.14-232505.87</f>
        <v>238038.27000000002</v>
      </c>
      <c r="E17" s="154"/>
    </row>
    <row r="18" spans="1:5" x14ac:dyDescent="0.25">
      <c r="A18" s="154">
        <v>2</v>
      </c>
      <c r="B18" s="154" t="s">
        <v>102</v>
      </c>
      <c r="C18" s="154"/>
      <c r="D18" s="154">
        <v>1000</v>
      </c>
      <c r="E18" s="154"/>
    </row>
    <row r="19" spans="1:5" ht="15.75" x14ac:dyDescent="0.25">
      <c r="A19" s="154"/>
      <c r="B19" s="157" t="s">
        <v>17</v>
      </c>
      <c r="C19" s="154"/>
      <c r="D19" s="158">
        <f>D17+D18</f>
        <v>239038.27000000002</v>
      </c>
      <c r="E19" s="154"/>
    </row>
    <row r="20" spans="1:5" ht="15.75" x14ac:dyDescent="0.25">
      <c r="A20" s="154"/>
      <c r="B20" s="157"/>
      <c r="C20" s="154"/>
      <c r="D20" s="158"/>
      <c r="E20" s="154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6">
        <f>D23+D27</f>
        <v>72945.77</v>
      </c>
      <c r="E22" s="26">
        <f>E23</f>
        <v>18535.03542</v>
      </c>
    </row>
    <row r="23" spans="1:5" x14ac:dyDescent="0.25">
      <c r="A23" s="20">
        <v>1</v>
      </c>
      <c r="B23" s="22" t="s">
        <v>22</v>
      </c>
      <c r="C23" s="27" t="s">
        <v>13</v>
      </c>
      <c r="D23" s="26">
        <f>D24+D25+D26</f>
        <v>70744.41</v>
      </c>
      <c r="E23" s="26">
        <f>E24+E25+E26</f>
        <v>18535.03542</v>
      </c>
    </row>
    <row r="24" spans="1:5" x14ac:dyDescent="0.25">
      <c r="A24" s="20"/>
      <c r="B24" s="20" t="s">
        <v>23</v>
      </c>
      <c r="C24" s="20"/>
      <c r="D24" s="154">
        <f>6819.45+6315.45</f>
        <v>13134.9</v>
      </c>
      <c r="E24" s="28">
        <f>D24*26.2%</f>
        <v>3441.3438000000001</v>
      </c>
    </row>
    <row r="25" spans="1:5" x14ac:dyDescent="0.25">
      <c r="A25" s="20"/>
      <c r="B25" s="20" t="s">
        <v>24</v>
      </c>
      <c r="C25" s="20"/>
      <c r="D25" s="154">
        <f>15579.42+15537.71</f>
        <v>31117.129999999997</v>
      </c>
      <c r="E25" s="28">
        <f>D25*26.2%</f>
        <v>8152.6880599999995</v>
      </c>
    </row>
    <row r="26" spans="1:5" x14ac:dyDescent="0.25">
      <c r="A26" s="20"/>
      <c r="B26" s="20" t="s">
        <v>25</v>
      </c>
      <c r="C26" s="20"/>
      <c r="D26" s="154">
        <f>14769.75+11722.63</f>
        <v>26492.379999999997</v>
      </c>
      <c r="E26" s="28">
        <f>D26*26.2%</f>
        <v>6941.0035599999992</v>
      </c>
    </row>
    <row r="27" spans="1:5" x14ac:dyDescent="0.25">
      <c r="A27" s="20">
        <v>2</v>
      </c>
      <c r="B27" s="27" t="s">
        <v>26</v>
      </c>
      <c r="C27" s="20"/>
      <c r="D27" s="154">
        <v>2201.36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55674.74</v>
      </c>
      <c r="E28" s="26">
        <f>E29</f>
        <v>13876.92432</v>
      </c>
    </row>
    <row r="29" spans="1:5" x14ac:dyDescent="0.25">
      <c r="A29" s="20">
        <v>1</v>
      </c>
      <c r="B29" s="31" t="s">
        <v>103</v>
      </c>
      <c r="C29" s="20"/>
      <c r="D29" s="154">
        <f>26329.39+26635.97</f>
        <v>52965.36</v>
      </c>
      <c r="E29" s="33">
        <f>D29*26.2%</f>
        <v>13876.92432</v>
      </c>
    </row>
    <row r="30" spans="1:5" x14ac:dyDescent="0.25">
      <c r="A30" s="20">
        <v>2</v>
      </c>
      <c r="B30" s="31" t="s">
        <v>26</v>
      </c>
      <c r="C30" s="20"/>
      <c r="D30" s="438">
        <v>2709.38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</f>
        <v>32836.853500000005</v>
      </c>
      <c r="E31" s="20"/>
    </row>
    <row r="32" spans="1:5" x14ac:dyDescent="0.25">
      <c r="A32" s="20"/>
      <c r="B32" s="20" t="s">
        <v>32</v>
      </c>
      <c r="C32" s="20"/>
      <c r="D32" s="28">
        <f>D19*5%</f>
        <v>11951.913500000002</v>
      </c>
      <c r="E32" s="20"/>
    </row>
    <row r="33" spans="1:5" x14ac:dyDescent="0.25">
      <c r="A33" s="20"/>
      <c r="B33" s="20" t="s">
        <v>61</v>
      </c>
      <c r="C33" s="20"/>
      <c r="D33" s="20">
        <f>228.38+223.02</f>
        <v>451.4</v>
      </c>
      <c r="E33" s="20"/>
    </row>
    <row r="34" spans="1:5" x14ac:dyDescent="0.25">
      <c r="A34" s="20"/>
      <c r="B34" s="20" t="s">
        <v>34</v>
      </c>
      <c r="C34" s="20"/>
      <c r="D34" s="28">
        <f>4714.01+4695.28</f>
        <v>9409.2900000000009</v>
      </c>
      <c r="E34" s="20"/>
    </row>
    <row r="35" spans="1:5" x14ac:dyDescent="0.25">
      <c r="A35" s="20"/>
      <c r="B35" s="154" t="s">
        <v>72</v>
      </c>
      <c r="C35" s="154"/>
      <c r="D35" s="154">
        <v>5830.12</v>
      </c>
      <c r="E35" s="20"/>
    </row>
    <row r="36" spans="1:5" x14ac:dyDescent="0.25">
      <c r="A36" s="20"/>
      <c r="B36" s="27" t="s">
        <v>36</v>
      </c>
      <c r="C36" s="20"/>
      <c r="D36" s="20">
        <v>1568.54</v>
      </c>
      <c r="E36" s="20"/>
    </row>
    <row r="37" spans="1:5" x14ac:dyDescent="0.25">
      <c r="A37" s="20"/>
      <c r="B37" s="20" t="s">
        <v>38</v>
      </c>
      <c r="C37" s="20"/>
      <c r="D37" s="20">
        <v>3625.59</v>
      </c>
      <c r="E37" s="20"/>
    </row>
    <row r="38" spans="1:5" x14ac:dyDescent="0.25">
      <c r="A38" s="73" t="s">
        <v>89</v>
      </c>
      <c r="B38" s="22" t="s">
        <v>39</v>
      </c>
      <c r="C38" s="20"/>
      <c r="D38" s="26">
        <f>D39+D40</f>
        <v>34490.639999999999</v>
      </c>
      <c r="E38" s="26">
        <f>E39</f>
        <v>6726.3233800000007</v>
      </c>
    </row>
    <row r="39" spans="1:5" x14ac:dyDescent="0.25">
      <c r="A39" s="73"/>
      <c r="B39" s="31" t="s">
        <v>40</v>
      </c>
      <c r="C39" s="31"/>
      <c r="D39" s="33">
        <v>25672.99</v>
      </c>
      <c r="E39" s="28">
        <f>D39*26.2%</f>
        <v>6726.3233800000007</v>
      </c>
    </row>
    <row r="40" spans="1:5" x14ac:dyDescent="0.25">
      <c r="A40" s="73"/>
      <c r="B40" s="27" t="s">
        <v>41</v>
      </c>
      <c r="C40" s="20"/>
      <c r="D40" s="33">
        <v>8817.65</v>
      </c>
      <c r="E40" s="20"/>
    </row>
    <row r="41" spans="1:5" x14ac:dyDescent="0.25">
      <c r="A41" s="73" t="s">
        <v>90</v>
      </c>
      <c r="B41" s="22" t="s">
        <v>42</v>
      </c>
      <c r="C41" s="20"/>
      <c r="D41" s="26">
        <f>D22+E22+D28+E28+D31+D38+E38</f>
        <v>235086.28662</v>
      </c>
      <c r="E41" s="20"/>
    </row>
    <row r="42" spans="1:5" x14ac:dyDescent="0.25">
      <c r="A42" s="73" t="s">
        <v>91</v>
      </c>
      <c r="B42" s="20" t="s">
        <v>43</v>
      </c>
      <c r="C42" s="20"/>
      <c r="D42" s="26">
        <f>D19*6%</f>
        <v>14342.296200000001</v>
      </c>
      <c r="E42" s="20"/>
    </row>
    <row r="43" spans="1:5" x14ac:dyDescent="0.25">
      <c r="A43" s="73" t="s">
        <v>92</v>
      </c>
      <c r="B43" s="22" t="s">
        <v>44</v>
      </c>
      <c r="C43" s="20"/>
      <c r="D43" s="26">
        <f>D41+D42</f>
        <v>249428.58282000001</v>
      </c>
      <c r="E43" s="20"/>
    </row>
    <row r="44" spans="1:5" x14ac:dyDescent="0.25">
      <c r="A44" s="73"/>
      <c r="B44" s="20"/>
      <c r="C44" s="20"/>
      <c r="D44" s="20"/>
      <c r="E44" s="20"/>
    </row>
    <row r="45" spans="1:5" x14ac:dyDescent="0.25">
      <c r="A45" s="73" t="s">
        <v>93</v>
      </c>
      <c r="B45" s="22" t="s">
        <v>45</v>
      </c>
      <c r="C45" s="20"/>
      <c r="D45" s="26">
        <f>D19-D43</f>
        <v>-10390.312819999992</v>
      </c>
      <c r="E45" s="20"/>
    </row>
    <row r="46" spans="1:5" x14ac:dyDescent="0.25">
      <c r="A46" s="73" t="s">
        <v>94</v>
      </c>
      <c r="B46" s="22" t="s">
        <v>46</v>
      </c>
      <c r="C46" s="20"/>
      <c r="D46" s="26">
        <f>D11+D45</f>
        <v>-125149.09281999999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47</v>
      </c>
      <c r="C49" s="37"/>
      <c r="D49" s="37" t="s">
        <v>48</v>
      </c>
      <c r="E49" s="37"/>
    </row>
    <row r="50" spans="1:5" x14ac:dyDescent="0.25">
      <c r="A50" s="37"/>
      <c r="B50" s="37" t="s">
        <v>49</v>
      </c>
      <c r="C50" s="37"/>
      <c r="D50" s="37" t="s">
        <v>50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58</vt:i4>
      </vt:variant>
    </vt:vector>
  </HeadingPairs>
  <TitlesOfParts>
    <vt:vector size="58" baseType="lpstr">
      <vt:lpstr>А18</vt:lpstr>
      <vt:lpstr>А25</vt:lpstr>
      <vt:lpstr>В4</vt:lpstr>
      <vt:lpstr>В10</vt:lpstr>
      <vt:lpstr>В12</vt:lpstr>
      <vt:lpstr>В13</vt:lpstr>
      <vt:lpstr>В15</vt:lpstr>
      <vt:lpstr>В17</vt:lpstr>
      <vt:lpstr>В18</vt:lpstr>
      <vt:lpstr>В19</vt:lpstr>
      <vt:lpstr>В20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В32</vt:lpstr>
      <vt:lpstr>В34</vt:lpstr>
      <vt:lpstr>В36</vt:lpstr>
      <vt:lpstr>М1</vt:lpstr>
      <vt:lpstr>М19</vt:lpstr>
      <vt:lpstr>М28</vt:lpstr>
      <vt:lpstr>М30</vt:lpstr>
      <vt:lpstr>М39</vt:lpstr>
      <vt:lpstr>М41</vt:lpstr>
      <vt:lpstr>М43</vt:lpstr>
      <vt:lpstr>М45</vt:lpstr>
      <vt:lpstr>М47</vt:lpstr>
      <vt:lpstr>Т3</vt:lpstr>
      <vt:lpstr>Т4</vt:lpstr>
      <vt:lpstr>Т7</vt:lpstr>
      <vt:lpstr>Т8</vt:lpstr>
      <vt:lpstr>Т9</vt:lpstr>
      <vt:lpstr>Т10</vt:lpstr>
      <vt:lpstr>Т12</vt:lpstr>
      <vt:lpstr>Т13</vt:lpstr>
      <vt:lpstr>Т14</vt:lpstr>
      <vt:lpstr>Т15</vt:lpstr>
      <vt:lpstr>Т16</vt:lpstr>
      <vt:lpstr>Т171</vt:lpstr>
      <vt:lpstr>Т172</vt:lpstr>
      <vt:lpstr>т18</vt:lpstr>
      <vt:lpstr>Т21</vt:lpstr>
      <vt:lpstr>Т23</vt:lpstr>
      <vt:lpstr>Т27</vt:lpstr>
      <vt:lpstr>П100</vt:lpstr>
      <vt:lpstr>П179а</vt:lpstr>
      <vt:lpstr>П181</vt:lpstr>
      <vt:lpstr>П181а</vt:lpstr>
      <vt:lpstr>П183</vt:lpstr>
      <vt:lpstr>П185</vt:lpstr>
      <vt:lpstr>П187</vt:lpstr>
      <vt:lpstr>П191</vt:lpstr>
      <vt:lpstr>ВЛКСМ10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2012-03-15T10:57:44Z</dcterms:modified>
</cp:coreProperties>
</file>