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40" windowHeight="11160" tabRatio="845" firstSheet="37" activeTab="58"/>
  </bookViews>
  <sheets>
    <sheet name="А7" sheetId="333" r:id="rId1"/>
    <sheet name="А18" sheetId="334" r:id="rId2"/>
    <sheet name="А23а" sheetId="335" r:id="rId3"/>
    <sheet name="А25" sheetId="332" r:id="rId4"/>
    <sheet name="В4" sheetId="336" r:id="rId5"/>
    <sheet name="В10" sheetId="337" r:id="rId6"/>
    <sheet name="В10,7" sheetId="338" r:id="rId7"/>
    <sheet name="В10.8" sheetId="339" r:id="rId8"/>
    <sheet name="В12" sheetId="340" r:id="rId9"/>
    <sheet name="В16" sheetId="341" r:id="rId10"/>
    <sheet name="В17" sheetId="342" r:id="rId11"/>
    <sheet name="В19" sheetId="343" r:id="rId12"/>
    <sheet name="В21" sheetId="344" r:id="rId13"/>
    <sheet name="В22" sheetId="345" r:id="rId14"/>
    <sheet name="В23" sheetId="346" r:id="rId15"/>
    <sheet name="В24" sheetId="347" r:id="rId16"/>
    <sheet name="В25" sheetId="348" r:id="rId17"/>
    <sheet name="В26" sheetId="349" r:id="rId18"/>
    <sheet name="В27" sheetId="350" r:id="rId19"/>
    <sheet name="В28" sheetId="351" r:id="rId20"/>
    <sheet name="В30" sheetId="352" r:id="rId21"/>
    <sheet name="В31" sheetId="353" r:id="rId22"/>
    <sheet name="В32" sheetId="354" r:id="rId23"/>
    <sheet name="В34" sheetId="355" r:id="rId24"/>
    <sheet name="В36" sheetId="356" r:id="rId25"/>
    <sheet name="М8,7" sheetId="297" r:id="rId26"/>
    <sheet name="М13.2" sheetId="357" r:id="rId27"/>
    <sheet name="М18" sheetId="358" r:id="rId28"/>
    <sheet name="М19" sheetId="359" r:id="rId29"/>
    <sheet name="М28" sheetId="360" r:id="rId30"/>
    <sheet name="М30" sheetId="361" r:id="rId31"/>
    <sheet name="М30,1" sheetId="303" r:id="rId32"/>
    <sheet name="М39" sheetId="304" r:id="rId33"/>
    <sheet name="М41" sheetId="362" r:id="rId34"/>
    <sheet name="М45" sheetId="363" r:id="rId35"/>
    <sheet name="М47" sheetId="364" r:id="rId36"/>
    <sheet name="М,Б34.18" sheetId="365" r:id="rId37"/>
    <sheet name="Т3" sheetId="366" r:id="rId38"/>
    <sheet name="Т4" sheetId="367" r:id="rId39"/>
    <sheet name="Т10" sheetId="368" r:id="rId40"/>
    <sheet name="Т13" sheetId="312" r:id="rId41"/>
    <sheet name="Т15" sheetId="369" r:id="rId42"/>
    <sheet name="Тр17.1" sheetId="370" r:id="rId43"/>
    <sheet name="Тр17.2" sheetId="371" r:id="rId44"/>
    <sheet name="Т18" sheetId="372" r:id="rId45"/>
    <sheet name="Т21" sheetId="373" r:id="rId46"/>
    <sheet name="Т23" sheetId="374" r:id="rId47"/>
    <sheet name="Т27" sheetId="375" r:id="rId48"/>
    <sheet name="Пл.100" sheetId="376" r:id="rId49"/>
    <sheet name="Пл177" sheetId="377" r:id="rId50"/>
    <sheet name="Пл179а" sheetId="378" r:id="rId51"/>
    <sheet name="Пл.181" sheetId="379" r:id="rId52"/>
    <sheet name="Пл.181а" sheetId="380" r:id="rId53"/>
    <sheet name="Пл187" sheetId="381" r:id="rId54"/>
    <sheet name="Пл.191" sheetId="382" r:id="rId55"/>
    <sheet name="ВЛКСМ14" sheetId="383" r:id="rId56"/>
    <sheet name="ВЛКСМ16" sheetId="384" r:id="rId57"/>
    <sheet name="отчет" sheetId="331" r:id="rId58"/>
    <sheet name="Лист57" sheetId="385" r:id="rId5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304" l="1"/>
  <c r="D70" i="304"/>
  <c r="F16" i="385"/>
  <c r="D68" i="342"/>
  <c r="D66" i="342"/>
  <c r="F7" i="385"/>
  <c r="F38" i="385"/>
  <c r="D67" i="333"/>
  <c r="D54" i="333"/>
  <c r="D49" i="333"/>
  <c r="D38" i="333"/>
  <c r="D69" i="333"/>
  <c r="E64" i="385" l="1"/>
  <c r="D64" i="385"/>
  <c r="D59" i="312" l="1"/>
  <c r="D49" i="312"/>
  <c r="D38" i="312"/>
  <c r="D34" i="312"/>
  <c r="D31" i="312"/>
  <c r="D28" i="312"/>
  <c r="D24" i="312"/>
  <c r="D16" i="312"/>
  <c r="D58" i="312" s="1"/>
  <c r="D61" i="312" s="1"/>
  <c r="D73" i="304"/>
  <c r="D54" i="297"/>
  <c r="D46" i="297"/>
  <c r="D41" i="297"/>
  <c r="D32" i="297"/>
  <c r="D28" i="297"/>
  <c r="D25" i="297"/>
  <c r="D23" i="297"/>
  <c r="D14" i="297"/>
  <c r="D15" i="297" s="1"/>
  <c r="D62" i="345"/>
  <c r="D55" i="297" l="1"/>
  <c r="D56" i="297" s="1"/>
  <c r="D58" i="297" s="1"/>
  <c r="D26" i="378"/>
  <c r="D64" i="376"/>
  <c r="D55" i="384" l="1"/>
  <c r="D47" i="384"/>
  <c r="D36" i="384"/>
  <c r="D32" i="384"/>
  <c r="D29" i="384"/>
  <c r="D26" i="384"/>
  <c r="D22" i="384"/>
  <c r="D15" i="384"/>
  <c r="D63" i="383"/>
  <c r="D53" i="383"/>
  <c r="D48" i="383"/>
  <c r="D37" i="383"/>
  <c r="D33" i="383"/>
  <c r="D30" i="383"/>
  <c r="D27" i="383"/>
  <c r="D23" i="383"/>
  <c r="D14" i="383"/>
  <c r="D15" i="383" s="1"/>
  <c r="D49" i="382"/>
  <c r="D38" i="382"/>
  <c r="D34" i="382"/>
  <c r="D31" i="382"/>
  <c r="D28" i="382"/>
  <c r="D24" i="382"/>
  <c r="D15" i="382"/>
  <c r="D16" i="382" s="1"/>
  <c r="D57" i="381"/>
  <c r="D49" i="381"/>
  <c r="D38" i="381"/>
  <c r="D34" i="381"/>
  <c r="D31" i="381"/>
  <c r="D28" i="381"/>
  <c r="D24" i="381"/>
  <c r="D14" i="381"/>
  <c r="D16" i="381" s="1"/>
  <c r="D64" i="380"/>
  <c r="D54" i="380"/>
  <c r="D49" i="380"/>
  <c r="D38" i="380"/>
  <c r="D34" i="380"/>
  <c r="D31" i="380"/>
  <c r="D28" i="380"/>
  <c r="D24" i="380"/>
  <c r="D16" i="380"/>
  <c r="D15" i="380"/>
  <c r="D57" i="379"/>
  <c r="D49" i="379"/>
  <c r="D38" i="379"/>
  <c r="D34" i="379"/>
  <c r="D31" i="379"/>
  <c r="D28" i="379"/>
  <c r="D24" i="379"/>
  <c r="D16" i="379"/>
  <c r="D14" i="379"/>
  <c r="D41" i="378"/>
  <c r="D49" i="378"/>
  <c r="D38" i="378"/>
  <c r="D34" i="378"/>
  <c r="D31" i="378"/>
  <c r="D28" i="378"/>
  <c r="D24" i="378"/>
  <c r="D16" i="378"/>
  <c r="D15" i="378"/>
  <c r="D63" i="377"/>
  <c r="D25" i="377"/>
  <c r="D24" i="377" s="1"/>
  <c r="D54" i="377"/>
  <c r="D49" i="377"/>
  <c r="D38" i="377"/>
  <c r="D34" i="377"/>
  <c r="D31" i="377"/>
  <c r="D28" i="377"/>
  <c r="J24" i="377"/>
  <c r="L24" i="377" s="1"/>
  <c r="D16" i="377"/>
  <c r="D15" i="377"/>
  <c r="D66" i="376"/>
  <c r="D54" i="376"/>
  <c r="D49" i="376"/>
  <c r="D39" i="376"/>
  <c r="D35" i="376"/>
  <c r="D32" i="376"/>
  <c r="D29" i="376"/>
  <c r="D25" i="376"/>
  <c r="D16" i="376"/>
  <c r="D14" i="376"/>
  <c r="D62" i="375"/>
  <c r="D25" i="375"/>
  <c r="D26" i="374"/>
  <c r="D62" i="374"/>
  <c r="D52" i="375"/>
  <c r="D47" i="375"/>
  <c r="D37" i="375"/>
  <c r="D33" i="375"/>
  <c r="D30" i="375"/>
  <c r="D27" i="375"/>
  <c r="D23" i="375"/>
  <c r="D15" i="375"/>
  <c r="D14" i="375"/>
  <c r="D58" i="373"/>
  <c r="D53" i="374"/>
  <c r="D48" i="374"/>
  <c r="D38" i="374"/>
  <c r="D34" i="374"/>
  <c r="D31" i="374"/>
  <c r="D28" i="374"/>
  <c r="D24" i="374"/>
  <c r="D14" i="374"/>
  <c r="D16" i="374" s="1"/>
  <c r="D63" i="374" s="1"/>
  <c r="D56" i="373"/>
  <c r="D24" i="373"/>
  <c r="D25" i="373"/>
  <c r="D48" i="373"/>
  <c r="D37" i="373"/>
  <c r="D33" i="373"/>
  <c r="D30" i="373"/>
  <c r="D27" i="373"/>
  <c r="D15" i="373"/>
  <c r="D14" i="373"/>
  <c r="D56" i="372"/>
  <c r="D24" i="372"/>
  <c r="D48" i="372"/>
  <c r="D37" i="372"/>
  <c r="D33" i="372"/>
  <c r="D30" i="372"/>
  <c r="D27" i="372"/>
  <c r="D23" i="372"/>
  <c r="D14" i="372"/>
  <c r="D15" i="372" s="1"/>
  <c r="D61" i="371"/>
  <c r="D25" i="371"/>
  <c r="D52" i="371"/>
  <c r="D47" i="371"/>
  <c r="D37" i="371"/>
  <c r="D33" i="371"/>
  <c r="D30" i="371"/>
  <c r="D27" i="371"/>
  <c r="D23" i="371"/>
  <c r="D14" i="371"/>
  <c r="D15" i="371" s="1"/>
  <c r="D63" i="370"/>
  <c r="D62" i="370"/>
  <c r="D53" i="370"/>
  <c r="D48" i="370"/>
  <c r="D38" i="370"/>
  <c r="D34" i="370"/>
  <c r="D31" i="370"/>
  <c r="D28" i="370"/>
  <c r="D24" i="370"/>
  <c r="D16" i="370"/>
  <c r="D14" i="370"/>
  <c r="D56" i="369"/>
  <c r="D48" i="369"/>
  <c r="D37" i="369"/>
  <c r="D33" i="369"/>
  <c r="D30" i="369"/>
  <c r="D27" i="369"/>
  <c r="D23" i="369"/>
  <c r="D15" i="369"/>
  <c r="D57" i="369" s="1"/>
  <c r="D14" i="369"/>
  <c r="D58" i="368"/>
  <c r="D25" i="368"/>
  <c r="D48" i="368"/>
  <c r="D37" i="368"/>
  <c r="D33" i="368"/>
  <c r="D30" i="368"/>
  <c r="D27" i="368"/>
  <c r="D23" i="368"/>
  <c r="D14" i="368"/>
  <c r="D15" i="368" s="1"/>
  <c r="D48" i="367"/>
  <c r="D37" i="367"/>
  <c r="D33" i="367"/>
  <c r="D30" i="367"/>
  <c r="D27" i="367"/>
  <c r="D23" i="367"/>
  <c r="D14" i="367"/>
  <c r="D15" i="367" s="1"/>
  <c r="D54" i="366"/>
  <c r="D25" i="366"/>
  <c r="D23" i="366" s="1"/>
  <c r="D46" i="366"/>
  <c r="D37" i="366"/>
  <c r="D33" i="366"/>
  <c r="D30" i="366"/>
  <c r="D27" i="366"/>
  <c r="D15" i="366"/>
  <c r="D47" i="365"/>
  <c r="D42" i="365"/>
  <c r="D32" i="365"/>
  <c r="D28" i="365"/>
  <c r="D25" i="365"/>
  <c r="D23" i="365"/>
  <c r="D16" i="365"/>
  <c r="C25" i="364"/>
  <c r="C23" i="364" s="1"/>
  <c r="C52" i="364"/>
  <c r="C47" i="364"/>
  <c r="C37" i="364"/>
  <c r="C33" i="364"/>
  <c r="C30" i="364"/>
  <c r="C27" i="364"/>
  <c r="C13" i="364"/>
  <c r="C15" i="364" s="1"/>
  <c r="D57" i="363"/>
  <c r="D49" i="363"/>
  <c r="D38" i="363"/>
  <c r="D34" i="363"/>
  <c r="D31" i="363"/>
  <c r="D28" i="363"/>
  <c r="D24" i="363"/>
  <c r="D14" i="363"/>
  <c r="D16" i="363" s="1"/>
  <c r="D52" i="362"/>
  <c r="D47" i="362"/>
  <c r="D37" i="362"/>
  <c r="D33" i="362"/>
  <c r="D30" i="362"/>
  <c r="D27" i="362"/>
  <c r="D23" i="362"/>
  <c r="D14" i="362"/>
  <c r="D15" i="362" s="1"/>
  <c r="D56" i="384" l="1"/>
  <c r="D57" i="384" s="1"/>
  <c r="D58" i="384" s="1"/>
  <c r="D64" i="383"/>
  <c r="D65" i="383" s="1"/>
  <c r="D67" i="383" s="1"/>
  <c r="D58" i="382"/>
  <c r="D59" i="382" s="1"/>
  <c r="D61" i="382" s="1"/>
  <c r="D58" i="381"/>
  <c r="D59" i="381" s="1"/>
  <c r="D61" i="381" s="1"/>
  <c r="D65" i="380"/>
  <c r="D66" i="380" s="1"/>
  <c r="D68" i="380" s="1"/>
  <c r="D58" i="379"/>
  <c r="D59" i="379" s="1"/>
  <c r="D61" i="379" s="1"/>
  <c r="D59" i="378"/>
  <c r="D60" i="378" s="1"/>
  <c r="D62" i="378" s="1"/>
  <c r="H25" i="377"/>
  <c r="J25" i="377" s="1"/>
  <c r="D64" i="377"/>
  <c r="D65" i="377" s="1"/>
  <c r="D67" i="377" s="1"/>
  <c r="D65" i="376"/>
  <c r="D68" i="376" s="1"/>
  <c r="D63" i="375"/>
  <c r="D64" i="375" s="1"/>
  <c r="D66" i="375" s="1"/>
  <c r="D64" i="374"/>
  <c r="D67" i="374" s="1"/>
  <c r="D23" i="373"/>
  <c r="D57" i="373"/>
  <c r="D60" i="373" s="1"/>
  <c r="D57" i="372"/>
  <c r="D58" i="372" s="1"/>
  <c r="D60" i="372" s="1"/>
  <c r="D63" i="371"/>
  <c r="D64" i="371" s="1"/>
  <c r="D66" i="371" s="1"/>
  <c r="D64" i="370"/>
  <c r="D65" i="370" s="1"/>
  <c r="D67" i="370" s="1"/>
  <c r="D58" i="369"/>
  <c r="D60" i="369" s="1"/>
  <c r="D60" i="368"/>
  <c r="D57" i="368"/>
  <c r="D60" i="367"/>
  <c r="D57" i="367"/>
  <c r="D58" i="367" s="1"/>
  <c r="D55" i="366"/>
  <c r="D56" i="366" s="1"/>
  <c r="D57" i="366" s="1"/>
  <c r="D57" i="365"/>
  <c r="D58" i="365" s="1"/>
  <c r="D61" i="365" s="1"/>
  <c r="C66" i="364"/>
  <c r="C61" i="364"/>
  <c r="C62" i="364" s="1"/>
  <c r="D58" i="363"/>
  <c r="D59" i="363" s="1"/>
  <c r="D61" i="363" s="1"/>
  <c r="D63" i="362"/>
  <c r="D64" i="362" s="1"/>
  <c r="D66" i="362" s="1"/>
  <c r="D26" i="304"/>
  <c r="D25" i="304"/>
  <c r="D56" i="304"/>
  <c r="D49" i="304"/>
  <c r="D38" i="304"/>
  <c r="D34" i="304"/>
  <c r="D31" i="304"/>
  <c r="D28" i="304"/>
  <c r="D24" i="304"/>
  <c r="D16" i="304"/>
  <c r="D64" i="361"/>
  <c r="D25" i="361"/>
  <c r="D26" i="361"/>
  <c r="D24" i="361" s="1"/>
  <c r="D58" i="361"/>
  <c r="D54" i="361" s="1"/>
  <c r="D49" i="361"/>
  <c r="D38" i="361"/>
  <c r="D34" i="361"/>
  <c r="D31" i="361"/>
  <c r="D28" i="361"/>
  <c r="D14" i="361"/>
  <c r="D16" i="361" s="1"/>
  <c r="D53" i="360"/>
  <c r="D48" i="360"/>
  <c r="D37" i="360"/>
  <c r="D33" i="360"/>
  <c r="D30" i="360"/>
  <c r="D27" i="360"/>
  <c r="D23" i="360"/>
  <c r="D14" i="360"/>
  <c r="D15" i="360" s="1"/>
  <c r="D63" i="359"/>
  <c r="D26" i="359"/>
  <c r="D25" i="359"/>
  <c r="D54" i="359"/>
  <c r="D49" i="359"/>
  <c r="D38" i="359"/>
  <c r="D34" i="359"/>
  <c r="D31" i="359"/>
  <c r="D28" i="359"/>
  <c r="D24" i="359"/>
  <c r="D14" i="359"/>
  <c r="D16" i="359" s="1"/>
  <c r="D56" i="358"/>
  <c r="D24" i="358"/>
  <c r="D25" i="358"/>
  <c r="D48" i="358"/>
  <c r="D37" i="358"/>
  <c r="D33" i="358"/>
  <c r="D30" i="358"/>
  <c r="D27" i="358"/>
  <c r="D23" i="358"/>
  <c r="D14" i="358"/>
  <c r="D15" i="358" s="1"/>
  <c r="D54" i="357"/>
  <c r="D49" i="357"/>
  <c r="D38" i="357"/>
  <c r="D34" i="357"/>
  <c r="D31" i="357"/>
  <c r="D28" i="357"/>
  <c r="D24" i="357"/>
  <c r="D14" i="357"/>
  <c r="D16" i="357" s="1"/>
  <c r="D64" i="356"/>
  <c r="D26" i="356"/>
  <c r="D54" i="356"/>
  <c r="D49" i="356"/>
  <c r="D38" i="356"/>
  <c r="D34" i="356"/>
  <c r="D31" i="356"/>
  <c r="D28" i="356"/>
  <c r="D24" i="356"/>
  <c r="D14" i="356"/>
  <c r="D16" i="356" s="1"/>
  <c r="D25" i="355"/>
  <c r="D52" i="355"/>
  <c r="D47" i="355"/>
  <c r="D38" i="355"/>
  <c r="D34" i="355"/>
  <c r="D31" i="355"/>
  <c r="D28" i="355"/>
  <c r="D24" i="355"/>
  <c r="D15" i="355"/>
  <c r="D16" i="355" s="1"/>
  <c r="D64" i="354"/>
  <c r="D26" i="354"/>
  <c r="D24" i="354" s="1"/>
  <c r="D54" i="354"/>
  <c r="D49" i="354"/>
  <c r="D38" i="354"/>
  <c r="D34" i="354"/>
  <c r="D31" i="354"/>
  <c r="D28" i="354"/>
  <c r="D16" i="354"/>
  <c r="D15" i="354"/>
  <c r="D10" i="354"/>
  <c r="D54" i="353"/>
  <c r="D49" i="353"/>
  <c r="D38" i="353"/>
  <c r="D34" i="353"/>
  <c r="D31" i="353"/>
  <c r="D28" i="353"/>
  <c r="D24" i="353"/>
  <c r="D14" i="353"/>
  <c r="D16" i="353" s="1"/>
  <c r="D53" i="352"/>
  <c r="D48" i="352"/>
  <c r="D38" i="352"/>
  <c r="D34" i="352"/>
  <c r="D31" i="352"/>
  <c r="D28" i="352"/>
  <c r="D24" i="352"/>
  <c r="D16" i="352"/>
  <c r="D14" i="352"/>
  <c r="D57" i="351"/>
  <c r="D26" i="351"/>
  <c r="D24" i="351" s="1"/>
  <c r="D25" i="351"/>
  <c r="D49" i="351"/>
  <c r="D38" i="351"/>
  <c r="D34" i="351"/>
  <c r="D31" i="351"/>
  <c r="D28" i="351"/>
  <c r="D14" i="351"/>
  <c r="D16" i="351" s="1"/>
  <c r="D64" i="350"/>
  <c r="D26" i="350"/>
  <c r="D25" i="350"/>
  <c r="D24" i="350" s="1"/>
  <c r="D63" i="350"/>
  <c r="D54" i="350"/>
  <c r="D49" i="350"/>
  <c r="D38" i="350"/>
  <c r="D34" i="350"/>
  <c r="D31" i="350"/>
  <c r="D28" i="350"/>
  <c r="D16" i="350"/>
  <c r="D57" i="349"/>
  <c r="D50" i="349"/>
  <c r="D39" i="349"/>
  <c r="D35" i="349"/>
  <c r="D32" i="349"/>
  <c r="D29" i="349"/>
  <c r="D25" i="349"/>
  <c r="D16" i="349"/>
  <c r="D17" i="349" s="1"/>
  <c r="D64" i="348"/>
  <c r="D26" i="348"/>
  <c r="D25" i="348"/>
  <c r="D65" i="348"/>
  <c r="D54" i="348"/>
  <c r="D49" i="348"/>
  <c r="D38" i="348"/>
  <c r="D34" i="348"/>
  <c r="D31" i="348"/>
  <c r="D28" i="348"/>
  <c r="C24" i="348"/>
  <c r="D16" i="348"/>
  <c r="D14" i="348"/>
  <c r="D57" i="347"/>
  <c r="D25" i="347"/>
  <c r="D56" i="347"/>
  <c r="D49" i="347"/>
  <c r="D38" i="347"/>
  <c r="D34" i="347"/>
  <c r="D31" i="347"/>
  <c r="D28" i="347"/>
  <c r="D24" i="347"/>
  <c r="D14" i="347"/>
  <c r="D16" i="347" s="1"/>
  <c r="D56" i="346"/>
  <c r="D55" i="346"/>
  <c r="D25" i="346"/>
  <c r="D48" i="346"/>
  <c r="D37" i="346"/>
  <c r="D33" i="346"/>
  <c r="D30" i="346"/>
  <c r="D27" i="346"/>
  <c r="D23" i="346"/>
  <c r="D14" i="346"/>
  <c r="D16" i="346" s="1"/>
  <c r="D58" i="345"/>
  <c r="D25" i="345"/>
  <c r="D26" i="345"/>
  <c r="D24" i="345" s="1"/>
  <c r="D49" i="345"/>
  <c r="D38" i="345"/>
  <c r="D34" i="345"/>
  <c r="C34" i="345"/>
  <c r="D31" i="345"/>
  <c r="D28" i="345"/>
  <c r="D16" i="345"/>
  <c r="D59" i="345" s="1"/>
  <c r="D14" i="345"/>
  <c r="D63" i="344"/>
  <c r="D55" i="344"/>
  <c r="D50" i="344"/>
  <c r="D39" i="344"/>
  <c r="D35" i="344"/>
  <c r="D32" i="344"/>
  <c r="D29" i="344"/>
  <c r="D25" i="344"/>
  <c r="D16" i="344"/>
  <c r="D14" i="344"/>
  <c r="D49" i="343"/>
  <c r="D38" i="343"/>
  <c r="D34" i="343"/>
  <c r="D31" i="343"/>
  <c r="D28" i="343"/>
  <c r="D26" i="343"/>
  <c r="D24" i="343"/>
  <c r="D16" i="343"/>
  <c r="D14" i="343"/>
  <c r="D64" i="342"/>
  <c r="D54" i="342"/>
  <c r="D49" i="342"/>
  <c r="D38" i="342"/>
  <c r="D34" i="342"/>
  <c r="D31" i="342"/>
  <c r="D28" i="342"/>
  <c r="D24" i="342"/>
  <c r="D16" i="342"/>
  <c r="D65" i="342" s="1"/>
  <c r="D14" i="342"/>
  <c r="D65" i="341"/>
  <c r="D64" i="341"/>
  <c r="D26" i="341"/>
  <c r="D55" i="341"/>
  <c r="D50" i="341"/>
  <c r="D38" i="341"/>
  <c r="D34" i="341"/>
  <c r="D31" i="341"/>
  <c r="D28" i="341"/>
  <c r="D24" i="341"/>
  <c r="D16" i="341"/>
  <c r="D56" i="340"/>
  <c r="D49" i="340"/>
  <c r="D38" i="340"/>
  <c r="D34" i="340"/>
  <c r="D31" i="340"/>
  <c r="D28" i="340"/>
  <c r="D24" i="340"/>
  <c r="D16" i="340"/>
  <c r="D14" i="340"/>
  <c r="D25" i="339"/>
  <c r="D24" i="339" s="1"/>
  <c r="D62" i="339"/>
  <c r="D50" i="339"/>
  <c r="D45" i="339"/>
  <c r="D33" i="339"/>
  <c r="D29" i="339"/>
  <c r="D26" i="339"/>
  <c r="D15" i="339"/>
  <c r="D63" i="339" s="1"/>
  <c r="D24" i="338"/>
  <c r="D25" i="338"/>
  <c r="D46" i="338"/>
  <c r="D41" i="338"/>
  <c r="D32" i="338"/>
  <c r="D28" i="338"/>
  <c r="D23" i="338"/>
  <c r="D15" i="338"/>
  <c r="D58" i="338" s="1"/>
  <c r="D13" i="338"/>
  <c r="D54" i="337"/>
  <c r="D47" i="337"/>
  <c r="D36" i="337"/>
  <c r="D32" i="337"/>
  <c r="D29" i="337"/>
  <c r="D26" i="337"/>
  <c r="D22" i="337"/>
  <c r="D15" i="337"/>
  <c r="D14" i="337"/>
  <c r="D26" i="336"/>
  <c r="D25" i="336"/>
  <c r="D24" i="336" s="1"/>
  <c r="D54" i="336"/>
  <c r="D49" i="336"/>
  <c r="D38" i="336"/>
  <c r="D34" i="336"/>
  <c r="D31" i="336"/>
  <c r="D28" i="336"/>
  <c r="D16" i="336"/>
  <c r="D15" i="336"/>
  <c r="D57" i="332"/>
  <c r="D59" i="335"/>
  <c r="D53" i="335"/>
  <c r="D42" i="335"/>
  <c r="D38" i="335"/>
  <c r="D35" i="335"/>
  <c r="D32" i="335"/>
  <c r="D28" i="335"/>
  <c r="D18" i="335"/>
  <c r="D19" i="335" s="1"/>
  <c r="D9" i="335"/>
  <c r="D65" i="334"/>
  <c r="D55" i="334"/>
  <c r="D52" i="334"/>
  <c r="D49" i="334"/>
  <c r="D38" i="334"/>
  <c r="D34" i="334"/>
  <c r="D31" i="334"/>
  <c r="D28" i="334"/>
  <c r="D24" i="334"/>
  <c r="D14" i="334"/>
  <c r="D13" i="334"/>
  <c r="D16" i="334" s="1"/>
  <c r="D10" i="334"/>
  <c r="D34" i="333"/>
  <c r="D31" i="333"/>
  <c r="D28" i="333"/>
  <c r="D24" i="333"/>
  <c r="D14" i="333"/>
  <c r="D16" i="333" s="1"/>
  <c r="D13" i="333"/>
  <c r="D10" i="333"/>
  <c r="D56" i="332"/>
  <c r="D48" i="332"/>
  <c r="D37" i="332"/>
  <c r="D33" i="332"/>
  <c r="D30" i="332"/>
  <c r="D27" i="332"/>
  <c r="D23" i="332"/>
  <c r="D15" i="332"/>
  <c r="D14" i="332"/>
  <c r="D68" i="304" l="1"/>
  <c r="D65" i="361"/>
  <c r="D66" i="361" s="1"/>
  <c r="D68" i="361" s="1"/>
  <c r="D64" i="360"/>
  <c r="D65" i="360" s="1"/>
  <c r="D67" i="360" s="1"/>
  <c r="D64" i="359"/>
  <c r="D65" i="359" s="1"/>
  <c r="D67" i="359" s="1"/>
  <c r="D57" i="358"/>
  <c r="D58" i="358" s="1"/>
  <c r="D60" i="358" s="1"/>
  <c r="D64" i="357"/>
  <c r="D65" i="357" s="1"/>
  <c r="D67" i="357" s="1"/>
  <c r="D65" i="356"/>
  <c r="D66" i="356" s="1"/>
  <c r="D68" i="356" s="1"/>
  <c r="D63" i="355"/>
  <c r="D64" i="355" s="1"/>
  <c r="D66" i="355" s="1"/>
  <c r="D65" i="354"/>
  <c r="D66" i="354" s="1"/>
  <c r="D68" i="354" s="1"/>
  <c r="D64" i="353"/>
  <c r="D65" i="353" s="1"/>
  <c r="D67" i="353" s="1"/>
  <c r="D64" i="352"/>
  <c r="D65" i="352" s="1"/>
  <c r="D67" i="352" s="1"/>
  <c r="D58" i="351"/>
  <c r="D59" i="351" s="1"/>
  <c r="D61" i="351" s="1"/>
  <c r="D65" i="350"/>
  <c r="D66" i="350" s="1"/>
  <c r="D68" i="350" s="1"/>
  <c r="D59" i="349"/>
  <c r="D60" i="349" s="1"/>
  <c r="D62" i="349" s="1"/>
  <c r="D24" i="348"/>
  <c r="D66" i="348"/>
  <c r="D68" i="348" s="1"/>
  <c r="D58" i="347"/>
  <c r="D59" i="347" s="1"/>
  <c r="D61" i="347" s="1"/>
  <c r="D57" i="346"/>
  <c r="D58" i="346" s="1"/>
  <c r="D59" i="346" s="1"/>
  <c r="D60" i="345"/>
  <c r="D64" i="344"/>
  <c r="D65" i="344" s="1"/>
  <c r="D67" i="344" s="1"/>
  <c r="D59" i="343"/>
  <c r="D60" i="343" s="1"/>
  <c r="D62" i="343" s="1"/>
  <c r="D66" i="341"/>
  <c r="D67" i="341" s="1"/>
  <c r="D69" i="341" s="1"/>
  <c r="D58" i="340"/>
  <c r="D59" i="340" s="1"/>
  <c r="D60" i="340" s="1"/>
  <c r="D64" i="339"/>
  <c r="D66" i="339" s="1"/>
  <c r="D59" i="338"/>
  <c r="D61" i="338"/>
  <c r="D55" i="337"/>
  <c r="D56" i="337" s="1"/>
  <c r="D59" i="337" s="1"/>
  <c r="D69" i="336"/>
  <c r="D65" i="336"/>
  <c r="D66" i="336" s="1"/>
  <c r="D70" i="335"/>
  <c r="D71" i="335" s="1"/>
  <c r="D74" i="335" s="1"/>
  <c r="D66" i="334"/>
  <c r="D67" i="334"/>
  <c r="D69" i="334" s="1"/>
  <c r="D66" i="333"/>
  <c r="D58" i="332"/>
  <c r="D59" i="332" s="1"/>
  <c r="D63" i="332" s="1"/>
  <c r="D61" i="331"/>
  <c r="C61" i="331"/>
  <c r="D60" i="303" l="1"/>
  <c r="D49" i="303"/>
  <c r="D44" i="303"/>
  <c r="D33" i="303"/>
  <c r="D29" i="303"/>
  <c r="D26" i="303"/>
  <c r="D24" i="303"/>
  <c r="D16" i="303"/>
  <c r="D58" i="303" s="1"/>
  <c r="D59" i="303" s="1"/>
</calcChain>
</file>

<file path=xl/comments1.xml><?xml version="1.0" encoding="utf-8"?>
<comments xmlns="http://schemas.openxmlformats.org/spreadsheetml/2006/main">
  <authors>
    <author>Автор</author>
  </authors>
  <commentList>
    <comment ref="A63" authorId="0">
      <text>
        <r>
          <rPr>
            <b/>
            <sz val="9"/>
            <rFont val="Tahoma"/>
            <charset val="1"/>
          </rPr>
          <t xml:space="preserve">Автор:
</t>
        </r>
      </text>
    </comment>
    <comment ref="A64" authorId="0">
      <text>
        <r>
          <rPr>
            <b/>
            <sz val="9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<sst xmlns="http://schemas.openxmlformats.org/spreadsheetml/2006/main" count="5688" uniqueCount="341">
  <si>
    <t>ОТЧЕТ</t>
  </si>
  <si>
    <t xml:space="preserve"> расходов по содержанию и текущему ремонту  жилого фонда по ООО"ДУ-8"</t>
  </si>
  <si>
    <t>Обслуживаемая площадь</t>
  </si>
  <si>
    <t>м2</t>
  </si>
  <si>
    <t>Оплачиваемая площадь</t>
  </si>
  <si>
    <t>Начислено квартплаты</t>
  </si>
  <si>
    <t>руб.</t>
  </si>
  <si>
    <t>ДОХОДЫ</t>
  </si>
  <si>
    <t>Оплата за содержание и тек.ремонт</t>
  </si>
  <si>
    <t>Прочие доходы</t>
  </si>
  <si>
    <t>Итого доходов:</t>
  </si>
  <si>
    <t>РАСХОДЫ</t>
  </si>
  <si>
    <t>№</t>
  </si>
  <si>
    <t>факт за</t>
  </si>
  <si>
    <t>Примечание</t>
  </si>
  <si>
    <t>п.п.</t>
  </si>
  <si>
    <t>Виды работ</t>
  </si>
  <si>
    <t>год</t>
  </si>
  <si>
    <t>I</t>
  </si>
  <si>
    <t>ПЕРЕЧЕНЬ РАБОТ ПО СОДЕРЖАНИЮ ЖИЛОГО ДОМА</t>
  </si>
  <si>
    <t>А. Работы, выполняемые по обслуживанию и содержанию  жилого дома,согласно договора (сантехнические)</t>
  </si>
  <si>
    <t>1. Устранение незначительных неисправностей в системах водопровода и канализации до 1 метра,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вытяжек),Технические обходы и осмотры.</t>
  </si>
  <si>
    <t>2. Устранение незначительных неисправностей в системах центрального отопления и горячего водоснабжения до 1 метра,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 воздухосборников, вантозов, компенсаторов, регулирующих кранов, вентилей, задвижек; очистка от накипи запорной арматуры и др.).Технический  осмотр и обход.</t>
  </si>
  <si>
    <t>3. Расконсервирование и консервация системы отопления.</t>
  </si>
  <si>
    <t>4.Подготовка МКД к сезонной эксплуатации</t>
  </si>
  <si>
    <t>1. Промывка систем отопления</t>
  </si>
  <si>
    <t>2.Гидравлическое испытание системы ЦО</t>
  </si>
  <si>
    <t>II</t>
  </si>
  <si>
    <t>Б. Работы, выполняемые по обслуживанию и содержанию  жилого дома,согласно договора (Электрика)</t>
  </si>
  <si>
    <t>1.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др.).Технический  осмотр и  обход.</t>
  </si>
  <si>
    <t>2.Проверка профилактических испытаний электрооборудования в доме (договор)</t>
  </si>
  <si>
    <t>III</t>
  </si>
  <si>
    <t>В. Работы, выполняемые при подготовке жилых зданий к эксплуатации в весенне-летний период</t>
  </si>
  <si>
    <t>1.Работы по устранению мелких неисправностей конструктивных элементов при проведении сезонных технических осмотров</t>
  </si>
  <si>
    <t>2. Прочистка и укрепление водосточных труб, колен и воронок.Осмотр кровли.</t>
  </si>
  <si>
    <t>3. Проверка наличия тяги в дымовентиляционных каналах(договор)</t>
  </si>
  <si>
    <t>IV</t>
  </si>
  <si>
    <t>Д. Договорные обязательства</t>
  </si>
  <si>
    <t>1.Обработка от грызунов  (дератизация)</t>
  </si>
  <si>
    <t xml:space="preserve">2.Обработка от комаров , насекомых (дезинсекция) </t>
  </si>
  <si>
    <t>3.Аварийное обслуживание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</si>
  <si>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</si>
  <si>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4.Поверка приборов учета</t>
  </si>
  <si>
    <t>5.Транспортные расходы</t>
  </si>
  <si>
    <t>6.Техническое обслуживание лифтового оборудования</t>
  </si>
  <si>
    <t>7.Техническое обслуживание газового оборудования</t>
  </si>
  <si>
    <t>V</t>
  </si>
  <si>
    <t>Г.Работы по санитарному содержанию придомовой территории и  помещений общего домового имущества</t>
  </si>
  <si>
    <t>1.Уборка придомовой</t>
  </si>
  <si>
    <t>территории входящей в общее домовое имущество</t>
  </si>
  <si>
    <t>Подметание земельного участка, очистка урн от мусора ,уборка мусора с газона.</t>
  </si>
  <si>
    <t>заготовка песка ( во время гололеда)</t>
  </si>
  <si>
    <t>выкашивание травы 2 раза в год, уборка травы с газонов.</t>
  </si>
  <si>
    <t xml:space="preserve">2.Уборка помещений, входящих в </t>
  </si>
  <si>
    <t xml:space="preserve"> в общее домовое имущество</t>
  </si>
  <si>
    <t>Подметание лестничных площадок и маршей</t>
  </si>
  <si>
    <t>Мытье лестничных площадок и маршей</t>
  </si>
  <si>
    <t>Мытье кабин лифта</t>
  </si>
  <si>
    <t>Подготовка уборочного специнвентаря</t>
  </si>
  <si>
    <t>Уборка мусоропровода</t>
  </si>
  <si>
    <t>VI</t>
  </si>
  <si>
    <t>Работы по обеспечению требований пожарной безопасности-осмотры и обеспечение работоспособности состояния гидрантов,пожарных лестниц.</t>
  </si>
  <si>
    <t>VII</t>
  </si>
  <si>
    <t>Работы выполняются в соответствии с принятым  решением собственников помещений на общем собрании.</t>
  </si>
  <si>
    <t>VIII</t>
  </si>
  <si>
    <t>Услуги управления по предоставлению коммунальных ресурсов,съем показаний,обработка данных,начисление, сбор платежей.</t>
  </si>
  <si>
    <t>IX</t>
  </si>
  <si>
    <t>Услуги управления по эксплуатации здания (ведениел/с соственников,бухучет,юридическое сопровождение,общее управление, экономические расчеты и анализ)</t>
  </si>
  <si>
    <t>X</t>
  </si>
  <si>
    <t>Налог 6%</t>
  </si>
  <si>
    <t>Итого</t>
  </si>
  <si>
    <t xml:space="preserve"> Остаток средств</t>
  </si>
  <si>
    <t>Ген.директор ООО"ДУ-8"</t>
  </si>
  <si>
    <t>Галиулин Д.Г.</t>
  </si>
  <si>
    <t>Гл.бухгалтер</t>
  </si>
  <si>
    <t>долг за кватриросьемщиками на 01.01.2019г.</t>
  </si>
  <si>
    <t>Остаток средств</t>
  </si>
  <si>
    <t>2018 год</t>
  </si>
  <si>
    <t>6.Техническое освидет. лифтов (оценка)</t>
  </si>
  <si>
    <t>благоустройство и кронирование деревьев</t>
  </si>
  <si>
    <t xml:space="preserve">Остаток средств на содержание </t>
  </si>
  <si>
    <t>Остаток средств на текущий ремонт</t>
  </si>
  <si>
    <t xml:space="preserve">Остаток средств за ком.услуги </t>
  </si>
  <si>
    <t>Общий остаток средств</t>
  </si>
  <si>
    <t xml:space="preserve">Оплата за содержание </t>
  </si>
  <si>
    <t>Ед.</t>
  </si>
  <si>
    <t>примечание</t>
  </si>
  <si>
    <t>изм.</t>
  </si>
  <si>
    <t>ПЕРЕЧЕНЬ РАБОТ ПО СОДЕРЖАНИЮ ЖИЛЫХ ДОМОВ</t>
  </si>
  <si>
    <t>2. Прочистка и укрепление водосточных труб, колен и воронок,.Осмотр кровли.</t>
  </si>
  <si>
    <t>4.Техническое обслуживание теплоузлов</t>
  </si>
  <si>
    <t>5.Поверка приборов учета</t>
  </si>
  <si>
    <t>6.Транспортные расходы</t>
  </si>
  <si>
    <t>7.Техническое обслуживание лифтового  оборудования</t>
  </si>
  <si>
    <t>2.Содержание детской площадки</t>
  </si>
  <si>
    <t xml:space="preserve">3.Уборка помещений, входящих в </t>
  </si>
  <si>
    <t>Мытье коридоров</t>
  </si>
  <si>
    <t>Подготовка уборочного специнвентаря.</t>
  </si>
  <si>
    <t>Услуги управления по эксплуатации здания (ведение л/с собственников,бухучет,юридическое сопровождение,общее управление, экономические расчеты и анализ)</t>
  </si>
  <si>
    <t>Остаток средств по содержанию</t>
  </si>
  <si>
    <t>Ед.изм.</t>
  </si>
  <si>
    <t>факт за год</t>
  </si>
  <si>
    <t>заготовка песка ( в зимний период)</t>
  </si>
  <si>
    <t>Кронирование и обрезка деревьев</t>
  </si>
  <si>
    <t>Всего:  остаток средств</t>
  </si>
  <si>
    <t xml:space="preserve">   расходов по содержанию и текущему ремонту  жилого фонда </t>
  </si>
  <si>
    <t>Услуги кап.ремонта</t>
  </si>
  <si>
    <t>факт</t>
  </si>
  <si>
    <t>за год</t>
  </si>
  <si>
    <t>4.Техническое обслуживание лифтов</t>
  </si>
  <si>
    <t>Общий остаток</t>
  </si>
  <si>
    <t xml:space="preserve">   расходов по содержанию и текущему ремонту  жилого фонда по ООО"ДУ-8"</t>
  </si>
  <si>
    <t>м2.</t>
  </si>
  <si>
    <t>Оплата накопительной части</t>
  </si>
  <si>
    <t>факт  за</t>
  </si>
  <si>
    <t>Итого: содержание</t>
  </si>
  <si>
    <t xml:space="preserve">Остаток средств </t>
  </si>
  <si>
    <t xml:space="preserve">Тариф </t>
  </si>
  <si>
    <t xml:space="preserve"> (руб./м2)</t>
  </si>
  <si>
    <t>4.Транспортные расходы</t>
  </si>
  <si>
    <t>5.Техническое обслуживание газового оборудования</t>
  </si>
  <si>
    <t>Обслуживание внешних  сетей до границы балансовой принадлежности</t>
  </si>
  <si>
    <t>Услуги сторонних организаций (банк , почта)</t>
  </si>
  <si>
    <t xml:space="preserve">Остаток средств  </t>
  </si>
  <si>
    <t>Обслуживание лифтового оборудования(диспетчеризация,освидетельствование,страхование,ТО и АДО)</t>
  </si>
  <si>
    <t>ХI</t>
  </si>
  <si>
    <t>Обслуживание пожарной сигнализации</t>
  </si>
  <si>
    <t>XII</t>
  </si>
  <si>
    <t>XIII</t>
  </si>
  <si>
    <t>ИТОГО</t>
  </si>
  <si>
    <t xml:space="preserve"> расходов по содержанию и текущему ремонту  жилого фонда </t>
  </si>
  <si>
    <t>7.Прочие расходы</t>
  </si>
  <si>
    <t>специнвентарь</t>
  </si>
  <si>
    <t>расходов по содержанию и тек. ремонту жилого фонда по ООО"ДУ-8"</t>
  </si>
  <si>
    <t>4.Техническое обслуживание лифтового оборудования</t>
  </si>
  <si>
    <t>выкашивание травы , уборка травы с газонов.</t>
  </si>
  <si>
    <t>разница</t>
  </si>
  <si>
    <t>полуг.</t>
  </si>
  <si>
    <t xml:space="preserve">Ед. </t>
  </si>
  <si>
    <t>расходов по содержанию и текущему ремонту  жилого фонда по ООО"ДУ-8"</t>
  </si>
  <si>
    <t>3. Проверка наличия тяги в дымовентиляционных каналах (договор)</t>
  </si>
  <si>
    <t>1.Подметание земельного участка, очистка урн от мусора ,уборка мусора с газона.</t>
  </si>
  <si>
    <t>2.Заготовка песка</t>
  </si>
  <si>
    <t>3.Выкашивание травы 2 раза в год, уборка травы с газонов.</t>
  </si>
  <si>
    <t>1.Подметание лестничных площадок и маршей</t>
  </si>
  <si>
    <t>2.Мытье лестничных площадок и маршей</t>
  </si>
  <si>
    <t>3.Мытье кабин лифта</t>
  </si>
  <si>
    <t>4. Подготовка уборочного инвентаря</t>
  </si>
  <si>
    <t xml:space="preserve">   </t>
  </si>
  <si>
    <t>,</t>
  </si>
  <si>
    <t>Aакт за</t>
  </si>
  <si>
    <t>2. Прочистка и укрепление водосточных труб, колен и воронок,.Осмотр кровли,мелкий ремонт кровли,</t>
  </si>
  <si>
    <t>выкашивание травы 2 раза в год, уборка травы с газонов,обрезка деревьев и кустарников</t>
  </si>
  <si>
    <t>Услуги управления</t>
  </si>
  <si>
    <t xml:space="preserve">Общеэксплуатационные расходы </t>
  </si>
  <si>
    <t>Факт за</t>
  </si>
  <si>
    <t>Остаток средств МТС</t>
  </si>
  <si>
    <t>Доходы  МТС</t>
  </si>
  <si>
    <t>Подметание земельного участка ,уборка мусора с газона.</t>
  </si>
  <si>
    <t>благоустройство территории</t>
  </si>
  <si>
    <t>допработы</t>
  </si>
  <si>
    <t>допработы л/к</t>
  </si>
  <si>
    <t xml:space="preserve">  </t>
  </si>
  <si>
    <t>4.Техническое освидетельствование лифтов (оценка)</t>
  </si>
  <si>
    <t>выкашивание травы 2 раза в год, уборка травы с газонов,кронирование деревьев</t>
  </si>
  <si>
    <t>Текущий ремонт</t>
  </si>
  <si>
    <t xml:space="preserve"> Обслуживание лифтового оборудования</t>
  </si>
  <si>
    <t xml:space="preserve">          Подписи:</t>
  </si>
  <si>
    <t xml:space="preserve">2.Уборка помещений, входящих  </t>
  </si>
  <si>
    <t>3. Работы по обеспечению требований  пожарной безопасности</t>
  </si>
  <si>
    <t xml:space="preserve">  расходов по содержанию и текущему ремонту  жилого фонда по ООО"ДУ-8"</t>
  </si>
  <si>
    <t>6.Техническое обслуживание газового оборудования</t>
  </si>
  <si>
    <t>Уборка подвального помещения</t>
  </si>
  <si>
    <t>Всего остаток</t>
  </si>
  <si>
    <t xml:space="preserve">7.Техническое обслуживание лифтового оборудования </t>
  </si>
  <si>
    <t>измер.</t>
  </si>
  <si>
    <t xml:space="preserve"> </t>
  </si>
  <si>
    <t>за 2019 год  жилого дома по ул.Абрикосовая ,7</t>
  </si>
  <si>
    <t>з/пл</t>
  </si>
  <si>
    <t>за 2019 год  жилого дома по ул.Макаренко,30/1</t>
  </si>
  <si>
    <t>долг за квартиросъемщиками на 01.01.2020г.</t>
  </si>
  <si>
    <t>за 2019 год  жилого дома по ул.Вишневая ,10</t>
  </si>
  <si>
    <t>долг за кватриросьемщиками на 01.01.2020г.</t>
  </si>
  <si>
    <t>за 2019 год  жилого дома по ул.Абрикосовая ,18</t>
  </si>
  <si>
    <t>за 2019 год  жилого дома по ул.Абрикосовая ,23а</t>
  </si>
  <si>
    <t>за 2019 год  жилого дома по ул.Абрикосовая ,25</t>
  </si>
  <si>
    <t xml:space="preserve">     по ООО"ДУ-8"за 2019 год  жилого дома по ул.Вишневая ,4</t>
  </si>
  <si>
    <t>за 2019 год  жилого дома по ул.Вишневая ,10/7</t>
  </si>
  <si>
    <t>за 2019 год  жилого дома по ул.Вишневая ,12</t>
  </si>
  <si>
    <t>по ООО"ДУ-8"за 2019 год  жилого дома по ул.Вишневая ,16</t>
  </si>
  <si>
    <t>за 2019 год  жилого дома по ул.Вишневая ,17</t>
  </si>
  <si>
    <t>за 2019 год  жилого дома по ул.Вишневая ,19</t>
  </si>
  <si>
    <t>за 2019 год  жилого дома по ул.Вишневая ,21</t>
  </si>
  <si>
    <t>за 2019 год  жилого дома по ул.Вишневая ,22</t>
  </si>
  <si>
    <t>за 2019 год  жилого дома по ул.Вишневая ,23</t>
  </si>
  <si>
    <t>за 2019 год  жилого дома по ул.Вишневая ,24</t>
  </si>
  <si>
    <t>за 2019 год  жилого дома по ул.Вишневая ,25</t>
  </si>
  <si>
    <t>за 2019 год  жилого дома по ул.Вишневая ,26</t>
  </si>
  <si>
    <t>за 2019 год  жилого дома по ул.Вишневая ,27</t>
  </si>
  <si>
    <t>за 2019 год  жилого дома по ул.Вишневая ,28</t>
  </si>
  <si>
    <t>за 2019 год  жилого дома по ул.Вишневая ,30</t>
  </si>
  <si>
    <t>за 2019 год  жилого дома по ул.Вишневая ,31</t>
  </si>
  <si>
    <t>за 2019 год  жилого дома по ул.Вишневая ,32</t>
  </si>
  <si>
    <t>за 2019 год  жилого дома по ул.Вишневая ,34</t>
  </si>
  <si>
    <t>за  2019 год  жилого дома по ул.Вишневая ,36</t>
  </si>
  <si>
    <t>за 2019 год  жилого дома по ул.Макаренко ,8б/7</t>
  </si>
  <si>
    <t>за 2019 год  жилого дома по ул.Макаренко,13/2</t>
  </si>
  <si>
    <t>за 2019 год  жилого дома по ул.Макаренко ,18</t>
  </si>
  <si>
    <t>Оплата за содержание и ремонт</t>
  </si>
  <si>
    <t>2019 год</t>
  </si>
  <si>
    <t>Оплата за услуги кап.ремонта</t>
  </si>
  <si>
    <t>Остаток средств на содержание и ремонт</t>
  </si>
  <si>
    <t>Остаток средств на содержание и ремонту</t>
  </si>
  <si>
    <t>249558,01руб.</t>
  </si>
  <si>
    <t xml:space="preserve">Остаток средств на содержание и ремонт </t>
  </si>
  <si>
    <t xml:space="preserve">Оплата за содержание и ремонт </t>
  </si>
  <si>
    <t>Оплата за содержание и ремионт</t>
  </si>
  <si>
    <t>за 2019 год  жилого дома по ул.Макаренко,28</t>
  </si>
  <si>
    <t>за 2019 год  жилого дома по ул.Макаренко,19</t>
  </si>
  <si>
    <t>за 2019 год  жилого дома по ул.Макаренко,30</t>
  </si>
  <si>
    <t>за 2019 год  жилого дома по ул.Макаренко,39</t>
  </si>
  <si>
    <t>за 2019 год  жилого дома по ул.Макаренко,41</t>
  </si>
  <si>
    <t>за 2019 год  жилого дома по ул.Макаренко,45</t>
  </si>
  <si>
    <t>за 2019 год  жилого дома по ул.Макаренко,47</t>
  </si>
  <si>
    <t>за 2019 год  жилого дома по ул.Макаренко/Ботаническая,34/18</t>
  </si>
  <si>
    <t>за 2019 год  жилого дома по ул.Пластунская ,100</t>
  </si>
  <si>
    <t>за 2019 год  жилого дома по ул.Пластунская ,177</t>
  </si>
  <si>
    <t>за 2019 год  жилого дома по ул.Пластунская ,179а</t>
  </si>
  <si>
    <t>за 2019 год  жилого дома по ул.Пластунская ,181</t>
  </si>
  <si>
    <t>за 2019 год  жилого дома по ул.Пластунская ,181а</t>
  </si>
  <si>
    <t>за 2019 год  жилого дома по ул.Пластунская ,187</t>
  </si>
  <si>
    <t>за 2019 год  жилого дома по ул.Пластунская ,191</t>
  </si>
  <si>
    <t>за 2019 год  жилого дома по ул.60лет ВЛКСМ ,14</t>
  </si>
  <si>
    <t>за 2019 год  жилого дома по ул.60лет ВЛКСМ,16</t>
  </si>
  <si>
    <t>за 2019 год  жилого дома по ул.Труда ,3</t>
  </si>
  <si>
    <t>за 2019 год  жилого дома по ул.Труда ,4</t>
  </si>
  <si>
    <t>за 2019 год  жилого дома по ул.Труда ,10</t>
  </si>
  <si>
    <t>Оплата за содержание и ремон2т</t>
  </si>
  <si>
    <t>за 2019 год  жилого дома по ул.Труда ,13</t>
  </si>
  <si>
    <t>за 2019 год  жилого дома по ул.Труда ,15</t>
  </si>
  <si>
    <t>за 2019 год  жилого дома по ул.Труда ,17/1</t>
  </si>
  <si>
    <t>за 2019 год  жилого дома по ул.Труда ,17/2</t>
  </si>
  <si>
    <t>за 2019 год  жилого дома по ул.Труда ,18</t>
  </si>
  <si>
    <t>за 2019 год  жилого дома по ул.Труда ,21</t>
  </si>
  <si>
    <t>за 2019 год  жилого дома по ул.Труда ,23</t>
  </si>
  <si>
    <t>за 2019 год  жилого дома по ул.Труда ,27</t>
  </si>
  <si>
    <t>мат</t>
  </si>
  <si>
    <t>вдго</t>
  </si>
  <si>
    <t>автовыш</t>
  </si>
  <si>
    <t>инвен</t>
  </si>
  <si>
    <t>инв</t>
  </si>
  <si>
    <t>XI</t>
  </si>
  <si>
    <t>Е.Судебные расходы</t>
  </si>
  <si>
    <t>Ж.Работы по текущему ремонту</t>
  </si>
  <si>
    <t>расх</t>
  </si>
  <si>
    <t>по ООО"ДУ-8"за 2019 год  жилого дома по ул.Вишневая ,10/8</t>
  </si>
  <si>
    <t>Остаток средств по содержанию и ремонту</t>
  </si>
  <si>
    <t>Услуги управления по эксплуатации здания (ведение  л/с соственников,бухучет,юридическое сопровождение,общее управление, экономические расчеты и анализ)</t>
  </si>
  <si>
    <t>7.Техническое обслуживание газового оборудования (диагностика)</t>
  </si>
  <si>
    <t>7.Техническое обслуживание газового оборудования (диагностика ВДГО)</t>
  </si>
  <si>
    <t>Подрядные работы</t>
  </si>
  <si>
    <t>Ж.Подрядные работы</t>
  </si>
  <si>
    <t>Ж.Работы по подряду</t>
  </si>
  <si>
    <t xml:space="preserve">7.Прочие расходы </t>
  </si>
  <si>
    <t xml:space="preserve"> Работы по подряду</t>
  </si>
  <si>
    <t>7.Техническое обслуживание газового оборудования(вдго)</t>
  </si>
  <si>
    <t>7.Техническое обслуживание газового оборудования(ВДГО)</t>
  </si>
  <si>
    <t>4.Техническое обслуживание лифтов(оценка)</t>
  </si>
  <si>
    <t>5.Техническое обслуживание газового оборудования(ВДГО)</t>
  </si>
  <si>
    <t>7.Техническое обслуживание лифтового оборудования(оценка)</t>
  </si>
  <si>
    <t>Доходы</t>
  </si>
  <si>
    <t xml:space="preserve">   Обслуживание внешних сетей до границы балансовой принадлежности</t>
  </si>
  <si>
    <t>Общеэксплуатационные расходы</t>
  </si>
  <si>
    <t>Шарап Т.Э.</t>
  </si>
  <si>
    <t>Шшарап Т.Э.</t>
  </si>
  <si>
    <t>Шарап Т.Ю.</t>
  </si>
  <si>
    <t xml:space="preserve"> расходов по содержанию и текущему ремонту жилого фонда по ООО"ДУ-8"</t>
  </si>
  <si>
    <t>Отчет доходов  и расходов  МКД  по ООО"ДУ-8"  за 2019 гд.</t>
  </si>
  <si>
    <t>№п/п</t>
  </si>
  <si>
    <t>Адрес</t>
  </si>
  <si>
    <t>Расходы</t>
  </si>
  <si>
    <t>ул.Абрикосовая ,7</t>
  </si>
  <si>
    <t>ул.Абрикосовая ,18</t>
  </si>
  <si>
    <t>ул.Абрикосовая ,23а</t>
  </si>
  <si>
    <t>ул.Абрикосовая ,25</t>
  </si>
  <si>
    <t>ул.Вишневая ,4</t>
  </si>
  <si>
    <t>ул.Вишневая ,10</t>
  </si>
  <si>
    <t>ул.Вишневая ,12</t>
  </si>
  <si>
    <t>ул.Вишневая ,10/7</t>
  </si>
  <si>
    <t>ул.Вишневая ,10/8</t>
  </si>
  <si>
    <t>ул.Вишневая ,16</t>
  </si>
  <si>
    <t>ул.Вишневая ,17</t>
  </si>
  <si>
    <t>ул.Вишневая ,19</t>
  </si>
  <si>
    <t>ул.Вишневая ,21</t>
  </si>
  <si>
    <t>ул.Вишневая ,22</t>
  </si>
  <si>
    <t>ул.Вишневая ,23</t>
  </si>
  <si>
    <t>ул.Вишневая ,24</t>
  </si>
  <si>
    <t>ул.Вишневая ,25</t>
  </si>
  <si>
    <t>ул.Вишневая ,26</t>
  </si>
  <si>
    <t>ул.Вишневая ,27</t>
  </si>
  <si>
    <t>ул.Вишневая ,28</t>
  </si>
  <si>
    <t>ул.Вишневая ,30</t>
  </si>
  <si>
    <t>ул.Вишневая ,31</t>
  </si>
  <si>
    <t>ул.Вишневая ,32</t>
  </si>
  <si>
    <t>ул.Вишневая ,34</t>
  </si>
  <si>
    <t>ул.Вишневая ,36</t>
  </si>
  <si>
    <t>ул.Макаренко,13/2</t>
  </si>
  <si>
    <t>ул.Макаренко,18</t>
  </si>
  <si>
    <t>ул.Макаренко,19</t>
  </si>
  <si>
    <t>ул.Макаренко,28</t>
  </si>
  <si>
    <t>ул.Макаренко,30</t>
  </si>
  <si>
    <t>ул.Макаренко,39</t>
  </si>
  <si>
    <t>ул.Макаренко,41</t>
  </si>
  <si>
    <t>ул.Макаренко,45</t>
  </si>
  <si>
    <t>ул.Макаренко,47</t>
  </si>
  <si>
    <t>ул.Макаренко/Ботаническая,34/18</t>
  </si>
  <si>
    <t>ул.Труда ,3</t>
  </si>
  <si>
    <t>ул.Труда ,4</t>
  </si>
  <si>
    <t>ул.Труда ,10</t>
  </si>
  <si>
    <t>ул.Труда ,15</t>
  </si>
  <si>
    <t>ул.Труда ,17/1</t>
  </si>
  <si>
    <t>ул.Труда ,17/2</t>
  </si>
  <si>
    <t>ул.Труда ,18</t>
  </si>
  <si>
    <t>ул.Труда ,21</t>
  </si>
  <si>
    <t>ул.Труда ,23</t>
  </si>
  <si>
    <t>ул.Труда ,27</t>
  </si>
  <si>
    <t>ул.Пластунская ,100</t>
  </si>
  <si>
    <t>ул.Пластунская ,177</t>
  </si>
  <si>
    <t>ул.Пластунская ,179а</t>
  </si>
  <si>
    <t>ул.Пластунская ,181</t>
  </si>
  <si>
    <t>ул.Пластунская ,181а</t>
  </si>
  <si>
    <t>ул.Пластунская ,187</t>
  </si>
  <si>
    <t>ул.Пластунская ,191</t>
  </si>
  <si>
    <t>ул.60летВЛКСМ,14</t>
  </si>
  <si>
    <t>ул.60летВЛКСМ,16</t>
  </si>
  <si>
    <t>Доходы(руб)</t>
  </si>
  <si>
    <t>Остаток средств на 01.01.2020г.</t>
  </si>
  <si>
    <t>ул.Макаренко,8в/7</t>
  </si>
  <si>
    <t>ул.Макаренко,30/1</t>
  </si>
  <si>
    <t>ул.Труда ,13</t>
  </si>
  <si>
    <t>Остаток средств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</si>
</sst>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0.00_ "/>
  </numFmts>
  <fonts count="37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0"/>
      <color theme="1"/>
      <name val="Arial"/>
      <charset val="204"/>
    </font>
    <font>
      <sz val="10"/>
      <color theme="1"/>
      <name val="Arial"/>
      <charset val="204"/>
    </font>
    <font>
      <b/>
      <sz val="9"/>
      <name val="Arial"/>
      <charset val="204"/>
    </font>
    <font>
      <b/>
      <sz val="8"/>
      <name val="Arial"/>
      <charset val="204"/>
    </font>
    <font>
      <sz val="9"/>
      <name val="Arial"/>
      <charset val="204"/>
    </font>
    <font>
      <sz val="9"/>
      <color theme="1"/>
      <name val="Arial"/>
      <charset val="204"/>
    </font>
    <font>
      <sz val="8"/>
      <color theme="1"/>
      <name val="Arial"/>
      <charset val="204"/>
    </font>
    <font>
      <b/>
      <sz val="12"/>
      <name val="Arial"/>
      <charset val="204"/>
    </font>
    <font>
      <b/>
      <u/>
      <sz val="10"/>
      <name val="Arial"/>
      <charset val="204"/>
    </font>
    <font>
      <b/>
      <sz val="9"/>
      <color theme="1"/>
      <name val="Arial"/>
      <charset val="204"/>
    </font>
    <font>
      <b/>
      <sz val="9"/>
      <name val="Tahoma"/>
      <charset val="1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Calibri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49" fontId="9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11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3" fillId="0" borderId="1" xfId="0" applyFont="1" applyFill="1" applyBorder="1"/>
    <xf numFmtId="0" fontId="13" fillId="0" borderId="7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3" fillId="0" borderId="7" xfId="0" applyFont="1" applyFill="1" applyBorder="1"/>
    <xf numFmtId="0" fontId="5" fillId="0" borderId="7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4" fontId="14" fillId="0" borderId="0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2" fontId="4" fillId="0" borderId="0" xfId="0" applyNumberFormat="1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2" fillId="0" borderId="3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7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0" xfId="0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7" fillId="0" borderId="0" xfId="0" applyFont="1" applyBorder="1"/>
    <xf numFmtId="165" fontId="2" fillId="0" borderId="1" xfId="0" applyNumberFormat="1" applyFont="1" applyBorder="1"/>
    <xf numFmtId="2" fontId="3" fillId="0" borderId="0" xfId="0" applyNumberFormat="1" applyFont="1"/>
    <xf numFmtId="0" fontId="4" fillId="0" borderId="1" xfId="0" applyFont="1" applyFill="1" applyBorder="1"/>
    <xf numFmtId="0" fontId="11" fillId="0" borderId="0" xfId="0" applyFont="1" applyFill="1" applyBorder="1"/>
    <xf numFmtId="0" fontId="2" fillId="0" borderId="0" xfId="0" applyFont="1" applyBorder="1" applyAlignment="1">
      <alignment horizontal="center"/>
    </xf>
    <xf numFmtId="0" fontId="9" fillId="0" borderId="0" xfId="0" applyFont="1" applyFill="1" applyBorder="1"/>
    <xf numFmtId="0" fontId="13" fillId="0" borderId="3" xfId="0" applyFont="1" applyFill="1" applyBorder="1" applyAlignment="1">
      <alignment wrapText="1"/>
    </xf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2" fontId="2" fillId="0" borderId="0" xfId="0" applyNumberFormat="1" applyFont="1"/>
    <xf numFmtId="0" fontId="9" fillId="0" borderId="1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" fontId="1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4" fillId="0" borderId="0" xfId="0" applyNumberFormat="1" applyFont="1" applyFill="1" applyAlignment="1">
      <alignment horizontal="left"/>
    </xf>
    <xf numFmtId="0" fontId="12" fillId="0" borderId="1" xfId="0" applyFont="1" applyFill="1" applyBorder="1" applyAlignment="1"/>
    <xf numFmtId="0" fontId="16" fillId="0" borderId="1" xfId="0" applyFont="1" applyFill="1" applyBorder="1" applyAlignment="1"/>
    <xf numFmtId="0" fontId="12" fillId="0" borderId="1" xfId="0" applyFont="1" applyBorder="1"/>
    <xf numFmtId="0" fontId="16" fillId="0" borderId="1" xfId="0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2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3" fillId="0" borderId="3" xfId="0" applyFont="1" applyBorder="1"/>
    <xf numFmtId="164" fontId="9" fillId="0" borderId="5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7" xfId="0" applyFont="1" applyFill="1" applyBorder="1"/>
    <xf numFmtId="4" fontId="5" fillId="0" borderId="3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/>
    <xf numFmtId="49" fontId="10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/>
    <xf numFmtId="0" fontId="10" fillId="0" borderId="8" xfId="0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Border="1"/>
    <xf numFmtId="2" fontId="18" fillId="0" borderId="0" xfId="0" applyNumberFormat="1" applyFont="1"/>
    <xf numFmtId="0" fontId="18" fillId="0" borderId="0" xfId="0" applyFont="1" applyBorder="1"/>
    <xf numFmtId="2" fontId="20" fillId="0" borderId="0" xfId="0" applyNumberFormat="1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0" xfId="0" applyFont="1"/>
    <xf numFmtId="0" fontId="25" fillId="0" borderId="1" xfId="0" applyFont="1" applyBorder="1"/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/>
    <xf numFmtId="0" fontId="22" fillId="0" borderId="0" xfId="0" applyFont="1"/>
    <xf numFmtId="0" fontId="21" fillId="0" borderId="0" xfId="0" applyFont="1"/>
    <xf numFmtId="0" fontId="23" fillId="0" borderId="1" xfId="0" applyFont="1" applyFill="1" applyBorder="1" applyAlignment="1"/>
    <xf numFmtId="0" fontId="22" fillId="0" borderId="1" xfId="0" applyFont="1" applyFill="1" applyBorder="1" applyAlignment="1"/>
    <xf numFmtId="0" fontId="25" fillId="0" borderId="1" xfId="0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3" fillId="0" borderId="0" xfId="0" applyFont="1" applyBorder="1"/>
    <xf numFmtId="2" fontId="23" fillId="0" borderId="0" xfId="0" applyNumberFormat="1" applyFont="1" applyBorder="1"/>
    <xf numFmtId="0" fontId="25" fillId="0" borderId="3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25" fillId="0" borderId="6" xfId="0" applyFont="1" applyBorder="1"/>
    <xf numFmtId="0" fontId="25" fillId="0" borderId="9" xfId="0" applyFont="1" applyBorder="1"/>
    <xf numFmtId="0" fontId="25" fillId="0" borderId="7" xfId="0" applyFont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5" fillId="0" borderId="7" xfId="0" applyFont="1" applyFill="1" applyBorder="1" applyAlignment="1">
      <alignment wrapText="1"/>
    </xf>
    <xf numFmtId="0" fontId="23" fillId="0" borderId="7" xfId="0" applyFont="1" applyFill="1" applyBorder="1"/>
    <xf numFmtId="0" fontId="25" fillId="0" borderId="7" xfId="0" applyFont="1" applyBorder="1"/>
    <xf numFmtId="0" fontId="25" fillId="0" borderId="2" xfId="0" applyFont="1" applyBorder="1"/>
    <xf numFmtId="2" fontId="26" fillId="0" borderId="0" xfId="0" applyNumberFormat="1" applyFont="1" applyFill="1" applyBorder="1" applyAlignment="1">
      <alignment horizontal="left"/>
    </xf>
    <xf numFmtId="0" fontId="21" fillId="0" borderId="1" xfId="0" applyFont="1" applyBorder="1"/>
    <xf numFmtId="0" fontId="23" fillId="0" borderId="0" xfId="0" applyFont="1"/>
    <xf numFmtId="0" fontId="26" fillId="0" borderId="0" xfId="0" applyFont="1"/>
    <xf numFmtId="0" fontId="25" fillId="0" borderId="0" xfId="0" applyFont="1" applyAlignment="1">
      <alignment wrapText="1"/>
    </xf>
    <xf numFmtId="0" fontId="22" fillId="0" borderId="2" xfId="0" applyFont="1" applyBorder="1"/>
    <xf numFmtId="0" fontId="23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/>
    <xf numFmtId="0" fontId="30" fillId="0" borderId="0" xfId="0" applyFont="1"/>
    <xf numFmtId="0" fontId="30" fillId="0" borderId="0" xfId="0" applyFont="1" applyBorder="1"/>
    <xf numFmtId="0" fontId="19" fillId="0" borderId="0" xfId="0" applyFont="1" applyBorder="1"/>
    <xf numFmtId="0" fontId="31" fillId="0" borderId="3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/>
    <xf numFmtId="0" fontId="32" fillId="0" borderId="3" xfId="0" applyFont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0" fontId="21" fillId="0" borderId="8" xfId="0" applyFont="1" applyBorder="1" applyAlignment="1">
      <alignment wrapText="1"/>
    </xf>
    <xf numFmtId="0" fontId="21" fillId="0" borderId="8" xfId="0" applyFont="1" applyFill="1" applyBorder="1"/>
    <xf numFmtId="0" fontId="24" fillId="0" borderId="9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Border="1"/>
    <xf numFmtId="2" fontId="18" fillId="0" borderId="1" xfId="0" applyNumberFormat="1" applyFont="1" applyBorder="1"/>
    <xf numFmtId="2" fontId="20" fillId="0" borderId="1" xfId="0" applyNumberFormat="1" applyFont="1" applyBorder="1"/>
    <xf numFmtId="0" fontId="20" fillId="0" borderId="1" xfId="0" applyFont="1" applyFill="1" applyBorder="1" applyAlignment="1"/>
    <xf numFmtId="0" fontId="18" fillId="0" borderId="1" xfId="0" applyFont="1" applyFill="1" applyBorder="1" applyAlignment="1"/>
    <xf numFmtId="4" fontId="32" fillId="0" borderId="0" xfId="0" applyNumberFormat="1" applyFont="1" applyBorder="1" applyAlignment="1">
      <alignment horizontal="center"/>
    </xf>
    <xf numFmtId="0" fontId="22" fillId="0" borderId="4" xfId="0" applyFont="1" applyBorder="1"/>
    <xf numFmtId="0" fontId="22" fillId="0" borderId="3" xfId="0" applyFont="1" applyBorder="1"/>
    <xf numFmtId="2" fontId="20" fillId="0" borderId="1" xfId="0" applyNumberFormat="1" applyFont="1" applyFill="1" applyBorder="1" applyAlignment="1"/>
    <xf numFmtId="0" fontId="18" fillId="0" borderId="4" xfId="0" applyFont="1" applyBorder="1"/>
    <xf numFmtId="0" fontId="18" fillId="0" borderId="3" xfId="0" applyFont="1" applyBorder="1"/>
    <xf numFmtId="0" fontId="20" fillId="0" borderId="0" xfId="0" applyFont="1" applyFill="1" applyBorder="1" applyAlignment="1"/>
    <xf numFmtId="2" fontId="31" fillId="0" borderId="0" xfId="0" applyNumberFormat="1" applyFont="1" applyFill="1" applyBorder="1" applyAlignment="1">
      <alignment horizontal="left"/>
    </xf>
    <xf numFmtId="166" fontId="20" fillId="0" borderId="0" xfId="0" applyNumberFormat="1" applyFont="1"/>
    <xf numFmtId="166" fontId="20" fillId="0" borderId="1" xfId="0" applyNumberFormat="1" applyFont="1" applyBorder="1"/>
    <xf numFmtId="166" fontId="18" fillId="0" borderId="1" xfId="0" applyNumberFormat="1" applyFont="1" applyBorder="1"/>
    <xf numFmtId="0" fontId="20" fillId="0" borderId="0" xfId="0" applyFont="1" applyFill="1" applyBorder="1"/>
    <xf numFmtId="0" fontId="32" fillId="0" borderId="0" xfId="0" applyFont="1" applyBorder="1"/>
    <xf numFmtId="2" fontId="20" fillId="0" borderId="0" xfId="0" applyNumberFormat="1" applyFont="1"/>
    <xf numFmtId="0" fontId="32" fillId="0" borderId="0" xfId="0" applyFont="1"/>
    <xf numFmtId="0" fontId="31" fillId="0" borderId="1" xfId="0" applyFont="1" applyBorder="1"/>
    <xf numFmtId="0" fontId="32" fillId="0" borderId="1" xfId="0" applyFont="1" applyBorder="1"/>
    <xf numFmtId="0" fontId="32" fillId="0" borderId="0" xfId="0" applyFont="1" applyBorder="1" applyAlignment="1">
      <alignment horizontal="center"/>
    </xf>
    <xf numFmtId="2" fontId="20" fillId="0" borderId="0" xfId="0" applyNumberFormat="1" applyFont="1" applyFill="1" applyBorder="1"/>
    <xf numFmtId="0" fontId="22" fillId="0" borderId="6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1" fillId="0" borderId="0" xfId="0" applyFont="1" applyBorder="1"/>
    <xf numFmtId="0" fontId="25" fillId="0" borderId="7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2" fontId="32" fillId="0" borderId="1" xfId="0" applyNumberFormat="1" applyFont="1" applyBorder="1"/>
    <xf numFmtId="0" fontId="31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32" fillId="0" borderId="3" xfId="0" applyFont="1" applyBorder="1" applyAlignment="1">
      <alignment wrapText="1"/>
    </xf>
    <xf numFmtId="0" fontId="33" fillId="0" borderId="6" xfId="0" applyFont="1" applyBorder="1" applyAlignment="1">
      <alignment horizontal="center" wrapText="1"/>
    </xf>
    <xf numFmtId="0" fontId="32" fillId="0" borderId="6" xfId="0" applyFont="1" applyBorder="1" applyAlignment="1">
      <alignment horizontal="center"/>
    </xf>
    <xf numFmtId="0" fontId="32" fillId="0" borderId="6" xfId="0" applyFont="1" applyBorder="1"/>
    <xf numFmtId="0" fontId="31" fillId="0" borderId="3" xfId="0" applyFont="1" applyBorder="1" applyAlignment="1">
      <alignment wrapText="1"/>
    </xf>
    <xf numFmtId="0" fontId="32" fillId="0" borderId="9" xfId="0" applyFont="1" applyBorder="1"/>
    <xf numFmtId="0" fontId="32" fillId="0" borderId="7" xfId="0" applyFont="1" applyBorder="1" applyAlignment="1">
      <alignment wrapText="1"/>
    </xf>
    <xf numFmtId="0" fontId="31" fillId="0" borderId="9" xfId="0" applyFont="1" applyBorder="1" applyAlignment="1">
      <alignment horizontal="left" wrapText="1"/>
    </xf>
    <xf numFmtId="0" fontId="31" fillId="0" borderId="4" xfId="0" applyFont="1" applyBorder="1" applyAlignment="1">
      <alignment horizontal="center"/>
    </xf>
    <xf numFmtId="0" fontId="32" fillId="0" borderId="8" xfId="0" applyFont="1" applyBorder="1" applyAlignment="1">
      <alignment wrapText="1"/>
    </xf>
    <xf numFmtId="0" fontId="32" fillId="0" borderId="8" xfId="0" applyFont="1" applyFill="1" applyBorder="1"/>
    <xf numFmtId="0" fontId="31" fillId="0" borderId="7" xfId="0" applyFont="1" applyFill="1" applyBorder="1" applyAlignment="1">
      <alignment wrapText="1"/>
    </xf>
    <xf numFmtId="164" fontId="32" fillId="0" borderId="3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0" fontId="20" fillId="0" borderId="7" xfId="0" applyFont="1" applyFill="1" applyBorder="1"/>
    <xf numFmtId="0" fontId="32" fillId="0" borderId="7" xfId="0" applyFont="1" applyBorder="1"/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Border="1" applyAlignment="1">
      <alignment horizontal="center" wrapText="1"/>
    </xf>
    <xf numFmtId="0" fontId="29" fillId="0" borderId="0" xfId="0" applyFont="1"/>
    <xf numFmtId="2" fontId="23" fillId="0" borderId="1" xfId="0" applyNumberFormat="1" applyFont="1" applyBorder="1"/>
    <xf numFmtId="0" fontId="22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25" fillId="0" borderId="0" xfId="0" applyFont="1" applyBorder="1"/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5" fillId="0" borderId="10" xfId="0" applyFont="1" applyBorder="1" applyAlignment="1"/>
    <xf numFmtId="0" fontId="35" fillId="0" borderId="1" xfId="0" applyFont="1" applyBorder="1" applyAlignment="1">
      <alignment wrapText="1"/>
    </xf>
    <xf numFmtId="0" fontId="35" fillId="0" borderId="8" xfId="0" applyFont="1" applyBorder="1" applyAlignment="1"/>
    <xf numFmtId="0" fontId="36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5" fillId="0" borderId="8" xfId="0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O68" sqref="O68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10.42578125" style="1" customWidth="1"/>
    <col min="4" max="4" width="12.7109375" style="1" customWidth="1"/>
    <col min="5" max="5" width="12.5703125" style="1" customWidth="1"/>
    <col min="6" max="6" width="9.7109375" style="1" customWidth="1"/>
    <col min="7" max="7" width="11.5703125" style="1" customWidth="1"/>
    <col min="8" max="8" width="13.140625" style="1" customWidth="1"/>
    <col min="9" max="9" width="9" style="1"/>
    <col min="10" max="10" width="12.5703125" style="1" customWidth="1"/>
    <col min="11" max="11" width="9.5703125" style="1" customWidth="1"/>
    <col min="12" max="12" width="9" style="1"/>
    <col min="13" max="13" width="9.5703125" style="1" customWidth="1"/>
    <col min="14" max="14" width="10" style="1" customWidth="1"/>
    <col min="15" max="15" width="9.28515625" style="1" customWidth="1"/>
    <col min="16" max="16384" width="9" style="1"/>
  </cols>
  <sheetData>
    <row r="1" spans="1:6" ht="15" x14ac:dyDescent="0.25">
      <c r="C1" s="2" t="s">
        <v>0</v>
      </c>
      <c r="D1" s="3"/>
    </row>
    <row r="2" spans="1:6" ht="15" customHeight="1" x14ac:dyDescent="0.2">
      <c r="A2" s="298" t="s">
        <v>1</v>
      </c>
      <c r="B2" s="298"/>
      <c r="C2" s="298"/>
      <c r="D2" s="298"/>
      <c r="E2" s="298"/>
      <c r="F2" s="4"/>
    </row>
    <row r="3" spans="1:6" ht="15" customHeight="1" x14ac:dyDescent="0.2">
      <c r="A3" s="4"/>
      <c r="B3" s="298" t="s">
        <v>177</v>
      </c>
      <c r="C3" s="298"/>
      <c r="D3" s="298"/>
      <c r="E3" s="298"/>
    </row>
    <row r="4" spans="1:6" x14ac:dyDescent="0.2">
      <c r="B4" s="5"/>
      <c r="C4" s="5"/>
      <c r="D4" s="5"/>
    </row>
    <row r="5" spans="1:6" x14ac:dyDescent="0.2">
      <c r="B5" s="5" t="s">
        <v>180</v>
      </c>
      <c r="C5" s="5"/>
      <c r="D5" s="5">
        <v>210877.2</v>
      </c>
    </row>
    <row r="6" spans="1:6" x14ac:dyDescent="0.2">
      <c r="A6" s="6"/>
      <c r="B6" s="7" t="s">
        <v>76</v>
      </c>
      <c r="C6" s="10"/>
      <c r="D6" s="161">
        <v>62726.47</v>
      </c>
      <c r="E6" s="6"/>
    </row>
    <row r="7" spans="1:6" x14ac:dyDescent="0.2">
      <c r="A7" s="6"/>
      <c r="B7" s="7"/>
      <c r="C7" s="10"/>
      <c r="D7" s="161"/>
      <c r="E7" s="6"/>
    </row>
    <row r="8" spans="1:6" x14ac:dyDescent="0.2">
      <c r="A8" s="6"/>
      <c r="B8" s="10" t="s">
        <v>2</v>
      </c>
      <c r="C8" s="10" t="s">
        <v>3</v>
      </c>
      <c r="D8" s="160">
        <v>6208</v>
      </c>
      <c r="E8" s="6"/>
    </row>
    <row r="9" spans="1:6" x14ac:dyDescent="0.2">
      <c r="A9" s="6"/>
      <c r="B9" s="10" t="s">
        <v>4</v>
      </c>
      <c r="C9" s="10" t="s">
        <v>3</v>
      </c>
      <c r="D9" s="160">
        <v>4820.5200000000004</v>
      </c>
      <c r="E9" s="6"/>
    </row>
    <row r="10" spans="1:6" x14ac:dyDescent="0.2">
      <c r="A10" s="6"/>
      <c r="B10" s="12" t="s">
        <v>5</v>
      </c>
      <c r="C10" s="10" t="s">
        <v>6</v>
      </c>
      <c r="D10" s="161">
        <f>1139268.86+14675.21</f>
        <v>1153944.07</v>
      </c>
      <c r="E10" s="6"/>
    </row>
    <row r="11" spans="1:6" x14ac:dyDescent="0.2">
      <c r="A11" s="6"/>
      <c r="B11" s="7"/>
      <c r="C11" s="7"/>
      <c r="D11" s="160"/>
      <c r="E11" s="6"/>
    </row>
    <row r="12" spans="1:6" x14ac:dyDescent="0.2">
      <c r="A12" s="6"/>
      <c r="B12" s="12" t="s">
        <v>7</v>
      </c>
      <c r="C12" s="12"/>
      <c r="D12" s="160"/>
      <c r="E12" s="6"/>
    </row>
    <row r="13" spans="1:6" x14ac:dyDescent="0.2">
      <c r="A13" s="6">
        <v>1</v>
      </c>
      <c r="B13" s="8" t="s">
        <v>208</v>
      </c>
      <c r="C13" s="10" t="s">
        <v>6</v>
      </c>
      <c r="D13" s="160">
        <f>1075533.4+16635.28</f>
        <v>1092168.68</v>
      </c>
      <c r="E13" s="6"/>
    </row>
    <row r="14" spans="1:6" x14ac:dyDescent="0.2">
      <c r="A14" s="6">
        <v>2</v>
      </c>
      <c r="B14" s="8" t="s">
        <v>9</v>
      </c>
      <c r="C14" s="8"/>
      <c r="D14" s="160">
        <f>4900</f>
        <v>4900</v>
      </c>
      <c r="E14" s="6"/>
    </row>
    <row r="15" spans="1:6" x14ac:dyDescent="0.2">
      <c r="A15" s="6"/>
      <c r="B15" s="8"/>
      <c r="C15" s="8"/>
      <c r="D15" s="160"/>
      <c r="E15" s="6"/>
    </row>
    <row r="16" spans="1:6" x14ac:dyDescent="0.2">
      <c r="A16" s="6"/>
      <c r="B16" s="12" t="s">
        <v>10</v>
      </c>
      <c r="C16" s="10" t="s">
        <v>6</v>
      </c>
      <c r="D16" s="161">
        <f>D13+D14+D15</f>
        <v>1097068.68</v>
      </c>
      <c r="E16" s="6"/>
    </row>
    <row r="17" spans="1:5" x14ac:dyDescent="0.2">
      <c r="A17" s="6"/>
      <c r="B17" s="7"/>
      <c r="C17" s="7"/>
      <c r="D17" s="6"/>
      <c r="E17" s="6"/>
    </row>
    <row r="18" spans="1:5" x14ac:dyDescent="0.2">
      <c r="B18" s="5"/>
      <c r="C18" s="5"/>
    </row>
    <row r="19" spans="1:5" x14ac:dyDescent="0.2">
      <c r="B19" s="141" t="s">
        <v>11</v>
      </c>
      <c r="C19" s="141"/>
    </row>
    <row r="20" spans="1:5" x14ac:dyDescent="0.2">
      <c r="A20" s="13"/>
      <c r="B20" s="14"/>
      <c r="C20" s="14"/>
      <c r="D20" s="13"/>
      <c r="E20" s="13"/>
    </row>
    <row r="21" spans="1:5" ht="15.75" customHeight="1" x14ac:dyDescent="0.2">
      <c r="A21" s="15" t="s">
        <v>12</v>
      </c>
      <c r="B21" s="16"/>
      <c r="C21" s="16"/>
      <c r="D21" s="222" t="s">
        <v>13</v>
      </c>
      <c r="E21" s="222" t="s">
        <v>14</v>
      </c>
    </row>
    <row r="22" spans="1:5" x14ac:dyDescent="0.2">
      <c r="A22" s="15" t="s">
        <v>15</v>
      </c>
      <c r="B22" s="20" t="s">
        <v>16</v>
      </c>
      <c r="C22" s="17"/>
      <c r="D22" s="222" t="s">
        <v>17</v>
      </c>
      <c r="E22" s="223"/>
    </row>
    <row r="23" spans="1:5" ht="30" customHeight="1" x14ac:dyDescent="0.2">
      <c r="A23" s="22" t="s">
        <v>18</v>
      </c>
      <c r="B23" s="23" t="s">
        <v>19</v>
      </c>
      <c r="C23" s="23"/>
      <c r="D23" s="6"/>
      <c r="E23" s="6"/>
    </row>
    <row r="24" spans="1:5" ht="51" x14ac:dyDescent="0.2">
      <c r="A24" s="22"/>
      <c r="B24" s="25" t="s">
        <v>20</v>
      </c>
      <c r="C24" s="142" t="s">
        <v>6</v>
      </c>
      <c r="D24" s="216">
        <f>D25+D26+D27</f>
        <v>192947.82</v>
      </c>
      <c r="E24" s="6"/>
    </row>
    <row r="25" spans="1:5" ht="81" customHeight="1" x14ac:dyDescent="0.2">
      <c r="A25" s="22"/>
      <c r="B25" s="28" t="s">
        <v>21</v>
      </c>
      <c r="C25" s="28"/>
      <c r="D25" s="204">
        <v>107342.82</v>
      </c>
      <c r="E25" s="6"/>
    </row>
    <row r="26" spans="1:5" ht="112.5" x14ac:dyDescent="0.2">
      <c r="A26" s="30"/>
      <c r="B26" s="28" t="s">
        <v>22</v>
      </c>
      <c r="C26" s="28"/>
      <c r="D26" s="204">
        <v>76350</v>
      </c>
      <c r="E26" s="6"/>
    </row>
    <row r="27" spans="1:5" ht="27.75" customHeight="1" x14ac:dyDescent="0.2">
      <c r="A27" s="31"/>
      <c r="B27" s="40" t="s">
        <v>23</v>
      </c>
      <c r="C27" s="112"/>
      <c r="D27" s="204">
        <v>9255</v>
      </c>
      <c r="E27" s="6"/>
    </row>
    <row r="28" spans="1:5" ht="25.5" x14ac:dyDescent="0.2">
      <c r="A28" s="22"/>
      <c r="B28" s="25" t="s">
        <v>24</v>
      </c>
      <c r="C28" s="142" t="s">
        <v>6</v>
      </c>
      <c r="D28" s="216">
        <f>D29+D30</f>
        <v>13813</v>
      </c>
      <c r="E28" s="6"/>
    </row>
    <row r="29" spans="1:5" ht="16.5" customHeight="1" x14ac:dyDescent="0.2">
      <c r="A29" s="33"/>
      <c r="B29" s="70" t="s">
        <v>25</v>
      </c>
      <c r="C29" s="29"/>
      <c r="D29" s="204">
        <v>11500</v>
      </c>
      <c r="E29" s="6"/>
    </row>
    <row r="30" spans="1:5" x14ac:dyDescent="0.2">
      <c r="A30" s="22"/>
      <c r="B30" s="70" t="s">
        <v>26</v>
      </c>
      <c r="C30" s="29"/>
      <c r="D30" s="204">
        <v>2313</v>
      </c>
      <c r="E30" s="6"/>
    </row>
    <row r="31" spans="1:5" ht="39.75" customHeight="1" x14ac:dyDescent="0.2">
      <c r="A31" s="22" t="s">
        <v>27</v>
      </c>
      <c r="B31" s="25" t="s">
        <v>28</v>
      </c>
      <c r="C31" s="142" t="s">
        <v>6</v>
      </c>
      <c r="D31" s="216">
        <f>D32+D33</f>
        <v>39335</v>
      </c>
      <c r="E31" s="6"/>
    </row>
    <row r="32" spans="1:5" ht="81" customHeight="1" x14ac:dyDescent="0.2">
      <c r="A32" s="37"/>
      <c r="B32" s="28" t="s">
        <v>29</v>
      </c>
      <c r="C32" s="143"/>
      <c r="D32" s="204">
        <v>39335</v>
      </c>
      <c r="E32" s="6"/>
    </row>
    <row r="33" spans="1:5" ht="22.5" x14ac:dyDescent="0.2">
      <c r="A33" s="37"/>
      <c r="B33" s="38" t="s">
        <v>30</v>
      </c>
      <c r="C33" s="144"/>
      <c r="D33" s="204">
        <v>0</v>
      </c>
      <c r="E33" s="6"/>
    </row>
    <row r="34" spans="1:5" ht="51" x14ac:dyDescent="0.2">
      <c r="A34" s="37" t="s">
        <v>31</v>
      </c>
      <c r="B34" s="25" t="s">
        <v>32</v>
      </c>
      <c r="C34" s="142" t="s">
        <v>6</v>
      </c>
      <c r="D34" s="216">
        <f>D35+D36+D37</f>
        <v>10760</v>
      </c>
      <c r="E34" s="6"/>
    </row>
    <row r="35" spans="1:5" ht="33.75" x14ac:dyDescent="0.2">
      <c r="A35" s="33"/>
      <c r="B35" s="40" t="s">
        <v>33</v>
      </c>
      <c r="C35" s="112"/>
      <c r="D35" s="204">
        <v>6900</v>
      </c>
      <c r="E35" s="6"/>
    </row>
    <row r="36" spans="1:5" ht="22.5" x14ac:dyDescent="0.2">
      <c r="A36" s="33"/>
      <c r="B36" s="38" t="s">
        <v>34</v>
      </c>
      <c r="C36" s="112"/>
      <c r="D36" s="204">
        <v>3860</v>
      </c>
      <c r="E36" s="6"/>
    </row>
    <row r="37" spans="1:5" ht="22.5" x14ac:dyDescent="0.2">
      <c r="A37" s="33"/>
      <c r="B37" s="38" t="s">
        <v>35</v>
      </c>
      <c r="C37" s="112"/>
      <c r="D37" s="204">
        <v>0</v>
      </c>
      <c r="E37" s="6"/>
    </row>
    <row r="38" spans="1:5" ht="15.75" x14ac:dyDescent="0.25">
      <c r="A38" s="31" t="s">
        <v>36</v>
      </c>
      <c r="B38" s="41" t="s">
        <v>37</v>
      </c>
      <c r="C38" s="142" t="s">
        <v>6</v>
      </c>
      <c r="D38" s="216">
        <f>D39+D40+D41+D43+D44+D45+D46</f>
        <v>77903.260000000009</v>
      </c>
      <c r="E38" s="6"/>
    </row>
    <row r="39" spans="1:5" x14ac:dyDescent="0.2">
      <c r="A39" s="42"/>
      <c r="B39" s="43" t="s">
        <v>38</v>
      </c>
      <c r="C39" s="120"/>
      <c r="D39" s="204">
        <v>2167.1999999999998</v>
      </c>
      <c r="E39" s="6"/>
    </row>
    <row r="40" spans="1:5" ht="22.5" x14ac:dyDescent="0.2">
      <c r="A40" s="42"/>
      <c r="B40" s="43" t="s">
        <v>39</v>
      </c>
      <c r="C40" s="120"/>
      <c r="D40" s="204">
        <v>13766.5</v>
      </c>
      <c r="E40" s="6"/>
    </row>
    <row r="41" spans="1:5" x14ac:dyDescent="0.2">
      <c r="A41" s="42"/>
      <c r="B41" s="45" t="s">
        <v>40</v>
      </c>
      <c r="C41" s="121"/>
      <c r="D41" s="204">
        <v>22492.27</v>
      </c>
      <c r="E41" s="6"/>
    </row>
    <row r="42" spans="1:5" ht="45" x14ac:dyDescent="0.2">
      <c r="A42" s="31"/>
      <c r="B42" s="46" t="s">
        <v>41</v>
      </c>
      <c r="C42" s="124"/>
      <c r="D42" s="204"/>
      <c r="E42" s="6"/>
    </row>
    <row r="43" spans="1:5" x14ac:dyDescent="0.2">
      <c r="A43" s="42"/>
      <c r="B43" s="47" t="s">
        <v>42</v>
      </c>
      <c r="C43" s="92"/>
      <c r="D43" s="204">
        <v>1256.48</v>
      </c>
      <c r="E43" s="6"/>
    </row>
    <row r="44" spans="1:5" x14ac:dyDescent="0.2">
      <c r="A44" s="29"/>
      <c r="B44" s="47" t="s">
        <v>43</v>
      </c>
      <c r="C44" s="92"/>
      <c r="D44" s="204">
        <v>2442.81</v>
      </c>
      <c r="E44" s="6"/>
    </row>
    <row r="45" spans="1:5" ht="22.5" x14ac:dyDescent="0.2">
      <c r="A45" s="42"/>
      <c r="B45" s="47" t="s">
        <v>44</v>
      </c>
      <c r="C45" s="92"/>
      <c r="D45" s="204">
        <v>0</v>
      </c>
      <c r="E45" s="6"/>
    </row>
    <row r="46" spans="1:5" ht="22.5" x14ac:dyDescent="0.2">
      <c r="A46" s="42"/>
      <c r="B46" s="208" t="s">
        <v>259</v>
      </c>
      <c r="C46" s="92"/>
      <c r="D46" s="204">
        <v>35778</v>
      </c>
      <c r="E46" s="6"/>
    </row>
    <row r="47" spans="1:5" ht="51" x14ac:dyDescent="0.2">
      <c r="A47" s="12" t="s">
        <v>46</v>
      </c>
      <c r="B47" s="48" t="s">
        <v>47</v>
      </c>
      <c r="C47" s="48"/>
      <c r="D47" s="204"/>
      <c r="E47" s="6"/>
    </row>
    <row r="48" spans="1:5" x14ac:dyDescent="0.2">
      <c r="A48" s="49"/>
      <c r="B48" s="50" t="s">
        <v>48</v>
      </c>
      <c r="C48" s="50"/>
      <c r="D48" s="216"/>
      <c r="E48" s="6"/>
    </row>
    <row r="49" spans="1:5" ht="27.75" customHeight="1" x14ac:dyDescent="0.2">
      <c r="A49" s="31"/>
      <c r="B49" s="51" t="s">
        <v>49</v>
      </c>
      <c r="C49" s="142" t="s">
        <v>6</v>
      </c>
      <c r="D49" s="219">
        <f>D50+D51+D52</f>
        <v>95301.95</v>
      </c>
      <c r="E49" s="6"/>
    </row>
    <row r="50" spans="1:5" ht="22.5" x14ac:dyDescent="0.2">
      <c r="A50" s="33"/>
      <c r="B50" s="28" t="s">
        <v>50</v>
      </c>
      <c r="C50" s="143"/>
      <c r="D50" s="220">
        <v>90032.08</v>
      </c>
      <c r="E50" s="6"/>
    </row>
    <row r="51" spans="1:5" x14ac:dyDescent="0.2">
      <c r="A51" s="31"/>
      <c r="B51" s="52" t="s">
        <v>51</v>
      </c>
      <c r="C51" s="145"/>
      <c r="D51" s="220">
        <v>0</v>
      </c>
      <c r="E51" s="6"/>
    </row>
    <row r="52" spans="1:5" ht="22.5" x14ac:dyDescent="0.2">
      <c r="A52" s="31"/>
      <c r="B52" s="52" t="s">
        <v>52</v>
      </c>
      <c r="C52" s="145"/>
      <c r="D52" s="220">
        <v>5269.87</v>
      </c>
      <c r="E52" s="6"/>
    </row>
    <row r="53" spans="1:5" x14ac:dyDescent="0.2">
      <c r="A53" s="49"/>
      <c r="B53" s="76" t="s">
        <v>53</v>
      </c>
      <c r="C53" s="146"/>
      <c r="D53" s="216"/>
      <c r="E53" s="6"/>
    </row>
    <row r="54" spans="1:5" x14ac:dyDescent="0.2">
      <c r="A54" s="17"/>
      <c r="B54" s="77" t="s">
        <v>54</v>
      </c>
      <c r="C54" s="142" t="s">
        <v>6</v>
      </c>
      <c r="D54" s="219">
        <f>D55+D56+D57+D59+D58</f>
        <v>269953.05</v>
      </c>
      <c r="E54" s="6"/>
    </row>
    <row r="55" spans="1:5" x14ac:dyDescent="0.2">
      <c r="A55" s="17"/>
      <c r="B55" s="78" t="s">
        <v>55</v>
      </c>
      <c r="C55" s="147"/>
      <c r="D55" s="220">
        <v>34700</v>
      </c>
      <c r="E55" s="6"/>
    </row>
    <row r="56" spans="1:5" x14ac:dyDescent="0.2">
      <c r="A56" s="17"/>
      <c r="B56" s="78" t="s">
        <v>56</v>
      </c>
      <c r="C56" s="147"/>
      <c r="D56" s="220">
        <v>66646.84</v>
      </c>
      <c r="E56" s="6"/>
    </row>
    <row r="57" spans="1:5" x14ac:dyDescent="0.2">
      <c r="A57" s="17"/>
      <c r="B57" s="78" t="s">
        <v>57</v>
      </c>
      <c r="C57" s="147"/>
      <c r="D57" s="220">
        <v>17350</v>
      </c>
      <c r="E57" s="6"/>
    </row>
    <row r="58" spans="1:5" x14ac:dyDescent="0.2">
      <c r="A58" s="17"/>
      <c r="B58" s="78" t="s">
        <v>58</v>
      </c>
      <c r="C58" s="147"/>
      <c r="D58" s="220">
        <v>8071.39</v>
      </c>
      <c r="E58" s="6"/>
    </row>
    <row r="59" spans="1:5" x14ac:dyDescent="0.2">
      <c r="A59" s="17"/>
      <c r="B59" s="78" t="s">
        <v>59</v>
      </c>
      <c r="C59" s="147"/>
      <c r="D59" s="220">
        <v>143184.82</v>
      </c>
      <c r="E59" s="6"/>
    </row>
    <row r="60" spans="1:5" ht="45.75" customHeight="1" x14ac:dyDescent="0.2">
      <c r="A60" s="33" t="s">
        <v>60</v>
      </c>
      <c r="B60" s="151" t="s">
        <v>61</v>
      </c>
      <c r="C60" s="147" t="s">
        <v>6</v>
      </c>
      <c r="D60" s="216">
        <v>0</v>
      </c>
      <c r="E60" s="6"/>
    </row>
    <row r="61" spans="1:5" x14ac:dyDescent="0.2">
      <c r="A61" s="31" t="s">
        <v>62</v>
      </c>
      <c r="B61" s="210" t="s">
        <v>252</v>
      </c>
      <c r="C61" s="147" t="s">
        <v>6</v>
      </c>
      <c r="D61" s="216">
        <v>11720.26</v>
      </c>
      <c r="E61" s="6"/>
    </row>
    <row r="62" spans="1:5" x14ac:dyDescent="0.2">
      <c r="A62" s="152" t="s">
        <v>64</v>
      </c>
      <c r="B62" s="211" t="s">
        <v>261</v>
      </c>
      <c r="C62" s="142" t="s">
        <v>6</v>
      </c>
      <c r="D62" s="219">
        <v>272956.88</v>
      </c>
      <c r="E62" s="6"/>
    </row>
    <row r="63" spans="1:5" ht="33.75" x14ac:dyDescent="0.2">
      <c r="A63" s="31"/>
      <c r="B63" s="54" t="s">
        <v>63</v>
      </c>
      <c r="C63" s="148"/>
      <c r="D63" s="219"/>
      <c r="E63" s="6"/>
    </row>
    <row r="64" spans="1:5" ht="48" x14ac:dyDescent="0.2">
      <c r="A64" s="152" t="s">
        <v>66</v>
      </c>
      <c r="B64" s="56" t="s">
        <v>65</v>
      </c>
      <c r="C64" s="142" t="s">
        <v>6</v>
      </c>
      <c r="D64" s="216">
        <v>72455.77</v>
      </c>
      <c r="E64" s="6"/>
    </row>
    <row r="65" spans="1:5" ht="60" x14ac:dyDescent="0.2">
      <c r="A65" s="152" t="s">
        <v>68</v>
      </c>
      <c r="B65" s="57" t="s">
        <v>67</v>
      </c>
      <c r="C65" s="142" t="s">
        <v>6</v>
      </c>
      <c r="D65" s="216">
        <v>191232.14</v>
      </c>
      <c r="E65" s="6"/>
    </row>
    <row r="66" spans="1:5" ht="15" x14ac:dyDescent="0.25">
      <c r="A66" s="152" t="s">
        <v>251</v>
      </c>
      <c r="B66" s="58" t="s">
        <v>69</v>
      </c>
      <c r="C66" s="142" t="s">
        <v>6</v>
      </c>
      <c r="D66" s="218">
        <f>D16*6%</f>
        <v>65824.12079999999</v>
      </c>
      <c r="E66" s="6"/>
    </row>
    <row r="67" spans="1:5" x14ac:dyDescent="0.2">
      <c r="A67" s="31"/>
      <c r="B67" s="59" t="s">
        <v>70</v>
      </c>
      <c r="C67" s="142" t="s">
        <v>6</v>
      </c>
      <c r="D67" s="224">
        <f>D66+D65+D64+D62+D61+D54+D49+D38+D34+D31+D28+D24+D66</f>
        <v>1380027.3716</v>
      </c>
      <c r="E67" s="6"/>
    </row>
    <row r="68" spans="1:5" x14ac:dyDescent="0.2">
      <c r="A68" s="60"/>
      <c r="B68" s="61"/>
      <c r="C68" s="149"/>
      <c r="D68" s="221"/>
      <c r="E68" s="6"/>
    </row>
    <row r="69" spans="1:5" x14ac:dyDescent="0.2">
      <c r="A69" s="33"/>
      <c r="B69" s="150" t="s">
        <v>71</v>
      </c>
      <c r="C69" s="142" t="s">
        <v>6</v>
      </c>
      <c r="D69" s="218">
        <f>D6+D16-D67</f>
        <v>-220232.22160000005</v>
      </c>
      <c r="E69" s="6"/>
    </row>
    <row r="70" spans="1:5" x14ac:dyDescent="0.2">
      <c r="A70" s="60"/>
      <c r="B70" s="273"/>
      <c r="C70" s="274"/>
      <c r="D70" s="159"/>
      <c r="E70" s="81"/>
    </row>
    <row r="71" spans="1:5" x14ac:dyDescent="0.2">
      <c r="A71" s="60"/>
      <c r="B71" s="273"/>
      <c r="C71" s="274"/>
      <c r="D71" s="159"/>
      <c r="E71" s="81"/>
    </row>
    <row r="72" spans="1:5" x14ac:dyDescent="0.2">
      <c r="B72" s="66" t="s">
        <v>72</v>
      </c>
      <c r="C72" s="66"/>
      <c r="D72" s="66" t="s">
        <v>73</v>
      </c>
    </row>
    <row r="73" spans="1:5" x14ac:dyDescent="0.2">
      <c r="B73" s="66" t="s">
        <v>74</v>
      </c>
      <c r="C73" s="66"/>
      <c r="D73" s="66" t="s">
        <v>273</v>
      </c>
    </row>
  </sheetData>
  <mergeCells count="2">
    <mergeCell ref="B3:E3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49" workbookViewId="0">
      <selection activeCell="F21" sqref="F21:P69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9" style="1"/>
    <col min="4" max="4" width="12.28515625" style="1" customWidth="1"/>
    <col min="5" max="5" width="14" style="1" customWidth="1"/>
    <col min="6" max="6" width="11.140625" style="1" customWidth="1"/>
    <col min="7" max="7" width="11.85546875" style="1" customWidth="1"/>
    <col min="8" max="8" width="12" style="1" customWidth="1"/>
    <col min="9" max="9" width="14" style="1" customWidth="1"/>
    <col min="10" max="16384" width="9" style="1"/>
  </cols>
  <sheetData>
    <row r="1" spans="1:15" ht="15" x14ac:dyDescent="0.25">
      <c r="B1" s="82" t="s">
        <v>0</v>
      </c>
      <c r="C1" s="2"/>
      <c r="D1" s="3"/>
      <c r="G1" s="2"/>
    </row>
    <row r="2" spans="1:15" ht="15" customHeight="1" x14ac:dyDescent="0.25">
      <c r="A2" s="298" t="s">
        <v>130</v>
      </c>
      <c r="B2" s="298"/>
      <c r="C2" s="298"/>
      <c r="D2" s="298"/>
      <c r="E2" s="298"/>
      <c r="F2" s="4"/>
      <c r="G2" s="2"/>
    </row>
    <row r="3" spans="1:15" ht="15" customHeight="1" x14ac:dyDescent="0.25">
      <c r="A3" s="4"/>
      <c r="B3" s="298" t="s">
        <v>189</v>
      </c>
      <c r="C3" s="298"/>
      <c r="D3" s="298"/>
      <c r="E3" s="298"/>
      <c r="G3" s="2"/>
    </row>
    <row r="4" spans="1:15" ht="15" x14ac:dyDescent="0.25">
      <c r="B4" s="5"/>
      <c r="C4" s="5"/>
      <c r="D4" s="5"/>
      <c r="G4" s="2"/>
    </row>
    <row r="5" spans="1:15" ht="15" x14ac:dyDescent="0.25">
      <c r="B5" s="5" t="s">
        <v>182</v>
      </c>
      <c r="C5" s="5"/>
      <c r="D5" s="5">
        <v>1423772.64</v>
      </c>
      <c r="G5" s="2"/>
    </row>
    <row r="6" spans="1:15" ht="15" x14ac:dyDescent="0.25">
      <c r="A6" s="6"/>
      <c r="B6" s="7" t="s">
        <v>76</v>
      </c>
      <c r="C6" s="8" t="s">
        <v>6</v>
      </c>
      <c r="D6" s="67">
        <v>-26528.09</v>
      </c>
      <c r="E6" s="6"/>
      <c r="F6" s="2"/>
    </row>
    <row r="7" spans="1:15" x14ac:dyDescent="0.2">
      <c r="A7" s="6"/>
      <c r="B7" s="7"/>
      <c r="C7" s="8"/>
      <c r="D7" s="67"/>
      <c r="E7" s="6"/>
    </row>
    <row r="8" spans="1:15" x14ac:dyDescent="0.2">
      <c r="A8" s="6"/>
      <c r="B8" s="10" t="s">
        <v>2</v>
      </c>
      <c r="C8" s="8" t="s">
        <v>3</v>
      </c>
      <c r="D8" s="68">
        <v>10663</v>
      </c>
      <c r="E8" s="6"/>
    </row>
    <row r="9" spans="1:15" x14ac:dyDescent="0.2">
      <c r="A9" s="6"/>
      <c r="B9" s="10" t="s">
        <v>4</v>
      </c>
      <c r="C9" s="8" t="s">
        <v>3</v>
      </c>
      <c r="D9" s="68">
        <v>7476.1</v>
      </c>
      <c r="E9" s="6"/>
    </row>
    <row r="10" spans="1:15" x14ac:dyDescent="0.2">
      <c r="A10" s="6"/>
      <c r="B10" s="12" t="s">
        <v>5</v>
      </c>
      <c r="C10" s="7" t="s">
        <v>6</v>
      </c>
      <c r="D10" s="68">
        <v>1929095.77</v>
      </c>
      <c r="E10" s="6"/>
    </row>
    <row r="11" spans="1:15" x14ac:dyDescent="0.2">
      <c r="A11" s="6"/>
      <c r="B11" s="7"/>
      <c r="C11" s="7"/>
      <c r="D11" s="68"/>
      <c r="E11" s="6"/>
    </row>
    <row r="12" spans="1:15" x14ac:dyDescent="0.2">
      <c r="A12" s="6"/>
      <c r="B12" s="12" t="s">
        <v>7</v>
      </c>
      <c r="C12" s="7"/>
      <c r="D12" s="68"/>
      <c r="E12" s="6"/>
    </row>
    <row r="13" spans="1:15" x14ac:dyDescent="0.2">
      <c r="A13" s="6">
        <v>1</v>
      </c>
      <c r="B13" s="8" t="s">
        <v>84</v>
      </c>
      <c r="C13" s="8" t="s">
        <v>6</v>
      </c>
      <c r="D13" s="68">
        <v>1633715.88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8" t="s">
        <v>9</v>
      </c>
      <c r="C14" s="8" t="s">
        <v>6</v>
      </c>
      <c r="D14" s="68">
        <v>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8"/>
      <c r="C15" s="8"/>
      <c r="D15" s="68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2" t="s">
        <v>10</v>
      </c>
      <c r="C16" s="7" t="s">
        <v>6</v>
      </c>
      <c r="D16" s="67">
        <f>D13+D14+D15</f>
        <v>1633715.88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8" t="s">
        <v>86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125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26" t="s">
        <v>6</v>
      </c>
      <c r="D24" s="216">
        <f>D25+D26+D27</f>
        <v>360023.77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81" customHeight="1" x14ac:dyDescent="0.2">
      <c r="A25" s="22"/>
      <c r="B25" s="28" t="s">
        <v>21</v>
      </c>
      <c r="C25" s="29"/>
      <c r="D25" s="204">
        <v>133941.35999999999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f>207427.41+4302</f>
        <v>211729.41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69"/>
      <c r="D27" s="204">
        <v>14353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14488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10900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33"/>
      <c r="B30" s="70" t="s">
        <v>26</v>
      </c>
      <c r="C30" s="35"/>
      <c r="D30" s="204">
        <v>3588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36" t="s">
        <v>6</v>
      </c>
      <c r="D31" s="216">
        <f>D32+D33</f>
        <v>50238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29"/>
      <c r="D32" s="204">
        <v>50238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9.75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9756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39"/>
      <c r="D35" s="204">
        <v>4800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12"/>
      <c r="B36" s="38" t="s">
        <v>89</v>
      </c>
      <c r="C36" s="39"/>
      <c r="D36" s="204">
        <v>4956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D39+D40+D41+D43+D44+D45+D46+D47</f>
        <v>68608.25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5482.5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34905.51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6" customHeight="1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109</v>
      </c>
      <c r="C44" s="44"/>
      <c r="D44" s="204">
        <v>0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42"/>
      <c r="B45" s="47" t="s">
        <v>91</v>
      </c>
      <c r="C45" s="44"/>
      <c r="D45" s="204">
        <v>24431.7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x14ac:dyDescent="0.2">
      <c r="A46" s="29"/>
      <c r="B46" s="47" t="s">
        <v>92</v>
      </c>
      <c r="C46" s="44"/>
      <c r="D46" s="204">
        <v>3788.54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42"/>
      <c r="B47" s="47" t="s">
        <v>131</v>
      </c>
      <c r="C47" s="44"/>
      <c r="D47" s="204">
        <v>0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42.75" customHeight="1" x14ac:dyDescent="0.2">
      <c r="A48" s="12" t="s">
        <v>46</v>
      </c>
      <c r="B48" s="48" t="s">
        <v>47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49"/>
      <c r="B49" s="50" t="s">
        <v>48</v>
      </c>
      <c r="C49" s="49"/>
      <c r="D49" s="204"/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5.5" x14ac:dyDescent="0.2">
      <c r="A50" s="31"/>
      <c r="B50" s="51" t="s">
        <v>49</v>
      </c>
      <c r="C50" s="20" t="s">
        <v>6</v>
      </c>
      <c r="D50" s="216">
        <f>D51+D52+D53</f>
        <v>126027.09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2.5" x14ac:dyDescent="0.2">
      <c r="A51" s="33"/>
      <c r="B51" s="28" t="s">
        <v>50</v>
      </c>
      <c r="C51" s="39"/>
      <c r="D51" s="204">
        <v>121742.18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1"/>
      <c r="B52" s="52" t="s">
        <v>51</v>
      </c>
      <c r="C52" s="39"/>
      <c r="D52" s="204"/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22.5" x14ac:dyDescent="0.2">
      <c r="A53" s="31"/>
      <c r="B53" s="52" t="s">
        <v>52</v>
      </c>
      <c r="C53" s="39"/>
      <c r="D53" s="204">
        <v>4284.91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49"/>
      <c r="B54" s="76" t="s">
        <v>53</v>
      </c>
      <c r="C54" s="49"/>
      <c r="D54" s="204"/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7" t="s">
        <v>54</v>
      </c>
      <c r="C55" s="20" t="s">
        <v>6</v>
      </c>
      <c r="D55" s="216">
        <f>D56+D57+D58+D59+D60</f>
        <v>459319.96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55</v>
      </c>
      <c r="C56" s="79"/>
      <c r="D56" s="204">
        <v>124605.02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56</v>
      </c>
      <c r="C57" s="79"/>
      <c r="D57" s="204">
        <v>198209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57</v>
      </c>
      <c r="C58" s="79"/>
      <c r="D58" s="204">
        <v>13213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17"/>
      <c r="B59" s="78" t="s">
        <v>59</v>
      </c>
      <c r="C59" s="79"/>
      <c r="D59" s="204">
        <v>106314.94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17"/>
      <c r="B60" s="28" t="s">
        <v>97</v>
      </c>
      <c r="C60" s="79"/>
      <c r="D60" s="204">
        <v>16978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x14ac:dyDescent="0.2">
      <c r="A61" s="33" t="s">
        <v>60</v>
      </c>
      <c r="B61" s="210" t="s">
        <v>252</v>
      </c>
      <c r="C61" s="20" t="s">
        <v>6</v>
      </c>
      <c r="D61" s="216">
        <v>18176.84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x14ac:dyDescent="0.2">
      <c r="A62" s="31" t="s">
        <v>62</v>
      </c>
      <c r="B62" s="211" t="s">
        <v>262</v>
      </c>
      <c r="C62" s="20" t="s">
        <v>6</v>
      </c>
      <c r="D62" s="216">
        <v>290460.95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33.75" x14ac:dyDescent="0.2">
      <c r="A63" s="31"/>
      <c r="B63" s="54" t="s">
        <v>63</v>
      </c>
      <c r="C63" s="55"/>
      <c r="D63" s="204"/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48" x14ac:dyDescent="0.2">
      <c r="A64" s="31" t="s">
        <v>64</v>
      </c>
      <c r="B64" s="56" t="s">
        <v>65</v>
      </c>
      <c r="C64" s="55" t="s">
        <v>6</v>
      </c>
      <c r="D64" s="216">
        <f>112896.04+5200</f>
        <v>118096.04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60" x14ac:dyDescent="0.2">
      <c r="A65" s="31" t="s">
        <v>66</v>
      </c>
      <c r="B65" s="57" t="s">
        <v>67</v>
      </c>
      <c r="C65" s="55" t="s">
        <v>6</v>
      </c>
      <c r="D65" s="216">
        <f>286298.52+4556.58</f>
        <v>290855.10000000003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" x14ac:dyDescent="0.25">
      <c r="A66" s="31" t="s">
        <v>68</v>
      </c>
      <c r="B66" s="58" t="s">
        <v>69</v>
      </c>
      <c r="C66" s="55" t="s">
        <v>6</v>
      </c>
      <c r="D66" s="218">
        <f>D16*6%</f>
        <v>98022.952799999985</v>
      </c>
      <c r="E66" s="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x14ac:dyDescent="0.2">
      <c r="A67" s="31"/>
      <c r="B67" s="59" t="s">
        <v>70</v>
      </c>
      <c r="C67" s="55" t="s">
        <v>6</v>
      </c>
      <c r="D67" s="218">
        <f>D66+D65+D64+D62+D61+D55+D50+D38+D34+D31+D28+D24</f>
        <v>1904072.9528000001</v>
      </c>
      <c r="E67" s="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/>
      <c r="C68" s="62"/>
      <c r="D68" s="159"/>
      <c r="E68" s="156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60"/>
      <c r="B69" s="61" t="s">
        <v>116</v>
      </c>
      <c r="C69" s="62"/>
      <c r="D69" s="159">
        <f>D6+D16-D67</f>
        <v>-296885.16280000028</v>
      </c>
      <c r="E69" s="156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A70" s="60"/>
      <c r="B70" s="61"/>
      <c r="C70" s="62"/>
      <c r="D70" s="156"/>
      <c r="E70" s="156"/>
      <c r="F70" s="6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A71" s="60"/>
      <c r="B71" s="61"/>
      <c r="C71" s="62"/>
      <c r="D71" s="63"/>
      <c r="E71" s="63"/>
      <c r="F71" s="6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5.75" x14ac:dyDescent="0.25">
      <c r="A72" s="60"/>
      <c r="B72" s="61"/>
      <c r="C72" s="62"/>
      <c r="D72" s="65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">
      <c r="A73" s="60"/>
      <c r="B73" s="66" t="s">
        <v>72</v>
      </c>
      <c r="C73" s="66"/>
      <c r="D73" s="66" t="s">
        <v>73</v>
      </c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x14ac:dyDescent="0.2">
      <c r="A74" s="60"/>
      <c r="B74" s="66" t="s">
        <v>74</v>
      </c>
      <c r="C74" s="66"/>
      <c r="D74" s="66" t="s">
        <v>273</v>
      </c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x14ac:dyDescent="0.2">
      <c r="A75" s="60"/>
      <c r="G75" s="153"/>
      <c r="H75" s="153"/>
      <c r="I75" s="153"/>
      <c r="J75" s="153"/>
      <c r="K75" s="153"/>
      <c r="L75" s="153"/>
      <c r="M75" s="153"/>
      <c r="N75" s="153"/>
      <c r="O75" s="15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8" workbookViewId="0">
      <selection activeCell="F22" sqref="F22:Q69"/>
    </sheetView>
  </sheetViews>
  <sheetFormatPr defaultColWidth="9" defaultRowHeight="14.25" x14ac:dyDescent="0.2"/>
  <cols>
    <col min="1" max="1" width="4.7109375" style="1" customWidth="1"/>
    <col min="2" max="2" width="37.5703125" style="1" customWidth="1"/>
    <col min="3" max="3" width="9.28515625" style="1" customWidth="1"/>
    <col min="4" max="4" width="12.140625" style="1" customWidth="1"/>
    <col min="5" max="5" width="14" style="1" customWidth="1"/>
    <col min="6" max="6" width="12" style="1" customWidth="1"/>
    <col min="7" max="7" width="11.7109375" style="1" customWidth="1"/>
    <col min="8" max="8" width="12.28515625" style="1" customWidth="1"/>
    <col min="9" max="9" width="11.5703125" style="1" customWidth="1"/>
    <col min="10" max="11" width="9.28515625" style="1" customWidth="1"/>
    <col min="12" max="16384" width="9" style="1"/>
  </cols>
  <sheetData>
    <row r="1" spans="1:14" ht="15" x14ac:dyDescent="0.25">
      <c r="B1" s="82" t="s">
        <v>0</v>
      </c>
      <c r="C1" s="2"/>
      <c r="D1" s="3"/>
      <c r="G1" s="2"/>
    </row>
    <row r="2" spans="1:14" ht="15" customHeight="1" x14ac:dyDescent="0.25">
      <c r="A2" s="298" t="s">
        <v>170</v>
      </c>
      <c r="B2" s="298"/>
      <c r="C2" s="298"/>
      <c r="D2" s="298"/>
      <c r="E2" s="298"/>
      <c r="F2" s="4"/>
      <c r="G2" s="2"/>
    </row>
    <row r="3" spans="1:14" ht="15" customHeight="1" x14ac:dyDescent="0.25">
      <c r="A3" s="4"/>
      <c r="B3" s="298" t="s">
        <v>190</v>
      </c>
      <c r="C3" s="298"/>
      <c r="D3" s="298"/>
      <c r="E3" s="298"/>
      <c r="G3" s="2"/>
    </row>
    <row r="4" spans="1:14" ht="15" x14ac:dyDescent="0.25">
      <c r="B4" s="5"/>
      <c r="C4" s="5"/>
      <c r="D4" s="5"/>
      <c r="G4" s="2"/>
    </row>
    <row r="5" spans="1:14" ht="15" x14ac:dyDescent="0.25">
      <c r="B5" s="5" t="s">
        <v>182</v>
      </c>
      <c r="C5" s="5"/>
      <c r="D5" s="163">
        <v>212929.4</v>
      </c>
      <c r="G5" s="2"/>
    </row>
    <row r="6" spans="1:14" ht="15" x14ac:dyDescent="0.25">
      <c r="A6" s="6"/>
      <c r="B6" s="164" t="s">
        <v>214</v>
      </c>
      <c r="C6" s="8" t="s">
        <v>6</v>
      </c>
      <c r="D6" s="161">
        <v>-20601.62</v>
      </c>
      <c r="E6" s="6"/>
      <c r="F6" s="2"/>
    </row>
    <row r="7" spans="1:14" ht="15" x14ac:dyDescent="0.25">
      <c r="A7" s="6"/>
      <c r="B7" s="164"/>
      <c r="C7" s="167"/>
      <c r="D7" s="161"/>
      <c r="E7" s="6"/>
      <c r="F7" s="2"/>
    </row>
    <row r="8" spans="1:14" x14ac:dyDescent="0.2">
      <c r="A8" s="6"/>
      <c r="B8" s="165" t="s">
        <v>2</v>
      </c>
      <c r="C8" s="167" t="s">
        <v>3</v>
      </c>
      <c r="D8" s="160">
        <v>5496.12</v>
      </c>
      <c r="E8" s="6"/>
    </row>
    <row r="9" spans="1:14" x14ac:dyDescent="0.2">
      <c r="A9" s="6"/>
      <c r="B9" s="165" t="s">
        <v>4</v>
      </c>
      <c r="C9" s="167" t="s">
        <v>3</v>
      </c>
      <c r="D9" s="160">
        <v>3592.72</v>
      </c>
      <c r="E9" s="6"/>
    </row>
    <row r="10" spans="1:14" x14ac:dyDescent="0.2">
      <c r="A10" s="6"/>
      <c r="B10" s="166" t="s">
        <v>5</v>
      </c>
      <c r="C10" s="164" t="s">
        <v>6</v>
      </c>
      <c r="D10" s="161">
        <v>729790.47</v>
      </c>
      <c r="E10" s="6"/>
    </row>
    <row r="11" spans="1:14" x14ac:dyDescent="0.2">
      <c r="A11" s="6"/>
      <c r="B11" s="164"/>
      <c r="C11" s="164"/>
      <c r="D11" s="160"/>
      <c r="E11" s="6"/>
    </row>
    <row r="12" spans="1:14" x14ac:dyDescent="0.2">
      <c r="A12" s="6"/>
      <c r="B12" s="166" t="s">
        <v>7</v>
      </c>
      <c r="C12" s="164"/>
      <c r="D12" s="160"/>
      <c r="E12" s="6"/>
    </row>
    <row r="13" spans="1:14" x14ac:dyDescent="0.2">
      <c r="A13" s="6">
        <v>1</v>
      </c>
      <c r="B13" s="167" t="s">
        <v>208</v>
      </c>
      <c r="C13" s="167" t="s">
        <v>6</v>
      </c>
      <c r="D13" s="160">
        <v>656703.93000000005</v>
      </c>
      <c r="E13" s="6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167" t="s">
        <v>9</v>
      </c>
      <c r="C14" s="167" t="s">
        <v>6</v>
      </c>
      <c r="D14" s="160">
        <f>6000+3150+9000</f>
        <v>18150</v>
      </c>
      <c r="E14" s="6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/>
      <c r="B15" s="167"/>
      <c r="C15" s="167"/>
      <c r="D15" s="160"/>
      <c r="E15" s="6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166" t="s">
        <v>10</v>
      </c>
      <c r="C16" s="164" t="s">
        <v>6</v>
      </c>
      <c r="D16" s="161">
        <f>D13+D14+D15</f>
        <v>674853.93</v>
      </c>
      <c r="E16" s="6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12</v>
      </c>
      <c r="B21" s="16"/>
      <c r="C21" s="17" t="s">
        <v>85</v>
      </c>
      <c r="D21" s="18" t="s">
        <v>13</v>
      </c>
      <c r="E21" s="18" t="s">
        <v>86</v>
      </c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</row>
    <row r="23" spans="1:14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51" x14ac:dyDescent="0.2">
      <c r="A24" s="22"/>
      <c r="B24" s="25" t="s">
        <v>20</v>
      </c>
      <c r="C24" s="26" t="s">
        <v>6</v>
      </c>
      <c r="D24" s="216">
        <f>D25+D26+D27</f>
        <v>129401.05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80.25" customHeight="1" x14ac:dyDescent="0.2">
      <c r="A25" s="22"/>
      <c r="B25" s="28" t="s">
        <v>21</v>
      </c>
      <c r="C25" s="29"/>
      <c r="D25" s="204">
        <v>58298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114" customHeight="1" x14ac:dyDescent="0.2">
      <c r="A26" s="30"/>
      <c r="B26" s="28" t="s">
        <v>22</v>
      </c>
      <c r="C26" s="29"/>
      <c r="D26" s="204">
        <v>64193.05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7" customHeight="1" x14ac:dyDescent="0.2">
      <c r="A27" s="31"/>
      <c r="B27" s="119" t="s">
        <v>23</v>
      </c>
      <c r="C27" s="29"/>
      <c r="D27" s="204">
        <v>6910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ht="25.5" x14ac:dyDescent="0.2">
      <c r="A28" s="22"/>
      <c r="B28" s="25" t="s">
        <v>24</v>
      </c>
      <c r="C28" s="26" t="s">
        <v>6</v>
      </c>
      <c r="D28" s="216">
        <f>D29+D30</f>
        <v>8202.2800000000007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33"/>
      <c r="B29" s="34" t="s">
        <v>25</v>
      </c>
      <c r="C29" s="35"/>
      <c r="D29" s="204">
        <v>6476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x14ac:dyDescent="0.2">
      <c r="A30" s="22"/>
      <c r="B30" s="34" t="s">
        <v>26</v>
      </c>
      <c r="C30" s="35"/>
      <c r="D30" s="204">
        <v>1726.28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51" x14ac:dyDescent="0.2">
      <c r="A31" s="22" t="s">
        <v>27</v>
      </c>
      <c r="B31" s="25" t="s">
        <v>28</v>
      </c>
      <c r="C31" s="36" t="s">
        <v>6</v>
      </c>
      <c r="D31" s="216">
        <f>D32+D33</f>
        <v>22873.23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78.75" x14ac:dyDescent="0.2">
      <c r="A32" s="37"/>
      <c r="B32" s="28" t="s">
        <v>29</v>
      </c>
      <c r="C32" s="29"/>
      <c r="D32" s="204">
        <v>22873.23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25.5" x14ac:dyDescent="0.2">
      <c r="A33" s="37"/>
      <c r="B33" s="91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50.25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10351.92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36" customHeight="1" x14ac:dyDescent="0.2">
      <c r="A35" s="33"/>
      <c r="B35" s="250" t="s">
        <v>33</v>
      </c>
      <c r="C35" s="39"/>
      <c r="D35" s="204">
        <v>6451.92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2.5" customHeight="1" x14ac:dyDescent="0.2">
      <c r="A36" s="33"/>
      <c r="B36" s="248" t="s">
        <v>89</v>
      </c>
      <c r="C36" s="39"/>
      <c r="D36" s="204">
        <v>3900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22.5" x14ac:dyDescent="0.2">
      <c r="A37" s="33"/>
      <c r="B37" s="24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29382.040000000005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x14ac:dyDescent="0.2">
      <c r="A39" s="201"/>
      <c r="B39" s="202" t="s">
        <v>38</v>
      </c>
      <c r="C39" s="203"/>
      <c r="D39" s="204">
        <v>2006.76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ht="22.5" x14ac:dyDescent="0.2">
      <c r="A40" s="201"/>
      <c r="B40" s="202" t="s">
        <v>39</v>
      </c>
      <c r="C40" s="203"/>
      <c r="D40" s="204">
        <v>7760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x14ac:dyDescent="0.2">
      <c r="A41" s="201"/>
      <c r="B41" s="205" t="s">
        <v>40</v>
      </c>
      <c r="C41" s="203"/>
      <c r="D41" s="204">
        <v>16774.22</v>
      </c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ht="45" x14ac:dyDescent="0.2">
      <c r="A42" s="206"/>
      <c r="B42" s="207" t="s">
        <v>41</v>
      </c>
      <c r="C42" s="203"/>
      <c r="D42" s="204"/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x14ac:dyDescent="0.2">
      <c r="A43" s="201"/>
      <c r="B43" s="208" t="s">
        <v>109</v>
      </c>
      <c r="C43" s="203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">
      <c r="A44" s="201"/>
      <c r="B44" s="208" t="s">
        <v>91</v>
      </c>
      <c r="C44" s="203"/>
      <c r="D44" s="204">
        <v>679.13</v>
      </c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">
      <c r="A45" s="209"/>
      <c r="B45" s="208" t="s">
        <v>92</v>
      </c>
      <c r="C45" s="203"/>
      <c r="D45" s="204">
        <v>1820.62</v>
      </c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22.5" x14ac:dyDescent="0.2">
      <c r="A46" s="201"/>
      <c r="B46" s="208" t="s">
        <v>45</v>
      </c>
      <c r="C46" s="203"/>
      <c r="D46" s="204">
        <v>341.31</v>
      </c>
      <c r="E46" s="6"/>
      <c r="G46" s="153"/>
      <c r="H46" s="153"/>
      <c r="I46" s="153"/>
      <c r="J46" s="153"/>
      <c r="K46" s="153"/>
      <c r="L46" s="153"/>
      <c r="M46" s="153"/>
      <c r="N46" s="153"/>
    </row>
    <row r="47" spans="1:14" ht="40.5" customHeight="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5.5" customHeight="1" x14ac:dyDescent="0.2">
      <c r="A49" s="31"/>
      <c r="B49" s="51" t="s">
        <v>49</v>
      </c>
      <c r="C49" s="20" t="s">
        <v>6</v>
      </c>
      <c r="D49" s="216">
        <f>D50+D51+D52</f>
        <v>79011.81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75812.41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75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75"/>
      <c r="D52" s="204">
        <v>3199.4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49"/>
      <c r="B53" s="76" t="s">
        <v>53</v>
      </c>
      <c r="C53" s="49"/>
      <c r="D53" s="204"/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x14ac:dyDescent="0.2">
      <c r="A54" s="17"/>
      <c r="B54" s="77" t="s">
        <v>54</v>
      </c>
      <c r="C54" s="20" t="s">
        <v>6</v>
      </c>
      <c r="D54" s="230">
        <f>D55+D56+D57+D58+D59</f>
        <v>137521.15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x14ac:dyDescent="0.2">
      <c r="A55" s="17"/>
      <c r="B55" s="78" t="s">
        <v>55</v>
      </c>
      <c r="C55" s="79"/>
      <c r="D55" s="231">
        <v>38810</v>
      </c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x14ac:dyDescent="0.2">
      <c r="A56" s="17"/>
      <c r="B56" s="78" t="s">
        <v>56</v>
      </c>
      <c r="C56" s="39"/>
      <c r="D56" s="231">
        <v>79452.160000000003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x14ac:dyDescent="0.2">
      <c r="A57" s="17"/>
      <c r="B57" s="78" t="s">
        <v>57</v>
      </c>
      <c r="C57" s="79"/>
      <c r="D57" s="231">
        <v>10778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x14ac:dyDescent="0.2">
      <c r="A58" s="17"/>
      <c r="B58" s="78" t="s">
        <v>59</v>
      </c>
      <c r="C58" s="39"/>
      <c r="D58" s="204">
        <v>0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17"/>
      <c r="B59" s="28" t="s">
        <v>97</v>
      </c>
      <c r="C59" s="79"/>
      <c r="D59" s="204">
        <v>8480.99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x14ac:dyDescent="0.2">
      <c r="A60" s="33" t="s">
        <v>60</v>
      </c>
      <c r="B60" s="210" t="s">
        <v>252</v>
      </c>
      <c r="C60" s="20" t="s">
        <v>6</v>
      </c>
      <c r="D60" s="204">
        <v>8735.07</v>
      </c>
      <c r="E60" s="6"/>
      <c r="G60" s="153"/>
      <c r="H60" s="153"/>
      <c r="I60" s="153"/>
      <c r="J60" s="153"/>
      <c r="K60" s="153"/>
      <c r="L60" s="153"/>
      <c r="M60" s="153"/>
      <c r="N60" s="153"/>
    </row>
    <row r="61" spans="1:14" x14ac:dyDescent="0.2">
      <c r="A61" s="31" t="s">
        <v>62</v>
      </c>
      <c r="B61" s="211" t="s">
        <v>262</v>
      </c>
      <c r="C61" s="20" t="s">
        <v>6</v>
      </c>
      <c r="D61" s="216">
        <v>48857.56</v>
      </c>
      <c r="E61" s="6"/>
      <c r="G61" s="153"/>
      <c r="H61" s="153"/>
      <c r="I61" s="153"/>
      <c r="J61" s="153"/>
      <c r="K61" s="153"/>
      <c r="L61" s="153"/>
      <c r="M61" s="153"/>
      <c r="N61" s="153"/>
    </row>
    <row r="62" spans="1:14" ht="33.75" x14ac:dyDescent="0.2">
      <c r="A62" s="31"/>
      <c r="B62" s="54" t="s">
        <v>63</v>
      </c>
      <c r="C62" s="55"/>
      <c r="D62" s="204"/>
      <c r="E62" s="6"/>
      <c r="G62" s="153"/>
      <c r="H62" s="153"/>
      <c r="I62" s="153"/>
      <c r="J62" s="153"/>
      <c r="K62" s="153"/>
      <c r="L62" s="153"/>
      <c r="M62" s="153"/>
      <c r="N62" s="153"/>
    </row>
    <row r="63" spans="1:14" ht="48" x14ac:dyDescent="0.2">
      <c r="A63" s="31" t="s">
        <v>64</v>
      </c>
      <c r="B63" s="56" t="s">
        <v>65</v>
      </c>
      <c r="C63" s="55" t="s">
        <v>6</v>
      </c>
      <c r="D63" s="216">
        <v>37702.699999999997</v>
      </c>
      <c r="E63" s="6"/>
      <c r="G63" s="153"/>
      <c r="H63" s="153"/>
      <c r="I63" s="153"/>
      <c r="J63" s="153"/>
      <c r="K63" s="153"/>
      <c r="L63" s="153"/>
      <c r="M63" s="153"/>
      <c r="N63" s="153"/>
    </row>
    <row r="64" spans="1:14" ht="60" x14ac:dyDescent="0.2">
      <c r="A64" s="31" t="s">
        <v>66</v>
      </c>
      <c r="B64" s="57" t="s">
        <v>67</v>
      </c>
      <c r="C64" s="55" t="s">
        <v>6</v>
      </c>
      <c r="D64" s="216">
        <f>153625.47+5197.68</f>
        <v>158823.15</v>
      </c>
      <c r="E64" s="6"/>
      <c r="G64" s="153"/>
      <c r="H64" s="153"/>
      <c r="I64" s="153"/>
      <c r="J64" s="153"/>
      <c r="K64" s="153"/>
      <c r="L64" s="153"/>
      <c r="M64" s="153"/>
      <c r="N64" s="153"/>
    </row>
    <row r="65" spans="1:14" ht="15" x14ac:dyDescent="0.25">
      <c r="A65" s="213" t="s">
        <v>68</v>
      </c>
      <c r="B65" s="58" t="s">
        <v>69</v>
      </c>
      <c r="C65" s="55" t="s">
        <v>6</v>
      </c>
      <c r="D65" s="218">
        <f>D16*6%</f>
        <v>40491.235800000002</v>
      </c>
      <c r="E65" s="6"/>
      <c r="G65" s="153"/>
      <c r="H65" s="153"/>
      <c r="I65" s="153"/>
      <c r="J65" s="153"/>
      <c r="K65" s="153"/>
      <c r="L65" s="153"/>
      <c r="M65" s="153"/>
      <c r="N65" s="153"/>
    </row>
    <row r="66" spans="1:14" x14ac:dyDescent="0.2">
      <c r="A66" s="31"/>
      <c r="B66" s="59" t="s">
        <v>70</v>
      </c>
      <c r="C66" s="130" t="s">
        <v>6</v>
      </c>
      <c r="D66" s="218">
        <f>D65+D64+D63+D61+D60+D54+D49+D38+D34+D31+D28+D24</f>
        <v>711353.1958000001</v>
      </c>
      <c r="E66" s="6"/>
      <c r="G66" s="153"/>
      <c r="H66" s="153"/>
      <c r="I66" s="153"/>
      <c r="J66" s="153"/>
      <c r="K66" s="153"/>
      <c r="L66" s="153"/>
      <c r="M66" s="153"/>
      <c r="N66" s="153"/>
    </row>
    <row r="67" spans="1:14" ht="15.75" x14ac:dyDescent="0.25">
      <c r="A67" s="60"/>
      <c r="B67" s="61"/>
      <c r="C67" s="62"/>
      <c r="D67" s="156"/>
      <c r="E67" s="159"/>
      <c r="G67" s="153"/>
      <c r="H67" s="153"/>
      <c r="I67" s="153"/>
      <c r="J67" s="153"/>
      <c r="K67" s="153"/>
      <c r="L67" s="153"/>
      <c r="M67" s="153"/>
      <c r="N67" s="153"/>
    </row>
    <row r="68" spans="1:14" ht="15.75" x14ac:dyDescent="0.25">
      <c r="A68" s="60"/>
      <c r="B68" s="243" t="s">
        <v>76</v>
      </c>
      <c r="C68" s="62"/>
      <c r="D68" s="159">
        <f>D6+D16-D66</f>
        <v>-57100.885800000047</v>
      </c>
      <c r="E68" s="159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A69" s="60"/>
      <c r="B69" s="61"/>
      <c r="C69" s="62"/>
      <c r="D69" s="156"/>
      <c r="E69" s="159"/>
      <c r="G69" s="153"/>
      <c r="H69" s="153"/>
      <c r="I69" s="153"/>
      <c r="J69" s="153"/>
      <c r="K69" s="153"/>
      <c r="L69" s="153"/>
      <c r="M69" s="153"/>
      <c r="N69" s="153"/>
    </row>
    <row r="70" spans="1:14" ht="15.75" x14ac:dyDescent="0.25">
      <c r="A70" s="60"/>
      <c r="B70" s="61"/>
      <c r="C70" s="62"/>
      <c r="D70" s="156"/>
      <c r="E70" s="159"/>
      <c r="G70" s="153"/>
      <c r="H70" s="153"/>
      <c r="I70" s="153"/>
      <c r="J70" s="153"/>
      <c r="K70" s="153"/>
      <c r="L70" s="153"/>
      <c r="M70" s="153"/>
      <c r="N70" s="153"/>
    </row>
    <row r="71" spans="1:14" ht="15.75" x14ac:dyDescent="0.25">
      <c r="A71" s="60"/>
      <c r="B71" s="61"/>
      <c r="C71" s="62"/>
      <c r="D71" s="228"/>
      <c r="E71" s="153"/>
      <c r="G71" s="153"/>
      <c r="H71" s="153"/>
      <c r="I71" s="153"/>
      <c r="J71" s="153"/>
      <c r="K71" s="153"/>
      <c r="L71" s="153"/>
      <c r="M71" s="153"/>
      <c r="N71" s="153"/>
    </row>
    <row r="72" spans="1:14" x14ac:dyDescent="0.2">
      <c r="A72" s="60"/>
      <c r="B72" s="1" t="s">
        <v>72</v>
      </c>
      <c r="D72" s="1" t="s">
        <v>73</v>
      </c>
    </row>
    <row r="73" spans="1:14" x14ac:dyDescent="0.2">
      <c r="A73" s="60"/>
      <c r="B73" s="1" t="s">
        <v>74</v>
      </c>
      <c r="D73" s="1" t="s">
        <v>273</v>
      </c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48" workbookViewId="0">
      <selection activeCell="F22" sqref="F22:R66"/>
    </sheetView>
  </sheetViews>
  <sheetFormatPr defaultColWidth="9" defaultRowHeight="14.25" x14ac:dyDescent="0.2"/>
  <cols>
    <col min="1" max="1" width="4.7109375" style="1" customWidth="1"/>
    <col min="2" max="2" width="37.42578125" style="1" customWidth="1"/>
    <col min="3" max="3" width="8.28515625" style="1" customWidth="1"/>
    <col min="4" max="4" width="13.28515625" style="1" customWidth="1"/>
    <col min="5" max="5" width="11.28515625" style="1" customWidth="1"/>
    <col min="6" max="6" width="11.140625" style="1" customWidth="1"/>
    <col min="7" max="7" width="10.7109375" style="1" customWidth="1"/>
    <col min="8" max="8" width="13.140625" style="1" customWidth="1"/>
    <col min="9" max="9" width="12.85546875" style="1" customWidth="1"/>
    <col min="10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8" t="s">
        <v>191</v>
      </c>
      <c r="C3" s="298"/>
      <c r="D3" s="298"/>
      <c r="E3" s="298"/>
    </row>
    <row r="4" spans="1:16" x14ac:dyDescent="0.2">
      <c r="B4" s="5"/>
      <c r="C4" s="5"/>
      <c r="D4" s="5"/>
    </row>
    <row r="5" spans="1:16" x14ac:dyDescent="0.2">
      <c r="B5" s="5" t="s">
        <v>182</v>
      </c>
      <c r="C5" s="5"/>
      <c r="D5" s="163">
        <v>128203.3</v>
      </c>
      <c r="E5" s="1" t="s">
        <v>6</v>
      </c>
    </row>
    <row r="6" spans="1:16" x14ac:dyDescent="0.2">
      <c r="A6" s="6"/>
      <c r="B6" s="164" t="s">
        <v>116</v>
      </c>
      <c r="C6" s="8" t="s">
        <v>6</v>
      </c>
      <c r="D6" s="161">
        <v>135299.04</v>
      </c>
      <c r="E6" s="6"/>
    </row>
    <row r="7" spans="1:16" x14ac:dyDescent="0.2">
      <c r="A7" s="6"/>
      <c r="B7" s="164"/>
      <c r="C7" s="8"/>
      <c r="D7" s="161"/>
      <c r="E7" s="6"/>
    </row>
    <row r="8" spans="1:16" x14ac:dyDescent="0.2">
      <c r="A8" s="6"/>
      <c r="B8" s="165" t="s">
        <v>2</v>
      </c>
      <c r="C8" s="8" t="s">
        <v>3</v>
      </c>
      <c r="D8" s="160">
        <v>4181.22</v>
      </c>
      <c r="E8" s="6"/>
    </row>
    <row r="9" spans="1:16" x14ac:dyDescent="0.2">
      <c r="A9" s="6"/>
      <c r="B9" s="165" t="s">
        <v>4</v>
      </c>
      <c r="C9" s="8" t="s">
        <v>3</v>
      </c>
      <c r="D9" s="160">
        <v>2415.5</v>
      </c>
      <c r="E9" s="6"/>
    </row>
    <row r="10" spans="1:16" x14ac:dyDescent="0.2">
      <c r="A10" s="6"/>
      <c r="B10" s="166" t="s">
        <v>5</v>
      </c>
      <c r="C10" s="7" t="s">
        <v>6</v>
      </c>
      <c r="D10" s="161">
        <v>285995.82</v>
      </c>
      <c r="E10" s="6"/>
    </row>
    <row r="11" spans="1:16" x14ac:dyDescent="0.2">
      <c r="A11" s="6"/>
      <c r="B11" s="164"/>
      <c r="C11" s="7"/>
      <c r="D11" s="160"/>
      <c r="E11" s="6"/>
    </row>
    <row r="12" spans="1:16" x14ac:dyDescent="0.2">
      <c r="A12" s="6"/>
      <c r="B12" s="166" t="s">
        <v>7</v>
      </c>
      <c r="C12" s="7"/>
      <c r="D12" s="160"/>
      <c r="E12" s="6"/>
    </row>
    <row r="13" spans="1:16" x14ac:dyDescent="0.2">
      <c r="A13" s="6">
        <v>1</v>
      </c>
      <c r="B13" s="167" t="s">
        <v>8</v>
      </c>
      <c r="C13" s="8" t="s">
        <v>6</v>
      </c>
      <c r="D13" s="160">
        <v>245636.46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6">
        <v>2</v>
      </c>
      <c r="B14" s="167" t="s">
        <v>9</v>
      </c>
      <c r="C14" s="8" t="s">
        <v>6</v>
      </c>
      <c r="D14" s="160">
        <f>3000+3150+4536+416000+9000</f>
        <v>435686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"/>
      <c r="B15" s="167"/>
      <c r="C15" s="7"/>
      <c r="D15" s="160"/>
      <c r="E15" s="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6"/>
      <c r="B16" s="166" t="s">
        <v>10</v>
      </c>
      <c r="C16" s="7" t="s">
        <v>6</v>
      </c>
      <c r="D16" s="161">
        <f>D13+D14+D15</f>
        <v>681322.46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6"/>
      <c r="B17" s="7"/>
      <c r="C17" s="7"/>
      <c r="D17" s="160"/>
      <c r="E17" s="6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12</v>
      </c>
      <c r="B21" s="16"/>
      <c r="C21" s="17" t="s">
        <v>85</v>
      </c>
      <c r="D21" s="18" t="s">
        <v>13</v>
      </c>
      <c r="E21" s="18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125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51" x14ac:dyDescent="0.2">
      <c r="A24" s="22"/>
      <c r="B24" s="25" t="s">
        <v>20</v>
      </c>
      <c r="C24" s="26" t="s">
        <v>6</v>
      </c>
      <c r="D24" s="216">
        <f>D25+D26+D27</f>
        <v>181031.54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90" x14ac:dyDescent="0.2">
      <c r="A25" s="22"/>
      <c r="B25" s="28" t="s">
        <v>21</v>
      </c>
      <c r="C25" s="29"/>
      <c r="D25" s="204">
        <v>56701.04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23.75" x14ac:dyDescent="0.2">
      <c r="A26" s="30"/>
      <c r="B26" s="28" t="s">
        <v>22</v>
      </c>
      <c r="C26" s="29"/>
      <c r="D26" s="204">
        <f>119916.4-223.9</f>
        <v>119692.5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2.5" x14ac:dyDescent="0.2">
      <c r="A27" s="31"/>
      <c r="B27" s="40" t="s">
        <v>23</v>
      </c>
      <c r="C27" s="29"/>
      <c r="D27" s="204">
        <v>4638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5.5" x14ac:dyDescent="0.2">
      <c r="A28" s="22"/>
      <c r="B28" s="25" t="s">
        <v>24</v>
      </c>
      <c r="C28" s="26" t="s">
        <v>6</v>
      </c>
      <c r="D28" s="216">
        <f>D29+D30</f>
        <v>5452.58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33"/>
      <c r="B29" s="70" t="s">
        <v>25</v>
      </c>
      <c r="C29" s="35"/>
      <c r="D29" s="204">
        <v>4583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22"/>
      <c r="B30" s="70" t="s">
        <v>26</v>
      </c>
      <c r="C30" s="35"/>
      <c r="D30" s="204">
        <v>869.58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51" x14ac:dyDescent="0.2">
      <c r="A31" s="22" t="s">
        <v>27</v>
      </c>
      <c r="B31" s="25" t="s">
        <v>28</v>
      </c>
      <c r="C31" s="36" t="s">
        <v>6</v>
      </c>
      <c r="D31" s="216">
        <f>D32+D33</f>
        <v>24700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78.75" x14ac:dyDescent="0.2">
      <c r="A32" s="37"/>
      <c r="B32" s="28" t="s">
        <v>29</v>
      </c>
      <c r="C32" s="29"/>
      <c r="D32" s="204">
        <v>24700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51" x14ac:dyDescent="0.2">
      <c r="A34" s="37" t="s">
        <v>31</v>
      </c>
      <c r="B34" s="25" t="s">
        <v>32</v>
      </c>
      <c r="C34" s="12" t="s">
        <v>6</v>
      </c>
      <c r="D34" s="216">
        <f>D35+D36+D37</f>
        <v>6535.46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45" x14ac:dyDescent="0.2">
      <c r="A35" s="33"/>
      <c r="B35" s="40" t="s">
        <v>33</v>
      </c>
      <c r="C35" s="39"/>
      <c r="D35" s="204">
        <v>3188.46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89</v>
      </c>
      <c r="C36" s="39"/>
      <c r="D36" s="204">
        <v>3347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41605.89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2">
      <c r="A39" s="42"/>
      <c r="B39" s="43" t="s">
        <v>38</v>
      </c>
      <c r="C39" s="44"/>
      <c r="D39" s="204">
        <v>2274.6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t="22.5" x14ac:dyDescent="0.2">
      <c r="A40" s="42"/>
      <c r="B40" s="43" t="s">
        <v>39</v>
      </c>
      <c r="C40" s="44"/>
      <c r="D40" s="204">
        <v>11949.19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x14ac:dyDescent="0.2">
      <c r="A41" s="42"/>
      <c r="B41" s="45" t="s">
        <v>40</v>
      </c>
      <c r="C41" s="44"/>
      <c r="D41" s="204">
        <v>11277.84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91</v>
      </c>
      <c r="C44" s="44"/>
      <c r="D44" s="204">
        <v>628.46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29"/>
      <c r="B45" s="47" t="s">
        <v>92</v>
      </c>
      <c r="C45" s="44"/>
      <c r="D45" s="204">
        <v>2024.06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22.5" x14ac:dyDescent="0.2">
      <c r="A46" s="42"/>
      <c r="B46" s="47" t="s">
        <v>45</v>
      </c>
      <c r="C46" s="44"/>
      <c r="D46" s="204">
        <v>13451.74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5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5.5" x14ac:dyDescent="0.2">
      <c r="A49" s="31"/>
      <c r="B49" s="51" t="s">
        <v>49</v>
      </c>
      <c r="C49" s="20" t="s">
        <v>6</v>
      </c>
      <c r="D49" s="216">
        <f>D50+D51+D52+D53</f>
        <v>137891.31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2.5" x14ac:dyDescent="0.2">
      <c r="A50" s="33"/>
      <c r="B50" s="28" t="s">
        <v>50</v>
      </c>
      <c r="C50" s="39"/>
      <c r="D50" s="204">
        <v>123764.97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x14ac:dyDescent="0.2">
      <c r="A51" s="31"/>
      <c r="B51" s="52" t="s">
        <v>132</v>
      </c>
      <c r="C51" s="39"/>
      <c r="D51" s="204">
        <v>12926.56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31"/>
      <c r="B52" s="52" t="s">
        <v>51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22.5" x14ac:dyDescent="0.2">
      <c r="A53" s="31"/>
      <c r="B53" s="52" t="s">
        <v>52</v>
      </c>
      <c r="C53" s="39"/>
      <c r="D53" s="204">
        <v>1199.78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33" t="s">
        <v>60</v>
      </c>
      <c r="B54" s="210" t="s">
        <v>252</v>
      </c>
      <c r="C54" s="20" t="s">
        <v>6</v>
      </c>
      <c r="D54" s="204">
        <v>5872.87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31" t="s">
        <v>62</v>
      </c>
      <c r="B55" s="211" t="s">
        <v>262</v>
      </c>
      <c r="C55" s="20" t="s">
        <v>6</v>
      </c>
      <c r="D55" s="216">
        <v>68559.81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39.950000000000003" customHeight="1" x14ac:dyDescent="0.2">
      <c r="A56" s="31"/>
      <c r="B56" s="54" t="s">
        <v>63</v>
      </c>
      <c r="C56" s="55"/>
      <c r="D56" s="204"/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53.1" customHeight="1" x14ac:dyDescent="0.2">
      <c r="A57" s="31" t="s">
        <v>64</v>
      </c>
      <c r="B57" s="56" t="s">
        <v>65</v>
      </c>
      <c r="C57" s="55" t="s">
        <v>6</v>
      </c>
      <c r="D57" s="216">
        <v>35812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ht="66" customHeight="1" x14ac:dyDescent="0.2">
      <c r="A58" s="31" t="s">
        <v>66</v>
      </c>
      <c r="B58" s="57" t="s">
        <v>67</v>
      </c>
      <c r="C58" s="55" t="s">
        <v>6</v>
      </c>
      <c r="D58" s="216">
        <v>90807.03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213" t="s">
        <v>68</v>
      </c>
      <c r="B59" s="129" t="s">
        <v>69</v>
      </c>
      <c r="C59" s="55" t="s">
        <v>6</v>
      </c>
      <c r="D59" s="218">
        <f>D16*6%</f>
        <v>40879.347599999994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24.95" customHeight="1" x14ac:dyDescent="0.2">
      <c r="A60" s="31"/>
      <c r="B60" s="59" t="s">
        <v>70</v>
      </c>
      <c r="C60" s="55" t="s">
        <v>6</v>
      </c>
      <c r="D60" s="218">
        <f>D59+D58+D57+D55+D54+D49+D38+D34+D31+D28+D24</f>
        <v>639147.83760000009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A61" s="60"/>
      <c r="B61" s="61"/>
      <c r="C61" s="62"/>
      <c r="D61" s="153"/>
      <c r="E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A62" s="60"/>
      <c r="B62" s="61" t="s">
        <v>76</v>
      </c>
      <c r="C62" s="62"/>
      <c r="D62" s="234">
        <f>D6+D16-D60</f>
        <v>177473.66239999991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.75" x14ac:dyDescent="0.25">
      <c r="A63" s="60"/>
      <c r="B63" s="61"/>
      <c r="C63" s="62"/>
      <c r="D63" s="65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.75" x14ac:dyDescent="0.25">
      <c r="A64" s="60"/>
      <c r="B64" s="61"/>
      <c r="C64" s="62"/>
      <c r="D64" s="65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">
      <c r="A65" s="60"/>
      <c r="B65" s="66" t="s">
        <v>72</v>
      </c>
      <c r="C65" s="66"/>
      <c r="D65" s="66" t="s">
        <v>73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">
      <c r="B66" s="66" t="s">
        <v>74</v>
      </c>
      <c r="C66" s="66"/>
      <c r="D66" s="66" t="s">
        <v>273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</sheetData>
  <mergeCells count="2">
    <mergeCell ref="A2:F2"/>
    <mergeCell ref="B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48" workbookViewId="0">
      <selection activeCell="F23" sqref="F23:P67"/>
    </sheetView>
  </sheetViews>
  <sheetFormatPr defaultColWidth="9" defaultRowHeight="14.25" x14ac:dyDescent="0.2"/>
  <cols>
    <col min="1" max="1" width="5" style="1" customWidth="1"/>
    <col min="2" max="2" width="38.7109375" style="1" customWidth="1"/>
    <col min="3" max="3" width="8.42578125" style="1" customWidth="1"/>
    <col min="4" max="4" width="11.7109375" style="1" customWidth="1"/>
    <col min="5" max="5" width="12.5703125" style="1" customWidth="1"/>
    <col min="6" max="6" width="11.140625" style="1" customWidth="1"/>
    <col min="7" max="7" width="13.28515625" style="1" customWidth="1"/>
    <col min="8" max="8" width="13.5703125" style="1" customWidth="1"/>
    <col min="9" max="9" width="15.42578125" style="1" customWidth="1"/>
    <col min="10" max="10" width="9.28515625" style="1" customWidth="1"/>
    <col min="11" max="16384" width="9" style="1"/>
  </cols>
  <sheetData>
    <row r="1" spans="1:15" ht="15" x14ac:dyDescent="0.25">
      <c r="C1" s="2" t="s">
        <v>0</v>
      </c>
      <c r="D1" s="3"/>
      <c r="G1" s="2"/>
    </row>
    <row r="2" spans="1:15" ht="15" customHeight="1" x14ac:dyDescent="0.2">
      <c r="A2" s="4"/>
      <c r="B2" s="298" t="s">
        <v>133</v>
      </c>
      <c r="C2" s="298"/>
      <c r="D2" s="298"/>
      <c r="E2" s="298"/>
      <c r="F2" s="4"/>
      <c r="G2" s="4"/>
    </row>
    <row r="3" spans="1:15" ht="15" customHeight="1" x14ac:dyDescent="0.25">
      <c r="A3" s="4"/>
      <c r="B3" s="298" t="s">
        <v>192</v>
      </c>
      <c r="C3" s="298"/>
      <c r="D3" s="298"/>
      <c r="E3" s="298"/>
      <c r="G3" s="2"/>
    </row>
    <row r="4" spans="1:15" ht="15" x14ac:dyDescent="0.25">
      <c r="B4" s="5"/>
      <c r="C4" s="5"/>
      <c r="D4" s="5"/>
      <c r="G4" s="2"/>
    </row>
    <row r="5" spans="1:15" ht="15" x14ac:dyDescent="0.25">
      <c r="B5" s="5" t="s">
        <v>182</v>
      </c>
      <c r="C5" s="5"/>
      <c r="D5" s="163">
        <v>115978.18</v>
      </c>
      <c r="E5" s="1" t="s">
        <v>6</v>
      </c>
      <c r="G5" s="2"/>
    </row>
    <row r="6" spans="1:15" ht="15" x14ac:dyDescent="0.25">
      <c r="A6" s="6"/>
      <c r="B6" s="164" t="s">
        <v>211</v>
      </c>
      <c r="C6" s="8" t="s">
        <v>6</v>
      </c>
      <c r="D6" s="161">
        <v>-1767.46</v>
      </c>
      <c r="E6" s="6"/>
      <c r="F6" s="2"/>
    </row>
    <row r="7" spans="1:15" x14ac:dyDescent="0.2">
      <c r="A7" s="6"/>
      <c r="B7" s="164"/>
      <c r="C7" s="8"/>
      <c r="D7" s="161"/>
      <c r="E7" s="6"/>
    </row>
    <row r="8" spans="1:15" x14ac:dyDescent="0.2">
      <c r="A8" s="6"/>
      <c r="B8" s="165" t="s">
        <v>2</v>
      </c>
      <c r="C8" s="8" t="s">
        <v>3</v>
      </c>
      <c r="D8" s="160">
        <v>3158.1</v>
      </c>
      <c r="E8" s="6"/>
    </row>
    <row r="9" spans="1:15" x14ac:dyDescent="0.2">
      <c r="A9" s="6"/>
      <c r="B9" s="165" t="s">
        <v>4</v>
      </c>
      <c r="C9" s="8" t="s">
        <v>3</v>
      </c>
      <c r="D9" s="160">
        <v>2113.6</v>
      </c>
      <c r="E9" s="6"/>
    </row>
    <row r="10" spans="1:15" x14ac:dyDescent="0.2">
      <c r="A10" s="6"/>
      <c r="B10" s="166" t="s">
        <v>5</v>
      </c>
      <c r="C10" s="7" t="s">
        <v>6</v>
      </c>
      <c r="D10" s="161">
        <v>453509.27</v>
      </c>
      <c r="E10" s="6"/>
    </row>
    <row r="11" spans="1:15" x14ac:dyDescent="0.2">
      <c r="A11" s="6"/>
      <c r="B11" s="164"/>
      <c r="C11" s="7"/>
      <c r="D11" s="160"/>
      <c r="E11" s="6"/>
    </row>
    <row r="12" spans="1:15" x14ac:dyDescent="0.2">
      <c r="A12" s="6"/>
      <c r="B12" s="166" t="s">
        <v>7</v>
      </c>
      <c r="C12" s="7"/>
      <c r="D12" s="160"/>
      <c r="E12" s="6"/>
    </row>
    <row r="13" spans="1:15" x14ac:dyDescent="0.2">
      <c r="A13" s="6">
        <v>1</v>
      </c>
      <c r="B13" s="167" t="s">
        <v>208</v>
      </c>
      <c r="C13" s="8" t="s">
        <v>6</v>
      </c>
      <c r="D13" s="160">
        <v>415085.19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9</v>
      </c>
      <c r="C14" s="8" t="s">
        <v>6</v>
      </c>
      <c r="D14" s="160">
        <f>3000+9000</f>
        <v>12000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167"/>
      <c r="C15" s="8"/>
      <c r="D15" s="160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7" t="s">
        <v>6</v>
      </c>
      <c r="D16" s="161">
        <f>D13+D14+D15</f>
        <v>427085.19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164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B20" s="5"/>
      <c r="C20" s="5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50"/>
      <c r="B21" s="50"/>
      <c r="C21" s="50"/>
      <c r="D21" s="73"/>
      <c r="E21" s="7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" t="s">
        <v>12</v>
      </c>
      <c r="B22" s="16"/>
      <c r="C22" s="17" t="s">
        <v>85</v>
      </c>
      <c r="D22" s="73" t="s">
        <v>13</v>
      </c>
      <c r="E22" s="19" t="s">
        <v>86</v>
      </c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x14ac:dyDescent="0.2">
      <c r="A23" s="15" t="s">
        <v>15</v>
      </c>
      <c r="B23" s="20" t="s">
        <v>16</v>
      </c>
      <c r="C23" s="20" t="s">
        <v>87</v>
      </c>
      <c r="D23" s="19" t="s">
        <v>17</v>
      </c>
      <c r="E23" s="21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25.5" x14ac:dyDescent="0.2">
      <c r="A24" s="22" t="s">
        <v>18</v>
      </c>
      <c r="B24" s="23" t="s">
        <v>88</v>
      </c>
      <c r="C24" s="24"/>
      <c r="D24" s="6"/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51" x14ac:dyDescent="0.2">
      <c r="A25" s="22"/>
      <c r="B25" s="25" t="s">
        <v>20</v>
      </c>
      <c r="C25" s="26" t="s">
        <v>6</v>
      </c>
      <c r="D25" s="216">
        <f>D26+D27+D28</f>
        <v>82312.62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81.75" customHeight="1" x14ac:dyDescent="0.2">
      <c r="A26" s="22"/>
      <c r="B26" s="28" t="s">
        <v>21</v>
      </c>
      <c r="C26" s="29"/>
      <c r="D26" s="204">
        <v>39210.239999999998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12.5" x14ac:dyDescent="0.2">
      <c r="A27" s="30"/>
      <c r="B27" s="28" t="s">
        <v>22</v>
      </c>
      <c r="C27" s="29"/>
      <c r="D27" s="204">
        <v>39022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2.5" x14ac:dyDescent="0.2">
      <c r="A28" s="31"/>
      <c r="B28" s="40" t="s">
        <v>23</v>
      </c>
      <c r="C28" s="29"/>
      <c r="D28" s="204">
        <v>4080.38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29.25" customHeight="1" x14ac:dyDescent="0.2">
      <c r="A29" s="22"/>
      <c r="B29" s="25" t="s">
        <v>24</v>
      </c>
      <c r="C29" s="26" t="s">
        <v>6</v>
      </c>
      <c r="D29" s="216">
        <f>D30+D31</f>
        <v>2608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4.25" customHeight="1" x14ac:dyDescent="0.2">
      <c r="A30" s="33"/>
      <c r="B30" s="70" t="s">
        <v>25</v>
      </c>
      <c r="C30" s="35"/>
      <c r="D30" s="204">
        <v>2100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x14ac:dyDescent="0.2">
      <c r="A31" s="22"/>
      <c r="B31" s="70" t="s">
        <v>26</v>
      </c>
      <c r="C31" s="35"/>
      <c r="D31" s="204">
        <v>508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39.75" customHeight="1" x14ac:dyDescent="0.2">
      <c r="A32" s="22" t="s">
        <v>27</v>
      </c>
      <c r="B32" s="25" t="s">
        <v>28</v>
      </c>
      <c r="C32" s="26" t="s">
        <v>6</v>
      </c>
      <c r="D32" s="216">
        <f>D33+D34</f>
        <v>17584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78.75" x14ac:dyDescent="0.2">
      <c r="A33" s="37"/>
      <c r="B33" s="28" t="s">
        <v>29</v>
      </c>
      <c r="C33" s="29"/>
      <c r="D33" s="204">
        <v>17584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22.5" x14ac:dyDescent="0.2">
      <c r="A34" s="37"/>
      <c r="B34" s="38" t="s">
        <v>30</v>
      </c>
      <c r="C34" s="39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51" x14ac:dyDescent="0.2">
      <c r="A35" s="37" t="s">
        <v>31</v>
      </c>
      <c r="B35" s="25" t="s">
        <v>32</v>
      </c>
      <c r="C35" s="26" t="s">
        <v>6</v>
      </c>
      <c r="D35" s="216">
        <f>D36+D37+D38</f>
        <v>4925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33.75" x14ac:dyDescent="0.2">
      <c r="A36" s="33"/>
      <c r="B36" s="40" t="s">
        <v>33</v>
      </c>
      <c r="C36" s="39"/>
      <c r="D36" s="204">
        <v>2805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89</v>
      </c>
      <c r="C37" s="39"/>
      <c r="D37" s="204">
        <v>2120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22.5" x14ac:dyDescent="0.2">
      <c r="A38" s="33"/>
      <c r="B38" s="38" t="s">
        <v>35</v>
      </c>
      <c r="C38" s="39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5.75" x14ac:dyDescent="0.25">
      <c r="A39" s="31" t="s">
        <v>36</v>
      </c>
      <c r="B39" s="41" t="s">
        <v>37</v>
      </c>
      <c r="C39" s="26" t="s">
        <v>6</v>
      </c>
      <c r="D39" s="216">
        <f>D40+D41+D42+D44+D45+D46+D47</f>
        <v>63166.130000000005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x14ac:dyDescent="0.2">
      <c r="A40" s="42"/>
      <c r="B40" s="43" t="s">
        <v>38</v>
      </c>
      <c r="C40" s="44"/>
      <c r="D40" s="204">
        <v>1319.64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22.5" x14ac:dyDescent="0.2">
      <c r="A41" s="42"/>
      <c r="B41" s="43" t="s">
        <v>39</v>
      </c>
      <c r="C41" s="44"/>
      <c r="D41" s="204">
        <v>5214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x14ac:dyDescent="0.2">
      <c r="A42" s="42"/>
      <c r="B42" s="45" t="s">
        <v>40</v>
      </c>
      <c r="C42" s="44"/>
      <c r="D42" s="204">
        <v>9868.2900000000009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45" x14ac:dyDescent="0.2">
      <c r="A43" s="31"/>
      <c r="B43" s="46" t="s">
        <v>41</v>
      </c>
      <c r="C43" s="44"/>
      <c r="D43" s="204"/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2.5" x14ac:dyDescent="0.2">
      <c r="A44" s="42"/>
      <c r="B44" s="47" t="s">
        <v>134</v>
      </c>
      <c r="C44" s="44"/>
      <c r="D44" s="204">
        <v>0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42"/>
      <c r="B45" s="47" t="s">
        <v>91</v>
      </c>
      <c r="C45" s="44"/>
      <c r="D45" s="204">
        <v>30898.87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x14ac:dyDescent="0.2">
      <c r="A46" s="29"/>
      <c r="B46" s="47" t="s">
        <v>92</v>
      </c>
      <c r="C46" s="44"/>
      <c r="D46" s="204">
        <v>3821.07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2.5" x14ac:dyDescent="0.2">
      <c r="A47" s="42"/>
      <c r="B47" s="47" t="s">
        <v>45</v>
      </c>
      <c r="C47" s="44"/>
      <c r="D47" s="204">
        <v>12044.26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51" x14ac:dyDescent="0.2">
      <c r="A48" s="12" t="s">
        <v>46</v>
      </c>
      <c r="B48" s="48" t="s">
        <v>47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49"/>
      <c r="B49" s="50" t="s">
        <v>48</v>
      </c>
      <c r="C49" s="49"/>
      <c r="D49" s="204"/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5.5" x14ac:dyDescent="0.2">
      <c r="A50" s="31"/>
      <c r="B50" s="51" t="s">
        <v>49</v>
      </c>
      <c r="C50" s="26" t="s">
        <v>6</v>
      </c>
      <c r="D50" s="216">
        <f>D51+D52+D53</f>
        <v>73930.490000000005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2.5" x14ac:dyDescent="0.2">
      <c r="A51" s="33"/>
      <c r="B51" s="28" t="s">
        <v>50</v>
      </c>
      <c r="C51" s="39"/>
      <c r="D51" s="204">
        <v>73930.490000000005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1"/>
      <c r="B52" s="52" t="s">
        <v>51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31"/>
      <c r="B53" s="52" t="s">
        <v>135</v>
      </c>
      <c r="C53" s="39"/>
      <c r="D53" s="204">
        <v>0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49"/>
      <c r="B54" s="76" t="s">
        <v>53</v>
      </c>
      <c r="C54" s="49"/>
      <c r="D54" s="204"/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7" t="s">
        <v>54</v>
      </c>
      <c r="C55" s="26" t="s">
        <v>6</v>
      </c>
      <c r="D55" s="216">
        <f>D56+D57+D58</f>
        <v>91453.239999999991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55</v>
      </c>
      <c r="C56" s="79"/>
      <c r="D56" s="204">
        <v>31180.43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56</v>
      </c>
      <c r="C57" s="74"/>
      <c r="D57" s="204">
        <v>55199.81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57</v>
      </c>
      <c r="C58" s="74"/>
      <c r="D58" s="204">
        <v>5073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17"/>
      <c r="B59" s="210" t="s">
        <v>252</v>
      </c>
      <c r="C59" s="20" t="s">
        <v>6</v>
      </c>
      <c r="D59" s="204">
        <v>5138.8500000000004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17"/>
      <c r="B60" s="211" t="s">
        <v>262</v>
      </c>
      <c r="C60" s="20" t="s">
        <v>6</v>
      </c>
      <c r="D60" s="216">
        <v>0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33.75" x14ac:dyDescent="0.2">
      <c r="A61" s="17"/>
      <c r="B61" s="54" t="s">
        <v>63</v>
      </c>
      <c r="C61" s="55"/>
      <c r="D61" s="204"/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48" x14ac:dyDescent="0.2">
      <c r="A62" s="33" t="s">
        <v>60</v>
      </c>
      <c r="B62" s="56" t="s">
        <v>65</v>
      </c>
      <c r="C62" s="26" t="s">
        <v>6</v>
      </c>
      <c r="D62" s="216">
        <v>33505.14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60" x14ac:dyDescent="0.2">
      <c r="A63" s="31"/>
      <c r="B63" s="57" t="s">
        <v>67</v>
      </c>
      <c r="C63" s="26" t="s">
        <v>6</v>
      </c>
      <c r="D63" s="216">
        <f>78288.48+3822.7</f>
        <v>82111.179999999993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" x14ac:dyDescent="0.25">
      <c r="A64" s="31" t="s">
        <v>62</v>
      </c>
      <c r="B64" s="58" t="s">
        <v>69</v>
      </c>
      <c r="C64" s="26" t="s">
        <v>6</v>
      </c>
      <c r="D64" s="218">
        <f>D16*6%</f>
        <v>25625.111399999998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 t="s">
        <v>64</v>
      </c>
      <c r="B65" s="59" t="s">
        <v>70</v>
      </c>
      <c r="C65" s="26" t="s">
        <v>6</v>
      </c>
      <c r="D65" s="218">
        <f>D64+D63+D62+D60+D59+D55+D50+D39+D35+D32+D29+D25</f>
        <v>482359.76140000002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/>
      <c r="C66" s="62"/>
      <c r="D66" s="159"/>
      <c r="E66" s="15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 t="s">
        <v>116</v>
      </c>
      <c r="C67" s="62"/>
      <c r="D67" s="159">
        <f>D6+D16-D65</f>
        <v>-57042.031400000036</v>
      </c>
      <c r="E67" s="15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/>
      <c r="C68" s="62"/>
      <c r="D68" s="156"/>
      <c r="E68" s="156"/>
    </row>
    <row r="69" spans="1:15" x14ac:dyDescent="0.2">
      <c r="A69" s="61"/>
      <c r="B69" s="61"/>
      <c r="C69" s="65"/>
      <c r="D69" s="229"/>
      <c r="E69" s="153"/>
    </row>
    <row r="70" spans="1:15" x14ac:dyDescent="0.2">
      <c r="A70" s="61"/>
      <c r="B70" s="61"/>
      <c r="C70" s="65"/>
    </row>
    <row r="71" spans="1:15" x14ac:dyDescent="0.2">
      <c r="A71" s="61"/>
      <c r="B71" s="61"/>
      <c r="C71" s="65"/>
    </row>
    <row r="72" spans="1:15" x14ac:dyDescent="0.2">
      <c r="A72" s="60"/>
      <c r="B72" s="66" t="s">
        <v>72</v>
      </c>
      <c r="C72" s="66"/>
      <c r="D72" s="66" t="s">
        <v>73</v>
      </c>
    </row>
    <row r="73" spans="1:15" x14ac:dyDescent="0.2">
      <c r="A73" s="60"/>
      <c r="B73" s="66" t="s">
        <v>74</v>
      </c>
      <c r="C73" s="66"/>
      <c r="D73" s="66" t="s">
        <v>273</v>
      </c>
    </row>
    <row r="74" spans="1:15" x14ac:dyDescent="0.2">
      <c r="A74" s="60"/>
    </row>
  </sheetData>
  <mergeCells count="2">
    <mergeCell ref="B2:E2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7" workbookViewId="0">
      <selection activeCell="F22" sqref="F22:P66"/>
    </sheetView>
  </sheetViews>
  <sheetFormatPr defaultColWidth="9" defaultRowHeight="14.25" x14ac:dyDescent="0.2"/>
  <cols>
    <col min="1" max="1" width="4.7109375" style="1" customWidth="1"/>
    <col min="2" max="2" width="35.85546875" style="1" customWidth="1"/>
    <col min="3" max="3" width="8.28515625" style="1" customWidth="1"/>
    <col min="4" max="4" width="13.42578125" style="1" customWidth="1"/>
    <col min="5" max="5" width="14.85546875" style="1" customWidth="1"/>
    <col min="6" max="6" width="11.28515625" style="1" customWidth="1"/>
    <col min="7" max="7" width="14.140625" style="1" customWidth="1"/>
    <col min="8" max="8" width="12" style="1" customWidth="1"/>
    <col min="9" max="11" width="9.28515625" style="1" customWidth="1"/>
    <col min="12" max="16384" width="9" style="1"/>
  </cols>
  <sheetData>
    <row r="1" spans="1:15" ht="15" x14ac:dyDescent="0.25">
      <c r="C1" s="2" t="s">
        <v>0</v>
      </c>
      <c r="D1" s="3"/>
      <c r="G1" s="2"/>
    </row>
    <row r="2" spans="1:15" ht="15" customHeight="1" x14ac:dyDescent="0.25">
      <c r="A2" s="298" t="s">
        <v>111</v>
      </c>
      <c r="B2" s="298"/>
      <c r="C2" s="298"/>
      <c r="D2" s="298"/>
      <c r="E2" s="298"/>
      <c r="F2" s="298"/>
      <c r="G2" s="2"/>
    </row>
    <row r="3" spans="1:15" ht="15" customHeight="1" x14ac:dyDescent="0.25">
      <c r="A3" s="4"/>
      <c r="B3" s="298" t="s">
        <v>193</v>
      </c>
      <c r="C3" s="298"/>
      <c r="D3" s="298"/>
      <c r="E3" s="298"/>
      <c r="G3" s="2"/>
    </row>
    <row r="4" spans="1:15" ht="15" x14ac:dyDescent="0.25">
      <c r="A4" s="4"/>
      <c r="B4" s="291"/>
      <c r="C4" s="291"/>
      <c r="D4" s="291"/>
      <c r="E4" s="291"/>
      <c r="G4" s="2"/>
    </row>
    <row r="5" spans="1:15" x14ac:dyDescent="0.2">
      <c r="B5" s="5" t="s">
        <v>182</v>
      </c>
      <c r="C5" s="5"/>
      <c r="D5" s="163">
        <v>483394.84</v>
      </c>
    </row>
    <row r="6" spans="1:15" ht="15" x14ac:dyDescent="0.25">
      <c r="A6" s="6"/>
      <c r="B6" s="164" t="s">
        <v>211</v>
      </c>
      <c r="C6" s="167" t="s">
        <v>6</v>
      </c>
      <c r="D6" s="161">
        <v>148224.15</v>
      </c>
      <c r="E6" s="6"/>
      <c r="F6" s="2"/>
    </row>
    <row r="7" spans="1:15" ht="15" x14ac:dyDescent="0.25">
      <c r="A7" s="6"/>
      <c r="B7" s="164"/>
      <c r="C7" s="167"/>
      <c r="D7" s="161"/>
      <c r="E7" s="6"/>
      <c r="F7" s="2"/>
    </row>
    <row r="8" spans="1:15" ht="15" x14ac:dyDescent="0.25">
      <c r="A8" s="6"/>
      <c r="B8" s="165" t="s">
        <v>2</v>
      </c>
      <c r="C8" s="167" t="s">
        <v>3</v>
      </c>
      <c r="D8" s="160">
        <v>6512.72</v>
      </c>
      <c r="E8" s="6"/>
      <c r="F8" s="2"/>
    </row>
    <row r="9" spans="1:15" ht="15" x14ac:dyDescent="0.25">
      <c r="A9" s="6"/>
      <c r="B9" s="165" t="s">
        <v>4</v>
      </c>
      <c r="C9" s="167" t="s">
        <v>3</v>
      </c>
      <c r="D9" s="160">
        <v>4420.42</v>
      </c>
      <c r="E9" s="6"/>
      <c r="F9" s="2"/>
    </row>
    <row r="10" spans="1:15" ht="15" x14ac:dyDescent="0.25">
      <c r="A10" s="6"/>
      <c r="B10" s="166" t="s">
        <v>5</v>
      </c>
      <c r="C10" s="164" t="s">
        <v>6</v>
      </c>
      <c r="D10" s="161">
        <v>765114.15</v>
      </c>
      <c r="E10" s="6"/>
      <c r="F10" s="2"/>
    </row>
    <row r="11" spans="1:15" ht="15" x14ac:dyDescent="0.25">
      <c r="A11" s="6"/>
      <c r="B11" s="164"/>
      <c r="C11" s="164"/>
      <c r="D11" s="160"/>
      <c r="E11" s="6"/>
      <c r="F11" s="2"/>
    </row>
    <row r="12" spans="1:15" ht="15" x14ac:dyDescent="0.25">
      <c r="A12" s="6"/>
      <c r="B12" s="166" t="s">
        <v>7</v>
      </c>
      <c r="C12" s="164"/>
      <c r="D12" s="160"/>
      <c r="E12" s="6"/>
      <c r="F12" s="2"/>
    </row>
    <row r="13" spans="1:15" ht="15" x14ac:dyDescent="0.25">
      <c r="A13" s="6">
        <v>1</v>
      </c>
      <c r="B13" s="167" t="s">
        <v>215</v>
      </c>
      <c r="C13" s="167" t="s">
        <v>6</v>
      </c>
      <c r="D13" s="160">
        <v>660660.32999999996</v>
      </c>
      <c r="E13" s="6"/>
      <c r="F13" s="2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5" x14ac:dyDescent="0.25">
      <c r="A14" s="6">
        <v>2</v>
      </c>
      <c r="B14" s="167" t="s">
        <v>9</v>
      </c>
      <c r="C14" s="167" t="s">
        <v>6</v>
      </c>
      <c r="D14" s="160">
        <f>3000+3150+9000</f>
        <v>15150</v>
      </c>
      <c r="E14" s="6"/>
      <c r="F14" s="2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5" x14ac:dyDescent="0.25">
      <c r="A15" s="6"/>
      <c r="B15" s="167"/>
      <c r="C15" s="167"/>
      <c r="D15" s="160"/>
      <c r="E15" s="6"/>
      <c r="F15" s="2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5" x14ac:dyDescent="0.25">
      <c r="A16" s="6"/>
      <c r="B16" s="166" t="s">
        <v>10</v>
      </c>
      <c r="C16" s="164" t="s">
        <v>6</v>
      </c>
      <c r="D16" s="161">
        <f>D13+D14+D15</f>
        <v>675810.33</v>
      </c>
      <c r="E16" s="6"/>
      <c r="F16" s="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164"/>
      <c r="D17" s="160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5" customHeight="1" x14ac:dyDescent="0.2">
      <c r="B18" s="5"/>
      <c r="C18" s="5"/>
      <c r="D18" s="168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" t="s">
        <v>12</v>
      </c>
      <c r="B21" s="16"/>
      <c r="C21" s="17" t="s">
        <v>85</v>
      </c>
      <c r="D21" s="277" t="s">
        <v>13</v>
      </c>
      <c r="E21" s="277" t="s">
        <v>86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" t="s">
        <v>15</v>
      </c>
      <c r="B22" s="20" t="s">
        <v>16</v>
      </c>
      <c r="C22" s="20" t="s">
        <v>87</v>
      </c>
      <c r="D22" s="277" t="s">
        <v>17</v>
      </c>
      <c r="E22" s="22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39" customHeight="1" x14ac:dyDescent="0.2">
      <c r="A23" s="22" t="s">
        <v>18</v>
      </c>
      <c r="B23" s="23" t="s">
        <v>88</v>
      </c>
      <c r="C23" s="24"/>
      <c r="D23" s="160"/>
      <c r="E23" s="160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4.75" customHeight="1" x14ac:dyDescent="0.2">
      <c r="A24" s="22"/>
      <c r="B24" s="25" t="s">
        <v>20</v>
      </c>
      <c r="C24" s="26" t="s">
        <v>6</v>
      </c>
      <c r="D24" s="161">
        <f>D25+D26+D27</f>
        <v>200184.28</v>
      </c>
      <c r="E24" s="160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4.5" customHeight="1" x14ac:dyDescent="0.2">
      <c r="A25" s="22"/>
      <c r="B25" s="28" t="s">
        <v>21</v>
      </c>
      <c r="C25" s="29"/>
      <c r="D25" s="160">
        <f>89879.22+1017.54</f>
        <v>90896.76</v>
      </c>
      <c r="E25" s="160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37.1" customHeight="1" x14ac:dyDescent="0.2">
      <c r="A26" s="30"/>
      <c r="B26" s="28" t="s">
        <v>22</v>
      </c>
      <c r="C26" s="29"/>
      <c r="D26" s="160">
        <f>92000.31+8800</f>
        <v>100800.31</v>
      </c>
      <c r="E26" s="160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160">
        <v>8487.2099999999991</v>
      </c>
      <c r="E27" s="160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161">
        <f>D29+D30</f>
        <v>9883</v>
      </c>
      <c r="E28" s="160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6.5" customHeight="1" x14ac:dyDescent="0.2">
      <c r="A29" s="33"/>
      <c r="B29" s="70" t="s">
        <v>25</v>
      </c>
      <c r="C29" s="35"/>
      <c r="D29" s="160">
        <v>7761</v>
      </c>
      <c r="E29" s="160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8.75" customHeight="1" x14ac:dyDescent="0.2">
      <c r="A30" s="22"/>
      <c r="B30" s="70" t="s">
        <v>26</v>
      </c>
      <c r="C30" s="35"/>
      <c r="D30" s="160">
        <v>2122</v>
      </c>
      <c r="E30" s="160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52.5" customHeight="1" x14ac:dyDescent="0.2">
      <c r="A31" s="22" t="s">
        <v>27</v>
      </c>
      <c r="B31" s="25" t="s">
        <v>28</v>
      </c>
      <c r="C31" s="26" t="s">
        <v>6</v>
      </c>
      <c r="D31" s="161">
        <f>D32+D33</f>
        <v>37130</v>
      </c>
      <c r="E31" s="160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92.1" customHeight="1" x14ac:dyDescent="0.2">
      <c r="A32" s="37"/>
      <c r="B32" s="28" t="s">
        <v>29</v>
      </c>
      <c r="C32" s="29"/>
      <c r="D32" s="160">
        <v>37130</v>
      </c>
      <c r="E32" s="160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3.1" customHeight="1" x14ac:dyDescent="0.2">
      <c r="A33" s="37"/>
      <c r="B33" s="38" t="s">
        <v>30</v>
      </c>
      <c r="C33" s="39"/>
      <c r="D33" s="160">
        <v>0</v>
      </c>
      <c r="E33" s="160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1" x14ac:dyDescent="0.2">
      <c r="A34" s="37" t="s">
        <v>31</v>
      </c>
      <c r="B34" s="25" t="s">
        <v>32</v>
      </c>
      <c r="C34" s="12">
        <f>C35+C36+C37</f>
        <v>0</v>
      </c>
      <c r="D34" s="161">
        <f>D35+D36+D37</f>
        <v>5130</v>
      </c>
      <c r="E34" s="160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44.25" customHeight="1" x14ac:dyDescent="0.2">
      <c r="A35" s="33"/>
      <c r="B35" s="40" t="s">
        <v>33</v>
      </c>
      <c r="C35" s="39"/>
      <c r="D35" s="160">
        <v>3410</v>
      </c>
      <c r="E35" s="160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160">
        <v>1720</v>
      </c>
      <c r="E36" s="160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39"/>
      <c r="D37" s="160">
        <v>0</v>
      </c>
      <c r="E37" s="160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31.5" x14ac:dyDescent="0.25">
      <c r="A38" s="31" t="s">
        <v>36</v>
      </c>
      <c r="B38" s="41" t="s">
        <v>37</v>
      </c>
      <c r="C38" s="26" t="s">
        <v>6</v>
      </c>
      <c r="D38" s="161">
        <f>D39+D40+D41+D43+D44+D45+D46</f>
        <v>97931.079999999987</v>
      </c>
      <c r="E38" s="160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160">
        <v>2348.64</v>
      </c>
      <c r="E39" s="160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160">
        <v>21340.5</v>
      </c>
      <c r="E40" s="160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160">
        <v>20635.09</v>
      </c>
      <c r="E41" s="160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160"/>
      <c r="E42" s="160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90</v>
      </c>
      <c r="C43" s="44"/>
      <c r="D43" s="160">
        <v>0</v>
      </c>
      <c r="E43" s="160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160">
        <v>47522</v>
      </c>
      <c r="E44" s="160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74"/>
      <c r="D45" s="160">
        <v>5560.06</v>
      </c>
      <c r="E45" s="160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42"/>
      <c r="B46" s="47" t="s">
        <v>45</v>
      </c>
      <c r="C46" s="74"/>
      <c r="D46" s="160">
        <v>524.79</v>
      </c>
      <c r="E46" s="160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1" x14ac:dyDescent="0.2">
      <c r="A47" s="12" t="s">
        <v>46</v>
      </c>
      <c r="B47" s="48" t="s">
        <v>47</v>
      </c>
      <c r="C47" s="49"/>
      <c r="D47" s="160"/>
      <c r="E47" s="160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160"/>
      <c r="E48" s="160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26" t="s">
        <v>6</v>
      </c>
      <c r="D49" s="161">
        <f>D50+D51+D52+D53</f>
        <v>19090.52</v>
      </c>
      <c r="E49" s="160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160">
        <v>14268.57</v>
      </c>
      <c r="E50" s="160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132</v>
      </c>
      <c r="C51" s="39"/>
      <c r="D51" s="160">
        <v>0</v>
      </c>
      <c r="E51" s="160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1"/>
      <c r="B52" s="52" t="s">
        <v>51</v>
      </c>
      <c r="C52" s="39"/>
      <c r="D52" s="160">
        <v>0</v>
      </c>
      <c r="E52" s="160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22.5" x14ac:dyDescent="0.2">
      <c r="A53" s="31"/>
      <c r="B53" s="52" t="s">
        <v>52</v>
      </c>
      <c r="C53" s="39"/>
      <c r="D53" s="160">
        <v>4821.95</v>
      </c>
      <c r="E53" s="160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33" t="s">
        <v>60</v>
      </c>
      <c r="B54" s="210" t="s">
        <v>252</v>
      </c>
      <c r="C54" s="20" t="s">
        <v>6</v>
      </c>
      <c r="D54" s="161">
        <v>10747.48</v>
      </c>
      <c r="E54" s="160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31" t="s">
        <v>62</v>
      </c>
      <c r="B55" s="211" t="s">
        <v>262</v>
      </c>
      <c r="C55" s="20" t="s">
        <v>6</v>
      </c>
      <c r="D55" s="161">
        <v>160654.85</v>
      </c>
      <c r="E55" s="160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33.75" x14ac:dyDescent="0.2">
      <c r="A56" s="31"/>
      <c r="B56" s="54" t="s">
        <v>63</v>
      </c>
      <c r="C56" s="55"/>
      <c r="D56" s="160"/>
      <c r="E56" s="160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48" x14ac:dyDescent="0.2">
      <c r="A57" s="31" t="s">
        <v>64</v>
      </c>
      <c r="B57" s="56" t="s">
        <v>65</v>
      </c>
      <c r="C57" s="26" t="s">
        <v>6</v>
      </c>
      <c r="D57" s="161">
        <v>69370</v>
      </c>
      <c r="E57" s="160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60" x14ac:dyDescent="0.2">
      <c r="A58" s="31" t="s">
        <v>66</v>
      </c>
      <c r="B58" s="57" t="s">
        <v>67</v>
      </c>
      <c r="C58" s="26" t="s">
        <v>6</v>
      </c>
      <c r="D58" s="161">
        <f>164083.99+8347.98</f>
        <v>172431.97</v>
      </c>
      <c r="E58" s="160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" x14ac:dyDescent="0.25">
      <c r="A59" s="31" t="s">
        <v>68</v>
      </c>
      <c r="B59" s="58" t="s">
        <v>69</v>
      </c>
      <c r="C59" s="26" t="s">
        <v>6</v>
      </c>
      <c r="D59" s="276">
        <f>D16*6%</f>
        <v>40548.619799999993</v>
      </c>
      <c r="E59" s="160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1"/>
      <c r="B60" s="59" t="s">
        <v>70</v>
      </c>
      <c r="C60" s="26" t="s">
        <v>6</v>
      </c>
      <c r="D60" s="276">
        <f>D59+D58+D57+D55+D54+D49+D38+D34+D31+D28+D24</f>
        <v>823101.79979999992</v>
      </c>
      <c r="E60" s="160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A61" s="60"/>
      <c r="B61" s="61"/>
      <c r="C61" s="62"/>
      <c r="D61" s="175"/>
      <c r="E61" s="17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A62" s="60"/>
      <c r="B62" s="61" t="s">
        <v>116</v>
      </c>
      <c r="C62" s="62"/>
      <c r="D62" s="176">
        <f>D6+D16-D60</f>
        <v>932.68020000006072</v>
      </c>
      <c r="E62" s="17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A63" s="60"/>
      <c r="B63" s="61"/>
      <c r="C63" s="62"/>
      <c r="D63" s="93"/>
      <c r="E63" s="64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8" customHeight="1" x14ac:dyDescent="0.25">
      <c r="A64" s="60"/>
      <c r="B64" s="61"/>
      <c r="C64" s="62"/>
      <c r="D64" s="93"/>
      <c r="E64" s="64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8" customHeight="1" x14ac:dyDescent="0.25">
      <c r="A65" s="60"/>
      <c r="B65" s="61"/>
      <c r="C65" s="62"/>
      <c r="D65" s="93"/>
      <c r="E65" s="95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/>
      <c r="C66" s="62"/>
      <c r="D66" s="65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x14ac:dyDescent="0.2">
      <c r="A67" s="60"/>
      <c r="B67" s="66" t="s">
        <v>72</v>
      </c>
      <c r="C67" s="66"/>
      <c r="D67" s="66" t="s">
        <v>73</v>
      </c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x14ac:dyDescent="0.2">
      <c r="B68" s="66" t="s">
        <v>74</v>
      </c>
      <c r="C68" s="66"/>
      <c r="D68" s="66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44" workbookViewId="0">
      <selection activeCell="F21" sqref="F21:P64"/>
    </sheetView>
  </sheetViews>
  <sheetFormatPr defaultColWidth="9" defaultRowHeight="14.25" x14ac:dyDescent="0.2"/>
  <cols>
    <col min="1" max="1" width="5.28515625" style="1" customWidth="1"/>
    <col min="2" max="2" width="42.7109375" style="1" customWidth="1"/>
    <col min="3" max="3" width="11.7109375" style="1" customWidth="1"/>
    <col min="4" max="4" width="14.7109375" style="1" customWidth="1"/>
    <col min="5" max="6" width="11.42578125" style="1" customWidth="1"/>
    <col min="7" max="7" width="14.140625" style="1" customWidth="1"/>
    <col min="8" max="8" width="12.85546875" style="1" customWidth="1"/>
    <col min="9" max="9" width="13.85546875" style="1" customWidth="1"/>
    <col min="10" max="10" width="9.28515625" style="1" customWidth="1"/>
    <col min="11" max="16384" width="9" style="1"/>
  </cols>
  <sheetData>
    <row r="1" spans="1:14" ht="15" x14ac:dyDescent="0.25">
      <c r="C1" s="2" t="s">
        <v>0</v>
      </c>
      <c r="D1" s="3"/>
      <c r="G1" s="2"/>
    </row>
    <row r="2" spans="1:14" ht="15" customHeight="1" x14ac:dyDescent="0.25">
      <c r="A2" s="298" t="s">
        <v>1</v>
      </c>
      <c r="B2" s="298"/>
      <c r="C2" s="298"/>
      <c r="D2" s="298"/>
      <c r="E2" s="298"/>
      <c r="F2" s="298"/>
      <c r="G2" s="2"/>
    </row>
    <row r="3" spans="1:14" ht="15" customHeight="1" x14ac:dyDescent="0.25">
      <c r="A3" s="4"/>
      <c r="B3" s="298" t="s">
        <v>194</v>
      </c>
      <c r="C3" s="298"/>
      <c r="D3" s="298"/>
      <c r="E3" s="298"/>
      <c r="G3" s="2"/>
    </row>
    <row r="4" spans="1:14" ht="15" x14ac:dyDescent="0.25">
      <c r="A4" s="4"/>
      <c r="B4" s="291"/>
      <c r="C4" s="291"/>
      <c r="D4" s="291"/>
      <c r="E4" s="291"/>
      <c r="G4" s="2"/>
    </row>
    <row r="5" spans="1:14" ht="15" x14ac:dyDescent="0.25">
      <c r="B5" s="163" t="s">
        <v>182</v>
      </c>
      <c r="C5" s="163"/>
      <c r="D5" s="163">
        <v>246560.69</v>
      </c>
      <c r="F5" s="2"/>
    </row>
    <row r="6" spans="1:14" ht="15" x14ac:dyDescent="0.25">
      <c r="A6" s="6"/>
      <c r="B6" s="164" t="s">
        <v>211</v>
      </c>
      <c r="C6" s="167" t="s">
        <v>6</v>
      </c>
      <c r="D6" s="161">
        <v>-141698.54</v>
      </c>
      <c r="E6" s="6"/>
      <c r="F6" s="2"/>
    </row>
    <row r="7" spans="1:14" ht="15" x14ac:dyDescent="0.25">
      <c r="A7" s="6"/>
      <c r="B7" s="164"/>
      <c r="C7" s="167"/>
      <c r="D7" s="161"/>
      <c r="E7" s="6"/>
      <c r="F7" s="2"/>
    </row>
    <row r="8" spans="1:14" ht="15" x14ac:dyDescent="0.25">
      <c r="A8" s="6"/>
      <c r="B8" s="165" t="s">
        <v>2</v>
      </c>
      <c r="C8" s="167" t="s">
        <v>3</v>
      </c>
      <c r="D8" s="160">
        <v>4242.12</v>
      </c>
      <c r="E8" s="6"/>
      <c r="F8" s="2"/>
    </row>
    <row r="9" spans="1:14" ht="15" x14ac:dyDescent="0.25">
      <c r="A9" s="6"/>
      <c r="B9" s="165" t="s">
        <v>4</v>
      </c>
      <c r="C9" s="167" t="s">
        <v>3</v>
      </c>
      <c r="D9" s="160">
        <v>2466.3200000000002</v>
      </c>
      <c r="E9" s="6"/>
      <c r="F9" s="2"/>
    </row>
    <row r="10" spans="1:14" ht="15" x14ac:dyDescent="0.25">
      <c r="A10" s="6"/>
      <c r="B10" s="166" t="s">
        <v>5</v>
      </c>
      <c r="C10" s="164" t="s">
        <v>6</v>
      </c>
      <c r="D10" s="161">
        <v>456949.94</v>
      </c>
      <c r="E10" s="6"/>
      <c r="F10" s="2"/>
    </row>
    <row r="11" spans="1:14" ht="15" x14ac:dyDescent="0.25">
      <c r="A11" s="6"/>
      <c r="B11" s="164"/>
      <c r="C11" s="164"/>
      <c r="D11" s="160"/>
      <c r="E11" s="6"/>
      <c r="F11" s="2"/>
    </row>
    <row r="12" spans="1:14" ht="15" x14ac:dyDescent="0.25">
      <c r="A12" s="6"/>
      <c r="B12" s="166" t="s">
        <v>7</v>
      </c>
      <c r="C12" s="164"/>
      <c r="D12" s="160"/>
      <c r="E12" s="6"/>
      <c r="F12" s="2"/>
      <c r="G12" s="153"/>
      <c r="H12" s="153"/>
      <c r="I12" s="153"/>
      <c r="J12" s="153"/>
      <c r="K12" s="153"/>
      <c r="L12" s="153"/>
      <c r="M12" s="153"/>
      <c r="N12" s="153"/>
    </row>
    <row r="13" spans="1:14" ht="15" x14ac:dyDescent="0.25">
      <c r="A13" s="6">
        <v>1</v>
      </c>
      <c r="B13" s="167" t="s">
        <v>8</v>
      </c>
      <c r="C13" s="167" t="s">
        <v>6</v>
      </c>
      <c r="D13" s="160">
        <v>384262.93</v>
      </c>
      <c r="E13" s="6"/>
      <c r="F13" s="2"/>
      <c r="G13" s="153"/>
      <c r="H13" s="153"/>
      <c r="I13" s="153"/>
      <c r="J13" s="153"/>
      <c r="K13" s="153"/>
      <c r="L13" s="153"/>
      <c r="M13" s="153"/>
      <c r="N13" s="153"/>
    </row>
    <row r="14" spans="1:14" ht="15" x14ac:dyDescent="0.25">
      <c r="A14" s="6">
        <v>2</v>
      </c>
      <c r="B14" s="167" t="s">
        <v>9</v>
      </c>
      <c r="C14" s="167" t="s">
        <v>6</v>
      </c>
      <c r="D14" s="160">
        <f>15150+9000</f>
        <v>24150</v>
      </c>
      <c r="E14" s="6"/>
      <c r="F14" s="2"/>
      <c r="G14" s="153"/>
      <c r="H14" s="153"/>
      <c r="I14" s="153"/>
      <c r="J14" s="153"/>
      <c r="K14" s="153"/>
      <c r="L14" s="153"/>
      <c r="M14" s="153"/>
      <c r="N14" s="153"/>
    </row>
    <row r="15" spans="1:14" ht="15" x14ac:dyDescent="0.25">
      <c r="A15" s="6"/>
      <c r="B15" s="167"/>
      <c r="C15" s="164"/>
      <c r="D15" s="160"/>
      <c r="E15" s="6"/>
      <c r="F15" s="2"/>
      <c r="G15" s="153"/>
      <c r="H15" s="153"/>
      <c r="I15" s="153"/>
      <c r="J15" s="153"/>
      <c r="K15" s="153"/>
      <c r="L15" s="153"/>
      <c r="M15" s="153"/>
      <c r="N15" s="153"/>
    </row>
    <row r="16" spans="1:14" ht="15" x14ac:dyDescent="0.25">
      <c r="A16" s="6"/>
      <c r="B16" s="166" t="s">
        <v>10</v>
      </c>
      <c r="C16" s="164" t="s">
        <v>6</v>
      </c>
      <c r="D16" s="161">
        <f>D13+D14+D15</f>
        <v>408412.93</v>
      </c>
      <c r="E16" s="6"/>
      <c r="F16" s="2"/>
      <c r="G16" s="153"/>
      <c r="H16" s="153"/>
      <c r="I16" s="153"/>
      <c r="J16" s="153"/>
      <c r="K16" s="153"/>
      <c r="L16" s="153"/>
      <c r="M16" s="153"/>
      <c r="N16" s="153"/>
    </row>
    <row r="17" spans="1:14" ht="15" x14ac:dyDescent="0.25">
      <c r="B17" s="5"/>
      <c r="C17" s="5"/>
      <c r="F17" s="2"/>
      <c r="G17" s="153"/>
      <c r="H17" s="153"/>
      <c r="I17" s="153"/>
      <c r="J17" s="153"/>
      <c r="K17" s="153"/>
      <c r="L17" s="153"/>
      <c r="M17" s="153"/>
      <c r="N17" s="153"/>
    </row>
    <row r="18" spans="1:14" ht="15" x14ac:dyDescent="0.25">
      <c r="B18" s="5"/>
      <c r="C18" s="5" t="s">
        <v>11</v>
      </c>
      <c r="F18" s="2"/>
      <c r="G18" s="153"/>
      <c r="H18" s="153"/>
      <c r="I18" s="153"/>
      <c r="J18" s="153"/>
      <c r="K18" s="153"/>
      <c r="L18" s="153"/>
      <c r="M18" s="153"/>
      <c r="N18" s="153"/>
    </row>
    <row r="19" spans="1:14" ht="15" x14ac:dyDescent="0.25">
      <c r="A19" s="13"/>
      <c r="B19" s="14"/>
      <c r="C19" s="14"/>
      <c r="D19" s="13"/>
      <c r="E19" s="13"/>
      <c r="F19" s="2"/>
      <c r="G19" s="153"/>
      <c r="H19" s="153"/>
      <c r="I19" s="153"/>
      <c r="J19" s="153"/>
      <c r="K19" s="153"/>
      <c r="L19" s="153"/>
      <c r="M19" s="153"/>
      <c r="N19" s="153"/>
    </row>
    <row r="20" spans="1:14" ht="15" customHeight="1" x14ac:dyDescent="0.25">
      <c r="A20" s="15" t="s">
        <v>12</v>
      </c>
      <c r="B20" s="16"/>
      <c r="C20" s="17" t="s">
        <v>85</v>
      </c>
      <c r="D20" s="19" t="s">
        <v>13</v>
      </c>
      <c r="E20" s="19"/>
      <c r="F20" s="2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15</v>
      </c>
      <c r="B21" s="20" t="s">
        <v>16</v>
      </c>
      <c r="C21" s="20" t="s">
        <v>87</v>
      </c>
      <c r="D21" s="19" t="s">
        <v>17</v>
      </c>
      <c r="E21" s="21"/>
      <c r="F21" s="2"/>
      <c r="G21" s="153"/>
      <c r="H21" s="153"/>
      <c r="I21" s="153"/>
      <c r="J21" s="153"/>
      <c r="K21" s="153"/>
      <c r="L21" s="153"/>
      <c r="M21" s="153"/>
      <c r="N21" s="153"/>
    </row>
    <row r="22" spans="1:14" ht="32.25" customHeight="1" x14ac:dyDescent="0.25">
      <c r="A22" s="22" t="s">
        <v>18</v>
      </c>
      <c r="B22" s="23" t="s">
        <v>88</v>
      </c>
      <c r="C22" s="24"/>
      <c r="D22" s="6"/>
      <c r="E22" s="6"/>
      <c r="F22" s="2"/>
      <c r="G22" s="153"/>
      <c r="H22" s="153"/>
      <c r="I22" s="153"/>
      <c r="J22" s="153"/>
      <c r="K22" s="153"/>
      <c r="L22" s="153"/>
      <c r="M22" s="153"/>
      <c r="N22" s="153"/>
    </row>
    <row r="23" spans="1:14" ht="41.1" customHeight="1" x14ac:dyDescent="0.25">
      <c r="A23" s="22"/>
      <c r="B23" s="25" t="s">
        <v>20</v>
      </c>
      <c r="C23" s="26" t="s">
        <v>6</v>
      </c>
      <c r="D23" s="216">
        <f>D24+D25+D26</f>
        <v>84467.86</v>
      </c>
      <c r="E23" s="6"/>
      <c r="F23" s="2"/>
      <c r="G23" s="153"/>
      <c r="H23" s="153"/>
      <c r="I23" s="153"/>
      <c r="J23" s="153"/>
      <c r="K23" s="153"/>
      <c r="L23" s="153"/>
      <c r="M23" s="153"/>
      <c r="N23" s="153"/>
    </row>
    <row r="24" spans="1:14" ht="81.75" customHeight="1" x14ac:dyDescent="0.25">
      <c r="A24" s="22"/>
      <c r="B24" s="28" t="s">
        <v>21</v>
      </c>
      <c r="C24" s="29"/>
      <c r="D24" s="204">
        <v>43225.21</v>
      </c>
      <c r="E24" s="6"/>
      <c r="F24" s="2"/>
      <c r="G24" s="153"/>
      <c r="H24" s="153"/>
      <c r="I24" s="153"/>
      <c r="J24" s="153"/>
      <c r="K24" s="153"/>
      <c r="L24" s="153"/>
      <c r="M24" s="153"/>
      <c r="N24" s="153"/>
    </row>
    <row r="25" spans="1:14" ht="113.25" x14ac:dyDescent="0.25">
      <c r="A25" s="30"/>
      <c r="B25" s="28" t="s">
        <v>22</v>
      </c>
      <c r="C25" s="29"/>
      <c r="D25" s="204">
        <f>37570.4+120.89</f>
        <v>37691.29</v>
      </c>
      <c r="E25" s="6"/>
      <c r="F25" s="2"/>
      <c r="G25" s="153"/>
      <c r="H25" s="153"/>
      <c r="I25" s="153"/>
      <c r="J25" s="153"/>
      <c r="K25" s="153"/>
      <c r="L25" s="153"/>
      <c r="M25" s="153"/>
      <c r="N25" s="153"/>
    </row>
    <row r="26" spans="1:14" ht="23.25" x14ac:dyDescent="0.25">
      <c r="A26" s="31"/>
      <c r="B26" s="40" t="s">
        <v>23</v>
      </c>
      <c r="C26" s="29"/>
      <c r="D26" s="204">
        <v>3551.36</v>
      </c>
      <c r="E26" s="6"/>
      <c r="F26" s="2"/>
      <c r="G26" s="153"/>
      <c r="H26" s="153"/>
      <c r="I26" s="153"/>
      <c r="J26" s="153"/>
      <c r="K26" s="153"/>
      <c r="L26" s="153"/>
      <c r="M26" s="153"/>
      <c r="N26" s="153"/>
    </row>
    <row r="27" spans="1:14" ht="15.95" customHeight="1" x14ac:dyDescent="0.25">
      <c r="A27" s="22"/>
      <c r="B27" s="25" t="s">
        <v>24</v>
      </c>
      <c r="C27" s="26" t="s">
        <v>6</v>
      </c>
      <c r="D27" s="216">
        <f>D28+D29</f>
        <v>10474</v>
      </c>
      <c r="E27" s="6"/>
      <c r="F27" s="2"/>
      <c r="G27" s="153"/>
      <c r="H27" s="153"/>
      <c r="I27" s="153"/>
      <c r="J27" s="153"/>
      <c r="K27" s="153"/>
      <c r="L27" s="153"/>
      <c r="M27" s="153"/>
      <c r="N27" s="153"/>
    </row>
    <row r="28" spans="1:14" ht="15" x14ac:dyDescent="0.25">
      <c r="A28" s="33"/>
      <c r="B28" s="70" t="s">
        <v>25</v>
      </c>
      <c r="C28" s="35"/>
      <c r="D28" s="204">
        <v>4583</v>
      </c>
      <c r="E28" s="6"/>
      <c r="F28" s="2"/>
      <c r="G28" s="153"/>
      <c r="H28" s="153"/>
      <c r="I28" s="153"/>
      <c r="J28" s="153"/>
      <c r="K28" s="153"/>
      <c r="L28" s="153"/>
      <c r="M28" s="153"/>
      <c r="N28" s="153"/>
    </row>
    <row r="29" spans="1:14" ht="15" x14ac:dyDescent="0.25">
      <c r="A29" s="22"/>
      <c r="B29" s="70" t="s">
        <v>26</v>
      </c>
      <c r="C29" s="35"/>
      <c r="D29" s="204">
        <v>5891</v>
      </c>
      <c r="E29" s="6"/>
      <c r="F29" s="2"/>
      <c r="G29" s="153"/>
      <c r="H29" s="153"/>
      <c r="I29" s="153"/>
      <c r="J29" s="153"/>
      <c r="K29" s="153"/>
      <c r="L29" s="153"/>
      <c r="M29" s="153"/>
      <c r="N29" s="153"/>
    </row>
    <row r="30" spans="1:14" ht="39" x14ac:dyDescent="0.25">
      <c r="A30" s="22" t="s">
        <v>27</v>
      </c>
      <c r="B30" s="25" t="s">
        <v>28</v>
      </c>
      <c r="C30" s="26" t="s">
        <v>6</v>
      </c>
      <c r="D30" s="216">
        <f>D31+D32</f>
        <v>20125</v>
      </c>
      <c r="E30" s="6"/>
      <c r="F30" s="2"/>
      <c r="G30" s="153"/>
      <c r="H30" s="153"/>
      <c r="I30" s="153"/>
      <c r="J30" s="153"/>
      <c r="K30" s="153"/>
      <c r="L30" s="153"/>
      <c r="M30" s="153"/>
      <c r="N30" s="153"/>
    </row>
    <row r="31" spans="1:14" ht="66" customHeight="1" x14ac:dyDescent="0.25">
      <c r="A31" s="37"/>
      <c r="B31" s="28" t="s">
        <v>29</v>
      </c>
      <c r="C31" s="29"/>
      <c r="D31" s="204">
        <v>20125</v>
      </c>
      <c r="E31" s="6"/>
      <c r="F31" s="2"/>
      <c r="G31" s="153"/>
      <c r="H31" s="153"/>
      <c r="I31" s="153"/>
      <c r="J31" s="153"/>
      <c r="K31" s="153"/>
      <c r="L31" s="153"/>
      <c r="M31" s="153"/>
      <c r="N31" s="153"/>
    </row>
    <row r="32" spans="1:14" ht="21.95" customHeight="1" x14ac:dyDescent="0.25">
      <c r="A32" s="37"/>
      <c r="B32" s="38" t="s">
        <v>30</v>
      </c>
      <c r="C32" s="39"/>
      <c r="D32" s="204">
        <v>0</v>
      </c>
      <c r="E32" s="6"/>
      <c r="F32" s="2"/>
      <c r="G32" s="153"/>
      <c r="H32" s="153"/>
      <c r="I32" s="153"/>
      <c r="J32" s="153"/>
      <c r="K32" s="153"/>
      <c r="L32" s="153"/>
      <c r="M32" s="153"/>
      <c r="N32" s="153"/>
    </row>
    <row r="33" spans="1:14" ht="39" customHeight="1" x14ac:dyDescent="0.25">
      <c r="A33" s="37" t="s">
        <v>31</v>
      </c>
      <c r="B33" s="25" t="s">
        <v>32</v>
      </c>
      <c r="C33" s="26" t="s">
        <v>6</v>
      </c>
      <c r="D33" s="216">
        <f>D34+D35+D36</f>
        <v>4065</v>
      </c>
      <c r="E33" s="6"/>
      <c r="F33" s="2"/>
      <c r="G33" s="153"/>
      <c r="H33" s="153"/>
      <c r="I33" s="153"/>
      <c r="J33" s="153"/>
      <c r="K33" s="153"/>
      <c r="L33" s="153"/>
      <c r="M33" s="153"/>
      <c r="N33" s="153"/>
    </row>
    <row r="34" spans="1:14" ht="34.5" x14ac:dyDescent="0.25">
      <c r="A34" s="33"/>
      <c r="B34" s="40" t="s">
        <v>33</v>
      </c>
      <c r="C34" s="39"/>
      <c r="D34" s="204">
        <v>2205</v>
      </c>
      <c r="E34" s="6"/>
      <c r="F34" s="2"/>
      <c r="G34" s="153"/>
      <c r="H34" s="153"/>
      <c r="I34" s="153"/>
      <c r="J34" s="153"/>
      <c r="K34" s="153"/>
      <c r="L34" s="153"/>
      <c r="M34" s="153"/>
      <c r="N34" s="153"/>
    </row>
    <row r="35" spans="1:14" ht="23.25" x14ac:dyDescent="0.25">
      <c r="A35" s="33"/>
      <c r="B35" s="38" t="s">
        <v>89</v>
      </c>
      <c r="C35" s="39"/>
      <c r="D35" s="204">
        <v>1860</v>
      </c>
      <c r="E35" s="6"/>
      <c r="F35" s="2"/>
      <c r="G35" s="153"/>
      <c r="H35" s="153"/>
      <c r="I35" s="153"/>
      <c r="J35" s="153"/>
      <c r="K35" s="153"/>
      <c r="L35" s="153"/>
      <c r="M35" s="153"/>
      <c r="N35" s="153"/>
    </row>
    <row r="36" spans="1:14" ht="23.25" x14ac:dyDescent="0.25">
      <c r="A36" s="33"/>
      <c r="B36" s="38" t="s">
        <v>35</v>
      </c>
      <c r="C36" s="39"/>
      <c r="D36" s="204">
        <v>0</v>
      </c>
      <c r="E36" s="6"/>
      <c r="F36" s="2"/>
      <c r="G36" s="153"/>
      <c r="H36" s="153"/>
      <c r="I36" s="153"/>
      <c r="J36" s="153"/>
      <c r="K36" s="153"/>
      <c r="L36" s="153"/>
      <c r="M36" s="153"/>
      <c r="N36" s="153"/>
    </row>
    <row r="37" spans="1:14" ht="15.75" x14ac:dyDescent="0.25">
      <c r="A37" s="31" t="s">
        <v>36</v>
      </c>
      <c r="B37" s="41" t="s">
        <v>37</v>
      </c>
      <c r="C37" s="26" t="s">
        <v>6</v>
      </c>
      <c r="D37" s="216">
        <f>D38+D39+D40+D42+D43+D44+D45</f>
        <v>23227.81</v>
      </c>
      <c r="E37" s="6"/>
      <c r="F37" s="2"/>
      <c r="G37" s="153"/>
      <c r="H37" s="153"/>
      <c r="I37" s="153"/>
      <c r="J37" s="153"/>
      <c r="K37" s="153"/>
      <c r="L37" s="153"/>
      <c r="M37" s="153"/>
      <c r="N37" s="153"/>
    </row>
    <row r="38" spans="1:14" ht="15" x14ac:dyDescent="0.25">
      <c r="A38" s="42"/>
      <c r="B38" s="43" t="s">
        <v>38</v>
      </c>
      <c r="C38" s="44"/>
      <c r="D38" s="204">
        <v>3084.48</v>
      </c>
      <c r="E38" s="6"/>
      <c r="F38" s="2"/>
      <c r="G38" s="153"/>
      <c r="H38" s="153"/>
      <c r="I38" s="153"/>
      <c r="J38" s="153"/>
      <c r="K38" s="153"/>
      <c r="L38" s="153"/>
      <c r="M38" s="153"/>
      <c r="N38" s="153"/>
    </row>
    <row r="39" spans="1:14" ht="15" customHeight="1" x14ac:dyDescent="0.25">
      <c r="A39" s="42"/>
      <c r="B39" s="43" t="s">
        <v>39</v>
      </c>
      <c r="C39" s="44"/>
      <c r="D39" s="204">
        <v>5346</v>
      </c>
      <c r="E39" s="6"/>
      <c r="F39" s="2"/>
      <c r="G39" s="153"/>
      <c r="H39" s="153"/>
      <c r="I39" s="153"/>
      <c r="J39" s="153"/>
      <c r="K39" s="153"/>
      <c r="L39" s="153"/>
      <c r="M39" s="153"/>
      <c r="N39" s="153"/>
    </row>
    <row r="40" spans="1:14" ht="15" x14ac:dyDescent="0.25">
      <c r="A40" s="42"/>
      <c r="B40" s="45" t="s">
        <v>40</v>
      </c>
      <c r="C40" s="44"/>
      <c r="D40" s="204">
        <v>11515.12</v>
      </c>
      <c r="E40" s="6"/>
      <c r="F40" s="2"/>
      <c r="G40" s="153"/>
      <c r="H40" s="153"/>
      <c r="I40" s="153"/>
      <c r="J40" s="153"/>
      <c r="K40" s="153"/>
      <c r="L40" s="153"/>
      <c r="M40" s="153"/>
      <c r="N40" s="153"/>
    </row>
    <row r="41" spans="1:14" ht="36.950000000000003" customHeight="1" x14ac:dyDescent="0.25">
      <c r="A41" s="31"/>
      <c r="B41" s="46" t="s">
        <v>41</v>
      </c>
      <c r="C41" s="44"/>
      <c r="D41" s="204"/>
      <c r="E41" s="6"/>
      <c r="F41" s="2"/>
      <c r="G41" s="153"/>
      <c r="H41" s="153"/>
      <c r="I41" s="153"/>
      <c r="J41" s="153"/>
      <c r="K41" s="153"/>
      <c r="L41" s="153"/>
      <c r="M41" s="153"/>
      <c r="N41" s="153"/>
    </row>
    <row r="42" spans="1:14" ht="18" customHeight="1" x14ac:dyDescent="0.25">
      <c r="A42" s="42"/>
      <c r="B42" s="47" t="s">
        <v>90</v>
      </c>
      <c r="C42" s="44"/>
      <c r="D42" s="204">
        <v>0</v>
      </c>
      <c r="E42" s="6"/>
      <c r="F42" s="2"/>
      <c r="G42" s="153"/>
      <c r="H42" s="153"/>
      <c r="I42" s="153"/>
      <c r="J42" s="153"/>
      <c r="K42" s="153"/>
      <c r="L42" s="153"/>
      <c r="M42" s="153"/>
      <c r="N42" s="153"/>
    </row>
    <row r="43" spans="1:14" ht="15" x14ac:dyDescent="0.25">
      <c r="A43" s="42"/>
      <c r="B43" s="47" t="s">
        <v>91</v>
      </c>
      <c r="C43" s="44"/>
      <c r="D43" s="204">
        <v>630.65</v>
      </c>
      <c r="E43" s="6"/>
      <c r="F43" s="2"/>
      <c r="G43" s="153"/>
      <c r="H43" s="153"/>
      <c r="I43" s="153"/>
      <c r="J43" s="153"/>
      <c r="K43" s="153"/>
      <c r="L43" s="153"/>
      <c r="M43" s="153"/>
      <c r="N43" s="153"/>
    </row>
    <row r="44" spans="1:14" ht="15" x14ac:dyDescent="0.25">
      <c r="A44" s="29"/>
      <c r="B44" s="47" t="s">
        <v>92</v>
      </c>
      <c r="C44" s="44"/>
      <c r="D44" s="204">
        <v>2249.8200000000002</v>
      </c>
      <c r="E44" s="6"/>
      <c r="F44" s="2"/>
      <c r="G44" s="153"/>
      <c r="H44" s="153"/>
      <c r="I44" s="153"/>
      <c r="J44" s="153"/>
      <c r="K44" s="153"/>
      <c r="L44" s="153"/>
      <c r="M44" s="153"/>
      <c r="N44" s="153"/>
    </row>
    <row r="45" spans="1:14" ht="15" customHeight="1" x14ac:dyDescent="0.25">
      <c r="A45" s="42"/>
      <c r="B45" s="47" t="s">
        <v>45</v>
      </c>
      <c r="C45" s="44"/>
      <c r="D45" s="204">
        <v>401.74</v>
      </c>
      <c r="E45" s="6"/>
      <c r="F45" s="2"/>
      <c r="G45" s="153"/>
      <c r="H45" s="153"/>
      <c r="I45" s="153"/>
      <c r="J45" s="153"/>
      <c r="K45" s="153"/>
      <c r="L45" s="153"/>
      <c r="M45" s="153"/>
      <c r="N45" s="153"/>
    </row>
    <row r="46" spans="1:14" ht="39" customHeight="1" x14ac:dyDescent="0.25">
      <c r="A46" s="12" t="s">
        <v>46</v>
      </c>
      <c r="B46" s="48" t="s">
        <v>47</v>
      </c>
      <c r="C46" s="49"/>
      <c r="D46" s="204"/>
      <c r="E46" s="6"/>
      <c r="F46" s="2"/>
      <c r="G46" s="153"/>
      <c r="H46" s="153"/>
      <c r="I46" s="153"/>
      <c r="J46" s="153"/>
      <c r="K46" s="153"/>
      <c r="L46" s="153"/>
      <c r="M46" s="153"/>
      <c r="N46" s="153"/>
    </row>
    <row r="47" spans="1:14" ht="15" x14ac:dyDescent="0.25">
      <c r="A47" s="49"/>
      <c r="B47" s="50" t="s">
        <v>48</v>
      </c>
      <c r="C47" s="49"/>
      <c r="D47" s="204"/>
      <c r="E47" s="6"/>
      <c r="F47" s="2"/>
      <c r="G47" s="153"/>
      <c r="H47" s="153"/>
      <c r="I47" s="153"/>
      <c r="J47" s="153"/>
      <c r="K47" s="153"/>
      <c r="L47" s="153"/>
      <c r="M47" s="153"/>
      <c r="N47" s="153"/>
    </row>
    <row r="48" spans="1:14" ht="26.25" x14ac:dyDescent="0.25">
      <c r="A48" s="31"/>
      <c r="B48" s="51" t="s">
        <v>49</v>
      </c>
      <c r="C48" s="26" t="s">
        <v>6</v>
      </c>
      <c r="D48" s="216">
        <f>D49+D50+D51</f>
        <v>95359.71</v>
      </c>
      <c r="E48" s="6"/>
      <c r="F48" s="2"/>
      <c r="G48" s="153"/>
      <c r="H48" s="153"/>
      <c r="I48" s="153"/>
      <c r="J48" s="153"/>
      <c r="K48" s="153"/>
      <c r="L48" s="153"/>
      <c r="M48" s="153"/>
      <c r="N48" s="153"/>
    </row>
    <row r="49" spans="1:14" ht="23.25" x14ac:dyDescent="0.25">
      <c r="A49" s="33"/>
      <c r="B49" s="28" t="s">
        <v>50</v>
      </c>
      <c r="C49" s="39"/>
      <c r="D49" s="204">
        <v>95359.71</v>
      </c>
      <c r="E49" s="6"/>
      <c r="F49" s="2"/>
      <c r="G49" s="153"/>
      <c r="H49" s="153"/>
      <c r="I49" s="153"/>
      <c r="J49" s="153"/>
      <c r="K49" s="153"/>
      <c r="L49" s="153"/>
      <c r="M49" s="153"/>
      <c r="N49" s="153"/>
    </row>
    <row r="50" spans="1:14" ht="15" x14ac:dyDescent="0.25">
      <c r="A50" s="31"/>
      <c r="B50" s="52" t="s">
        <v>51</v>
      </c>
      <c r="C50" s="75"/>
      <c r="D50" s="204">
        <v>0</v>
      </c>
      <c r="E50" s="6"/>
      <c r="F50" s="2"/>
      <c r="G50" s="153"/>
      <c r="H50" s="153"/>
      <c r="I50" s="153"/>
      <c r="J50" s="153"/>
      <c r="K50" s="153"/>
      <c r="L50" s="153"/>
      <c r="M50" s="153"/>
      <c r="N50" s="153"/>
    </row>
    <row r="51" spans="1:14" ht="23.25" x14ac:dyDescent="0.25">
      <c r="A51" s="31"/>
      <c r="B51" s="52" t="s">
        <v>52</v>
      </c>
      <c r="C51" s="75"/>
      <c r="D51" s="204">
        <v>0</v>
      </c>
      <c r="E51" s="6"/>
      <c r="F51" s="2"/>
      <c r="G51" s="153"/>
      <c r="H51" s="153"/>
      <c r="I51" s="153"/>
      <c r="J51" s="153"/>
      <c r="K51" s="153"/>
      <c r="L51" s="153"/>
      <c r="M51" s="153"/>
      <c r="N51" s="153"/>
    </row>
    <row r="52" spans="1:14" ht="15" x14ac:dyDescent="0.25">
      <c r="A52" s="33" t="s">
        <v>60</v>
      </c>
      <c r="B52" s="210" t="s">
        <v>252</v>
      </c>
      <c r="C52" s="20" t="s">
        <v>6</v>
      </c>
      <c r="D52" s="216">
        <v>5996.43</v>
      </c>
      <c r="E52" s="6"/>
      <c r="F52" s="2"/>
      <c r="G52" s="153"/>
      <c r="H52" s="153"/>
      <c r="I52" s="153"/>
      <c r="J52" s="153"/>
      <c r="K52" s="153"/>
      <c r="L52" s="153"/>
      <c r="M52" s="153"/>
      <c r="N52" s="153"/>
    </row>
    <row r="53" spans="1:14" ht="15" x14ac:dyDescent="0.25">
      <c r="A53" s="31" t="s">
        <v>62</v>
      </c>
      <c r="B53" s="211" t="s">
        <v>262</v>
      </c>
      <c r="C53" s="20" t="s">
        <v>6</v>
      </c>
      <c r="D53" s="216">
        <v>9910.68</v>
      </c>
      <c r="E53" s="6"/>
      <c r="F53" s="2"/>
      <c r="G53" s="153"/>
      <c r="H53" s="153"/>
      <c r="I53" s="153"/>
      <c r="J53" s="153"/>
      <c r="K53" s="153"/>
      <c r="L53" s="153"/>
      <c r="M53" s="153"/>
      <c r="N53" s="153"/>
    </row>
    <row r="54" spans="1:14" ht="34.5" x14ac:dyDescent="0.25">
      <c r="A54" s="31"/>
      <c r="B54" s="54" t="s">
        <v>63</v>
      </c>
      <c r="C54" s="55"/>
      <c r="D54" s="204"/>
      <c r="E54" s="6"/>
      <c r="F54" s="2"/>
      <c r="G54" s="153"/>
      <c r="H54" s="153"/>
      <c r="I54" s="153"/>
      <c r="J54" s="153"/>
      <c r="K54" s="153"/>
      <c r="L54" s="153"/>
      <c r="M54" s="153"/>
      <c r="N54" s="153"/>
    </row>
    <row r="55" spans="1:14" ht="48.75" x14ac:dyDescent="0.25">
      <c r="A55" s="31" t="s">
        <v>64</v>
      </c>
      <c r="B55" s="56" t="s">
        <v>65</v>
      </c>
      <c r="C55" s="26" t="s">
        <v>6</v>
      </c>
      <c r="D55" s="216">
        <f>31595+1066.9</f>
        <v>32661.9</v>
      </c>
      <c r="E55" s="6"/>
      <c r="F55" s="2"/>
      <c r="G55" s="153"/>
      <c r="H55" s="153"/>
      <c r="I55" s="153"/>
      <c r="J55" s="153"/>
      <c r="K55" s="153"/>
      <c r="L55" s="153"/>
      <c r="M55" s="153"/>
      <c r="N55" s="153"/>
    </row>
    <row r="56" spans="1:14" ht="60.75" x14ac:dyDescent="0.25">
      <c r="A56" s="31" t="s">
        <v>66</v>
      </c>
      <c r="B56" s="57" t="s">
        <v>67</v>
      </c>
      <c r="C56" s="26" t="s">
        <v>6</v>
      </c>
      <c r="D56" s="216">
        <f>98541.96+2706.63</f>
        <v>101248.59000000001</v>
      </c>
      <c r="E56" s="6"/>
      <c r="F56" s="2"/>
      <c r="G56" s="153"/>
      <c r="H56" s="153"/>
      <c r="I56" s="153"/>
      <c r="J56" s="153"/>
      <c r="K56" s="153"/>
      <c r="L56" s="153"/>
      <c r="M56" s="153"/>
      <c r="N56" s="153"/>
    </row>
    <row r="57" spans="1:14" ht="15" x14ac:dyDescent="0.25">
      <c r="A57" s="31" t="s">
        <v>68</v>
      </c>
      <c r="B57" s="58" t="s">
        <v>69</v>
      </c>
      <c r="C57" s="26" t="s">
        <v>6</v>
      </c>
      <c r="D57" s="218">
        <f>D16*6%</f>
        <v>24504.775799999999</v>
      </c>
      <c r="E57" s="6"/>
      <c r="F57" s="2"/>
      <c r="G57" s="153"/>
      <c r="H57" s="153"/>
      <c r="I57" s="153"/>
      <c r="J57" s="153"/>
      <c r="K57" s="153"/>
      <c r="L57" s="153"/>
      <c r="M57" s="153"/>
      <c r="N57" s="153"/>
    </row>
    <row r="58" spans="1:14" ht="15" x14ac:dyDescent="0.25">
      <c r="A58" s="31"/>
      <c r="B58" s="59" t="s">
        <v>70</v>
      </c>
      <c r="C58" s="26" t="s">
        <v>6</v>
      </c>
      <c r="D58" s="218">
        <f>D57+D56+D55+D53+D52+D48+D37+D33+D30+D27+D23</f>
        <v>412041.75579999998</v>
      </c>
      <c r="E58" s="6"/>
      <c r="F58" s="2"/>
      <c r="G58" s="153"/>
      <c r="H58" s="153"/>
      <c r="I58" s="153"/>
      <c r="J58" s="153"/>
      <c r="K58" s="153"/>
      <c r="L58" s="153"/>
      <c r="M58" s="153"/>
      <c r="N58" s="153"/>
    </row>
    <row r="59" spans="1:14" ht="15.75" x14ac:dyDescent="0.25">
      <c r="A59" s="60"/>
      <c r="B59" s="61" t="s">
        <v>76</v>
      </c>
      <c r="C59" s="62"/>
      <c r="D59" s="159">
        <f>D6+D16-D58</f>
        <v>-145327.36579999997</v>
      </c>
      <c r="E59" s="156"/>
      <c r="F59" s="2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0"/>
      <c r="B60" s="61"/>
      <c r="C60" s="62"/>
      <c r="D60" s="228"/>
      <c r="E60" s="157"/>
      <c r="F60" s="2"/>
      <c r="G60" s="153"/>
      <c r="H60" s="153"/>
      <c r="I60" s="153"/>
      <c r="J60" s="153"/>
      <c r="K60" s="153"/>
      <c r="L60" s="153"/>
      <c r="M60" s="153"/>
      <c r="N60" s="153"/>
    </row>
    <row r="61" spans="1:14" ht="15" x14ac:dyDescent="0.25">
      <c r="A61" s="60"/>
      <c r="B61" s="66" t="s">
        <v>72</v>
      </c>
      <c r="C61" s="66"/>
      <c r="D61" s="66" t="s">
        <v>73</v>
      </c>
      <c r="F61" s="2"/>
      <c r="G61" s="153"/>
      <c r="H61" s="153"/>
      <c r="I61" s="153"/>
      <c r="J61" s="153"/>
      <c r="K61" s="153"/>
      <c r="L61" s="153"/>
      <c r="M61" s="153"/>
      <c r="N61" s="153"/>
    </row>
    <row r="62" spans="1:14" ht="15" x14ac:dyDescent="0.25">
      <c r="B62" s="66" t="s">
        <v>74</v>
      </c>
      <c r="C62" s="66"/>
      <c r="D62" s="66" t="s">
        <v>273</v>
      </c>
      <c r="F62" s="2"/>
      <c r="G62" s="153"/>
      <c r="H62" s="153"/>
      <c r="I62" s="153"/>
      <c r="J62" s="153"/>
      <c r="K62" s="153"/>
      <c r="L62" s="153"/>
      <c r="M62" s="153"/>
      <c r="N62" s="153"/>
    </row>
    <row r="63" spans="1:14" ht="15" x14ac:dyDescent="0.25">
      <c r="B63" s="88"/>
      <c r="F63" s="2"/>
      <c r="G63" s="153"/>
      <c r="H63" s="153"/>
      <c r="I63" s="153"/>
      <c r="J63" s="153"/>
      <c r="K63" s="153"/>
      <c r="L63" s="153"/>
      <c r="M63" s="153"/>
      <c r="N63" s="153"/>
    </row>
    <row r="64" spans="1:14" ht="15" x14ac:dyDescent="0.25">
      <c r="F64" s="2"/>
      <c r="G64" s="153"/>
      <c r="H64" s="153"/>
      <c r="I64" s="153"/>
      <c r="J64" s="153"/>
      <c r="K64" s="153"/>
      <c r="L64" s="153"/>
      <c r="M64" s="153"/>
      <c r="N64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3" workbookViewId="0">
      <selection activeCell="F22" sqref="F22:P61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8.28515625" style="1" customWidth="1"/>
    <col min="4" max="4" width="13.7109375" style="1" customWidth="1"/>
    <col min="5" max="5" width="18.5703125" style="1" customWidth="1"/>
    <col min="6" max="6" width="11.140625" style="1" customWidth="1"/>
    <col min="7" max="7" width="11.42578125" style="1" customWidth="1"/>
    <col min="8" max="8" width="11.85546875" style="1" customWidth="1"/>
    <col min="9" max="9" width="12.85546875" style="1" customWidth="1"/>
    <col min="10" max="10" width="9.28515625" style="1" customWidth="1"/>
    <col min="11" max="12" width="9" style="1"/>
    <col min="13" max="13" width="9.28515625" style="1" customWidth="1"/>
    <col min="14" max="16384" width="9" style="1"/>
  </cols>
  <sheetData>
    <row r="1" spans="1:15" ht="15" x14ac:dyDescent="0.25">
      <c r="C1" s="2" t="s">
        <v>0</v>
      </c>
      <c r="D1" s="3"/>
      <c r="G1" s="2"/>
    </row>
    <row r="2" spans="1:15" ht="15" customHeight="1" x14ac:dyDescent="0.25">
      <c r="A2" s="298" t="s">
        <v>1</v>
      </c>
      <c r="B2" s="298"/>
      <c r="C2" s="298"/>
      <c r="D2" s="298"/>
      <c r="E2" s="298"/>
      <c r="F2" s="298"/>
      <c r="G2" s="2"/>
    </row>
    <row r="3" spans="1:15" ht="15" customHeight="1" x14ac:dyDescent="0.25">
      <c r="A3" s="4"/>
      <c r="B3" s="298" t="s">
        <v>195</v>
      </c>
      <c r="C3" s="298"/>
      <c r="D3" s="298"/>
      <c r="E3" s="298"/>
      <c r="G3" s="2"/>
    </row>
    <row r="4" spans="1:15" ht="15" x14ac:dyDescent="0.25">
      <c r="A4" s="4"/>
      <c r="B4" s="291"/>
      <c r="C4" s="291"/>
      <c r="D4" s="291"/>
      <c r="E4" s="291"/>
      <c r="G4" s="2"/>
    </row>
    <row r="5" spans="1:15" ht="15" x14ac:dyDescent="0.25">
      <c r="B5" s="163" t="s">
        <v>182</v>
      </c>
      <c r="C5" s="163"/>
      <c r="D5" s="163">
        <v>307632.8</v>
      </c>
      <c r="E5" s="168"/>
      <c r="G5" s="2"/>
    </row>
    <row r="6" spans="1:15" ht="15" x14ac:dyDescent="0.25">
      <c r="A6" s="6"/>
      <c r="B6" s="164" t="s">
        <v>214</v>
      </c>
      <c r="C6" s="167" t="s">
        <v>6</v>
      </c>
      <c r="D6" s="170">
        <v>-91393.99</v>
      </c>
      <c r="E6" s="160"/>
      <c r="F6" s="2"/>
    </row>
    <row r="7" spans="1:15" ht="15" x14ac:dyDescent="0.25">
      <c r="A7" s="6"/>
      <c r="B7" s="164"/>
      <c r="C7" s="167"/>
      <c r="D7" s="170"/>
      <c r="E7" s="160"/>
      <c r="F7" s="2"/>
    </row>
    <row r="8" spans="1:15" ht="15" x14ac:dyDescent="0.25">
      <c r="A8" s="6"/>
      <c r="B8" s="165" t="s">
        <v>2</v>
      </c>
      <c r="C8" s="167" t="s">
        <v>3</v>
      </c>
      <c r="D8" s="171">
        <v>6694.9</v>
      </c>
      <c r="E8" s="160"/>
      <c r="F8" s="2"/>
    </row>
    <row r="9" spans="1:15" ht="15" x14ac:dyDescent="0.25">
      <c r="A9" s="6"/>
      <c r="B9" s="165" t="s">
        <v>4</v>
      </c>
      <c r="C9" s="167" t="s">
        <v>3</v>
      </c>
      <c r="D9" s="171">
        <v>4344.7</v>
      </c>
      <c r="E9" s="160"/>
      <c r="F9" s="2"/>
    </row>
    <row r="10" spans="1:15" ht="15" x14ac:dyDescent="0.25">
      <c r="A10" s="6"/>
      <c r="B10" s="166" t="s">
        <v>5</v>
      </c>
      <c r="C10" s="164" t="s">
        <v>6</v>
      </c>
      <c r="D10" s="170">
        <v>748034.33</v>
      </c>
      <c r="E10" s="160"/>
      <c r="F10" s="2"/>
    </row>
    <row r="11" spans="1:15" ht="15" x14ac:dyDescent="0.25">
      <c r="A11" s="6"/>
      <c r="B11" s="164"/>
      <c r="C11" s="164"/>
      <c r="D11" s="171"/>
      <c r="E11" s="160"/>
      <c r="F11" s="2"/>
    </row>
    <row r="12" spans="1:15" ht="15" x14ac:dyDescent="0.25">
      <c r="A12" s="6"/>
      <c r="B12" s="166" t="s">
        <v>7</v>
      </c>
      <c r="C12" s="164"/>
      <c r="D12" s="171"/>
      <c r="E12" s="160"/>
      <c r="F12" s="2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15" x14ac:dyDescent="0.25">
      <c r="A13" s="6">
        <v>1</v>
      </c>
      <c r="B13" s="167" t="s">
        <v>208</v>
      </c>
      <c r="C13" s="167" t="s">
        <v>6</v>
      </c>
      <c r="D13" s="171">
        <v>671393.94</v>
      </c>
      <c r="E13" s="160"/>
      <c r="F13" s="2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5" x14ac:dyDescent="0.25">
      <c r="A14" s="6">
        <v>2</v>
      </c>
      <c r="B14" s="167" t="s">
        <v>9</v>
      </c>
      <c r="C14" s="167" t="s">
        <v>6</v>
      </c>
      <c r="D14" s="171">
        <f>3000+3150+9000</f>
        <v>15150</v>
      </c>
      <c r="E14" s="160"/>
      <c r="F14" s="2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5" x14ac:dyDescent="0.25">
      <c r="A15" s="6"/>
      <c r="B15" s="167"/>
      <c r="C15" s="167"/>
      <c r="D15" s="171"/>
      <c r="E15" s="160"/>
      <c r="F15" s="2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5" x14ac:dyDescent="0.25">
      <c r="A16" s="6"/>
      <c r="B16" s="166" t="s">
        <v>10</v>
      </c>
      <c r="C16" s="164" t="s">
        <v>6</v>
      </c>
      <c r="D16" s="170">
        <f>D13+D14+D15</f>
        <v>686543.94</v>
      </c>
      <c r="E16" s="160"/>
      <c r="F16" s="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5" x14ac:dyDescent="0.25">
      <c r="A17" s="6"/>
      <c r="B17" s="164"/>
      <c r="C17" s="164"/>
      <c r="D17" s="160"/>
      <c r="E17" s="160"/>
      <c r="F17" s="2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" t="s">
        <v>12</v>
      </c>
      <c r="B21" s="16"/>
      <c r="C21" s="17" t="s">
        <v>85</v>
      </c>
      <c r="D21" s="19" t="s">
        <v>13</v>
      </c>
      <c r="E21" s="19" t="s">
        <v>136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" t="s">
        <v>15</v>
      </c>
      <c r="B22" s="20" t="s">
        <v>16</v>
      </c>
      <c r="C22" s="20" t="s">
        <v>87</v>
      </c>
      <c r="D22" s="19" t="s">
        <v>137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7" t="s">
        <v>6</v>
      </c>
      <c r="D24" s="216">
        <f>D25+D26+D27</f>
        <v>153293.81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0" x14ac:dyDescent="0.2">
      <c r="A25" s="22"/>
      <c r="B25" s="28" t="s">
        <v>21</v>
      </c>
      <c r="C25" s="29"/>
      <c r="D25" s="204">
        <f>72646.9+2405.91</f>
        <v>75052.81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v>69900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8341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7" t="s">
        <v>6</v>
      </c>
      <c r="D28" s="216">
        <f>D29+D30</f>
        <v>8803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7761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/>
      <c r="D30" s="204">
        <v>1042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7" t="s">
        <v>6</v>
      </c>
      <c r="D31" s="216">
        <f>D32+D33</f>
        <v>29751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29"/>
      <c r="D32" s="204">
        <v>29751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1" x14ac:dyDescent="0.2">
      <c r="A34" s="37" t="s">
        <v>31</v>
      </c>
      <c r="B34" s="25" t="s">
        <v>32</v>
      </c>
      <c r="C34" s="7" t="s">
        <v>6</v>
      </c>
      <c r="D34" s="216">
        <f>D35+D36+D37</f>
        <v>4560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39"/>
      <c r="D35" s="204">
        <v>2100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204">
        <v>2460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7" t="s">
        <v>6</v>
      </c>
      <c r="D38" s="216">
        <f>D39+D40+D41+D43+D44+D45+D46</f>
        <v>37415.15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5236.5600000000004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7161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20279.64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711.47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3501.69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42"/>
      <c r="B46" s="47" t="s">
        <v>45</v>
      </c>
      <c r="C46" s="44"/>
      <c r="D46" s="204">
        <v>524.79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7" t="s">
        <v>6</v>
      </c>
      <c r="D49" s="216">
        <f>D50+D51+D52</f>
        <v>129659.52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124860.42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4799.1000000000004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31" t="s">
        <v>60</v>
      </c>
      <c r="B53" s="210" t="s">
        <v>252</v>
      </c>
      <c r="C53" s="20" t="s">
        <v>6</v>
      </c>
      <c r="D53" s="216">
        <v>10563.38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31" t="s">
        <v>62</v>
      </c>
      <c r="B54" s="211" t="s">
        <v>262</v>
      </c>
      <c r="C54" s="20" t="s">
        <v>6</v>
      </c>
      <c r="D54" s="216">
        <v>145178.10999999999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3.75" x14ac:dyDescent="0.2">
      <c r="A55" s="31"/>
      <c r="B55" s="54" t="s">
        <v>63</v>
      </c>
      <c r="C55" s="55"/>
      <c r="D55" s="204"/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51.95" customHeight="1" x14ac:dyDescent="0.2">
      <c r="A56" s="31" t="s">
        <v>64</v>
      </c>
      <c r="B56" s="56" t="s">
        <v>65</v>
      </c>
      <c r="C56" s="7" t="s">
        <v>6</v>
      </c>
      <c r="D56" s="216">
        <f>66290+5668.51</f>
        <v>71958.509999999995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65.099999999999994" customHeight="1" x14ac:dyDescent="0.2">
      <c r="A57" s="31" t="s">
        <v>66</v>
      </c>
      <c r="B57" s="57" t="s">
        <v>67</v>
      </c>
      <c r="C57" s="7" t="s">
        <v>6</v>
      </c>
      <c r="D57" s="216">
        <f>161199.28+2040+4502.22</f>
        <v>167741.5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5" x14ac:dyDescent="0.25">
      <c r="A58" s="31" t="s">
        <v>68</v>
      </c>
      <c r="B58" s="58" t="s">
        <v>69</v>
      </c>
      <c r="C58" s="7" t="s">
        <v>6</v>
      </c>
      <c r="D58" s="218">
        <f>D16*6%</f>
        <v>41192.636399999996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1"/>
      <c r="B59" s="59" t="s">
        <v>70</v>
      </c>
      <c r="C59" s="7" t="s">
        <v>6</v>
      </c>
      <c r="D59" s="218">
        <f>D58+D57+D56+D54+D53+D49+D38+D34+D31+D28+D24</f>
        <v>800116.61639999994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A60" s="60"/>
      <c r="B60" s="61"/>
      <c r="C60" s="62"/>
      <c r="D60" s="156"/>
      <c r="E60" s="15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A61" s="60"/>
      <c r="B61" s="61" t="s">
        <v>76</v>
      </c>
      <c r="C61" s="62"/>
      <c r="D61" s="159">
        <f>D6+D16-D59</f>
        <v>-204966.66639999999</v>
      </c>
      <c r="E61" s="15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A62" s="60"/>
      <c r="B62" s="61"/>
      <c r="C62" s="62"/>
      <c r="D62" s="159"/>
      <c r="E62" s="156"/>
      <c r="F62" s="6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A63" s="60"/>
      <c r="B63" s="61"/>
      <c r="C63" s="62"/>
      <c r="D63" s="65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x14ac:dyDescent="0.2">
      <c r="B64" s="66" t="s">
        <v>72</v>
      </c>
      <c r="C64" s="66"/>
      <c r="D64" s="66" t="s">
        <v>73</v>
      </c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x14ac:dyDescent="0.2">
      <c r="B65" s="66" t="s">
        <v>74</v>
      </c>
      <c r="C65" s="66"/>
      <c r="D65" s="66" t="s">
        <v>273</v>
      </c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x14ac:dyDescent="0.2">
      <c r="G66" s="153"/>
      <c r="H66" s="153"/>
      <c r="I66" s="153"/>
      <c r="J66" s="153"/>
      <c r="K66" s="153"/>
      <c r="L66" s="153"/>
      <c r="M66" s="153"/>
      <c r="N66" s="153"/>
      <c r="O66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48" workbookViewId="0">
      <selection activeCell="F21" sqref="F21:P68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8" style="1" customWidth="1"/>
    <col min="4" max="4" width="13.28515625" style="1" customWidth="1"/>
    <col min="5" max="5" width="18.28515625" style="1" customWidth="1"/>
    <col min="6" max="6" width="11.5703125" style="1" customWidth="1"/>
    <col min="7" max="7" width="12.42578125" style="1" customWidth="1"/>
    <col min="8" max="8" width="11.7109375" style="1" customWidth="1"/>
    <col min="9" max="9" width="15.42578125" style="1" customWidth="1"/>
    <col min="10" max="12" width="9.28515625" style="1" customWidth="1"/>
    <col min="13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276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196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B5" s="163" t="s">
        <v>182</v>
      </c>
      <c r="C5" s="163"/>
      <c r="D5" s="163">
        <v>810847.93</v>
      </c>
    </row>
    <row r="6" spans="1:15" x14ac:dyDescent="0.2">
      <c r="A6" s="6"/>
      <c r="B6" s="164" t="s">
        <v>211</v>
      </c>
      <c r="C6" s="167" t="s">
        <v>6</v>
      </c>
      <c r="D6" s="170">
        <v>-103327.51</v>
      </c>
      <c r="E6" s="6"/>
    </row>
    <row r="7" spans="1:15" x14ac:dyDescent="0.2">
      <c r="A7" s="6"/>
      <c r="B7" s="164"/>
      <c r="C7" s="167"/>
      <c r="D7" s="170"/>
      <c r="E7" s="6"/>
    </row>
    <row r="8" spans="1:15" x14ac:dyDescent="0.2">
      <c r="A8" s="6"/>
      <c r="B8" s="165" t="s">
        <v>2</v>
      </c>
      <c r="C8" s="167" t="s">
        <v>3</v>
      </c>
      <c r="D8" s="171">
        <v>6294.07</v>
      </c>
      <c r="E8" s="6"/>
    </row>
    <row r="9" spans="1:15" x14ac:dyDescent="0.2">
      <c r="A9" s="6"/>
      <c r="B9" s="165" t="s">
        <v>4</v>
      </c>
      <c r="C9" s="167" t="s">
        <v>3</v>
      </c>
      <c r="D9" s="171">
        <v>4299.57</v>
      </c>
      <c r="E9" s="6"/>
    </row>
    <row r="10" spans="1:15" x14ac:dyDescent="0.2">
      <c r="A10" s="6"/>
      <c r="B10" s="166" t="s">
        <v>5</v>
      </c>
      <c r="C10" s="164" t="s">
        <v>6</v>
      </c>
      <c r="D10" s="170">
        <v>1056695.3500000001</v>
      </c>
      <c r="E10" s="6"/>
    </row>
    <row r="11" spans="1:15" x14ac:dyDescent="0.2">
      <c r="A11" s="6"/>
      <c r="B11" s="164"/>
      <c r="C11" s="164"/>
      <c r="D11" s="171"/>
      <c r="E11" s="6"/>
    </row>
    <row r="12" spans="1:15" x14ac:dyDescent="0.2">
      <c r="A12" s="6"/>
      <c r="B12" s="166" t="s">
        <v>7</v>
      </c>
      <c r="C12" s="164"/>
      <c r="D12" s="171"/>
      <c r="E12" s="6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x14ac:dyDescent="0.2">
      <c r="A13" s="6">
        <v>1</v>
      </c>
      <c r="B13" s="167" t="s">
        <v>8</v>
      </c>
      <c r="C13" s="167" t="s">
        <v>6</v>
      </c>
      <c r="D13" s="171">
        <v>822226.65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9</v>
      </c>
      <c r="C14" s="167" t="s">
        <v>6</v>
      </c>
      <c r="D14" s="171">
        <f>3150+9000</f>
        <v>12150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167"/>
      <c r="C15" s="164"/>
      <c r="D15" s="171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834376.65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164"/>
      <c r="C17" s="164"/>
      <c r="D17" s="160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163"/>
      <c r="C18" s="163"/>
      <c r="D18" s="168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8.75" customHeight="1" x14ac:dyDescent="0.25">
      <c r="A21" s="15" t="s">
        <v>12</v>
      </c>
      <c r="B21" s="16"/>
      <c r="C21" s="17" t="s">
        <v>85</v>
      </c>
      <c r="D21" s="18" t="s">
        <v>13</v>
      </c>
      <c r="E21" s="18" t="s">
        <v>136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28.5" customHeight="1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125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126" t="s">
        <v>6</v>
      </c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26">
        <f>C25+C26+C27</f>
        <v>0</v>
      </c>
      <c r="D24" s="216">
        <f>D25+D26+D27</f>
        <v>142497.71000000002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0" x14ac:dyDescent="0.2">
      <c r="A25" s="22"/>
      <c r="B25" s="28" t="s">
        <v>21</v>
      </c>
      <c r="C25" s="29"/>
      <c r="D25" s="204">
        <f>67305.17+999</f>
        <v>68304.17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f>64945.15+993.39</f>
        <v>65938.540000000008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8255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126" t="s">
        <v>6</v>
      </c>
      <c r="D28" s="216">
        <f>D29+D30</f>
        <v>7114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5050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/>
      <c r="D30" s="204">
        <v>2064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126" t="s">
        <v>6</v>
      </c>
      <c r="D31" s="216">
        <f>D32+D33</f>
        <v>31957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29"/>
      <c r="D32" s="204">
        <v>31957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9.25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2.5" customHeight="1" x14ac:dyDescent="0.2">
      <c r="A34" s="37" t="s">
        <v>31</v>
      </c>
      <c r="B34" s="25" t="s">
        <v>32</v>
      </c>
      <c r="C34" s="126" t="s">
        <v>6</v>
      </c>
      <c r="D34" s="216">
        <f>D35+D36+D37</f>
        <v>5368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39"/>
      <c r="D35" s="204">
        <v>3248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204">
        <v>2120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126" t="s">
        <v>6</v>
      </c>
      <c r="D38" s="216">
        <f>D39+D40+D41+D43+D44+D45+D46</f>
        <v>26828.15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2234.4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0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20064.03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109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709.59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3478.82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7" customHeight="1" x14ac:dyDescent="0.2">
      <c r="A46" s="42"/>
      <c r="B46" s="47" t="s">
        <v>45</v>
      </c>
      <c r="C46" s="44"/>
      <c r="D46" s="204">
        <v>341.31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126" t="s">
        <v>6</v>
      </c>
      <c r="D49" s="216">
        <f>D50+D51+D52</f>
        <v>93273.2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90416.59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2856.61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76" t="s">
        <v>53</v>
      </c>
      <c r="C53" s="49"/>
      <c r="D53" s="204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7" t="s">
        <v>54</v>
      </c>
      <c r="C54" s="127" t="s">
        <v>6</v>
      </c>
      <c r="D54" s="216">
        <f>D55+D56+D57+D58+D59</f>
        <v>124417.18000000001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55</v>
      </c>
      <c r="C55" s="79"/>
      <c r="D55" s="204">
        <v>35120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56</v>
      </c>
      <c r="C56" s="39"/>
      <c r="D56" s="204">
        <v>69953.070000000007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57</v>
      </c>
      <c r="C57" s="79"/>
      <c r="D57" s="204">
        <v>10319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59</v>
      </c>
      <c r="C58" s="39"/>
      <c r="D58" s="204">
        <v>0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17"/>
      <c r="B59" s="28" t="s">
        <v>97</v>
      </c>
      <c r="C59" s="39"/>
      <c r="D59" s="204">
        <v>9025.11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3" t="s">
        <v>60</v>
      </c>
      <c r="B60" s="210" t="s">
        <v>252</v>
      </c>
      <c r="C60" s="20" t="s">
        <v>6</v>
      </c>
      <c r="D60" s="216">
        <v>10453.66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x14ac:dyDescent="0.2">
      <c r="A61" s="31" t="s">
        <v>62</v>
      </c>
      <c r="B61" s="211" t="s">
        <v>262</v>
      </c>
      <c r="C61" s="20" t="s">
        <v>6</v>
      </c>
      <c r="D61" s="216">
        <v>30562.49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33.75" x14ac:dyDescent="0.2">
      <c r="A62" s="31"/>
      <c r="B62" s="54" t="s">
        <v>63</v>
      </c>
      <c r="C62" s="53"/>
      <c r="D62" s="204"/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48" x14ac:dyDescent="0.2">
      <c r="A63" s="31" t="s">
        <v>64</v>
      </c>
      <c r="B63" s="56" t="s">
        <v>65</v>
      </c>
      <c r="C63" s="126" t="s">
        <v>6</v>
      </c>
      <c r="D63" s="216">
        <v>67525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60" x14ac:dyDescent="0.2">
      <c r="A64" s="31" t="s">
        <v>66</v>
      </c>
      <c r="B64" s="57" t="s">
        <v>67</v>
      </c>
      <c r="C64" s="128" t="s">
        <v>6</v>
      </c>
      <c r="D64" s="216">
        <f>159601.27+3257.08+4808</f>
        <v>167666.34999999998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" x14ac:dyDescent="0.25">
      <c r="A65" s="31" t="s">
        <v>68</v>
      </c>
      <c r="B65" s="58" t="s">
        <v>69</v>
      </c>
      <c r="C65" s="128" t="s">
        <v>6</v>
      </c>
      <c r="D65" s="218">
        <f>D16*6%</f>
        <v>50062.599000000002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x14ac:dyDescent="0.2">
      <c r="A66" s="31"/>
      <c r="B66" s="59" t="s">
        <v>70</v>
      </c>
      <c r="C66" s="128" t="s">
        <v>6</v>
      </c>
      <c r="D66" s="218">
        <f>D65+D64+D63+D61+D60+D54+D49+D38+D34+D31+D28+D24</f>
        <v>757725.33899999992</v>
      </c>
      <c r="E66" s="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/>
      <c r="C67" s="62"/>
      <c r="D67" s="156"/>
      <c r="E67" s="159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 t="s">
        <v>76</v>
      </c>
      <c r="C68" s="62"/>
      <c r="D68" s="159">
        <f>D6+D16-D66</f>
        <v>-26676.198999999906</v>
      </c>
      <c r="E68" s="159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60"/>
      <c r="B69" s="61"/>
      <c r="C69" s="62"/>
      <c r="D69" s="159"/>
      <c r="E69" s="156"/>
      <c r="F69" s="64"/>
    </row>
    <row r="70" spans="1:15" ht="15.75" x14ac:dyDescent="0.25">
      <c r="A70" s="60"/>
      <c r="B70" s="61"/>
      <c r="C70" s="62"/>
      <c r="D70" s="64"/>
      <c r="E70" s="63"/>
      <c r="F70" s="64"/>
    </row>
    <row r="71" spans="1:15" x14ac:dyDescent="0.2">
      <c r="A71" s="60"/>
      <c r="C71" s="102"/>
    </row>
    <row r="72" spans="1:15" x14ac:dyDescent="0.2">
      <c r="A72" s="60"/>
      <c r="B72" s="66" t="s">
        <v>72</v>
      </c>
      <c r="C72" s="66"/>
      <c r="D72" s="66" t="s">
        <v>73</v>
      </c>
      <c r="E72" s="66"/>
    </row>
    <row r="73" spans="1:15" x14ac:dyDescent="0.2">
      <c r="B73" s="66" t="s">
        <v>74</v>
      </c>
      <c r="C73" s="66"/>
      <c r="D73" s="66" t="s">
        <v>273</v>
      </c>
      <c r="E73" s="66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47" workbookViewId="0">
      <selection activeCell="F21" sqref="F21:S66"/>
    </sheetView>
  </sheetViews>
  <sheetFormatPr defaultColWidth="9" defaultRowHeight="14.25" x14ac:dyDescent="0.2"/>
  <cols>
    <col min="1" max="1" width="4.42578125" style="1" customWidth="1"/>
    <col min="2" max="2" width="36.28515625" style="1" customWidth="1"/>
    <col min="3" max="3" width="9" style="1"/>
    <col min="4" max="4" width="12.5703125" style="1" customWidth="1"/>
    <col min="5" max="5" width="15" style="1" customWidth="1"/>
    <col min="6" max="6" width="9" style="1"/>
    <col min="7" max="7" width="10.7109375" style="1" customWidth="1"/>
    <col min="8" max="16384" width="9" style="1"/>
  </cols>
  <sheetData>
    <row r="1" spans="1:16" x14ac:dyDescent="0.2">
      <c r="A1" s="4"/>
      <c r="B1" s="4"/>
      <c r="C1" s="4"/>
      <c r="D1" s="4"/>
    </row>
    <row r="2" spans="1:16" ht="15" x14ac:dyDescent="0.25">
      <c r="C2" s="2" t="s">
        <v>0</v>
      </c>
      <c r="D2" s="3"/>
    </row>
    <row r="3" spans="1:16" x14ac:dyDescent="0.2">
      <c r="A3" s="298" t="s">
        <v>111</v>
      </c>
      <c r="B3" s="298"/>
      <c r="C3" s="298"/>
      <c r="D3" s="298"/>
      <c r="E3" s="298"/>
      <c r="F3" s="298"/>
    </row>
    <row r="4" spans="1:16" x14ac:dyDescent="0.2">
      <c r="A4" s="4"/>
      <c r="B4" s="298" t="s">
        <v>197</v>
      </c>
      <c r="C4" s="298"/>
      <c r="D4" s="298"/>
      <c r="E4" s="298"/>
    </row>
    <row r="5" spans="1:16" ht="15" customHeight="1" x14ac:dyDescent="0.2">
      <c r="A5" s="4"/>
      <c r="B5" s="291"/>
      <c r="C5" s="291"/>
      <c r="D5" s="291"/>
      <c r="E5" s="291"/>
    </row>
    <row r="6" spans="1:16" ht="15" customHeight="1" x14ac:dyDescent="0.2">
      <c r="B6" s="163" t="s">
        <v>182</v>
      </c>
      <c r="C6" s="163"/>
      <c r="D6" s="163">
        <v>564525.62</v>
      </c>
    </row>
    <row r="7" spans="1:16" x14ac:dyDescent="0.2">
      <c r="A7" s="6"/>
      <c r="B7" s="164" t="s">
        <v>211</v>
      </c>
      <c r="C7" s="167" t="s">
        <v>6</v>
      </c>
      <c r="D7" s="170">
        <v>403672.48</v>
      </c>
      <c r="E7" s="6"/>
    </row>
    <row r="8" spans="1:16" x14ac:dyDescent="0.2">
      <c r="A8" s="6"/>
      <c r="B8" s="164"/>
      <c r="C8" s="167"/>
      <c r="D8" s="170"/>
      <c r="E8" s="6"/>
    </row>
    <row r="9" spans="1:16" x14ac:dyDescent="0.2">
      <c r="A9" s="6"/>
      <c r="B9" s="165" t="s">
        <v>2</v>
      </c>
      <c r="C9" s="167" t="s">
        <v>3</v>
      </c>
      <c r="D9" s="171">
        <v>8159.9</v>
      </c>
      <c r="E9" s="6"/>
    </row>
    <row r="10" spans="1:16" x14ac:dyDescent="0.2">
      <c r="A10" s="6"/>
      <c r="B10" s="165" t="s">
        <v>4</v>
      </c>
      <c r="C10" s="167" t="s">
        <v>3</v>
      </c>
      <c r="D10" s="171">
        <v>5278.3</v>
      </c>
      <c r="E10" s="6"/>
    </row>
    <row r="11" spans="1:16" x14ac:dyDescent="0.2">
      <c r="A11" s="6"/>
      <c r="B11" s="166" t="s">
        <v>5</v>
      </c>
      <c r="C11" s="164" t="s">
        <v>6</v>
      </c>
      <c r="D11" s="170">
        <v>1096264.8700000001</v>
      </c>
      <c r="E11" s="6"/>
    </row>
    <row r="12" spans="1:16" x14ac:dyDescent="0.2">
      <c r="A12" s="6"/>
      <c r="B12" s="164"/>
      <c r="C12" s="164"/>
      <c r="D12" s="171"/>
      <c r="E12" s="6"/>
    </row>
    <row r="13" spans="1:16" x14ac:dyDescent="0.2">
      <c r="A13" s="6"/>
      <c r="B13" s="166" t="s">
        <v>7</v>
      </c>
      <c r="C13" s="164"/>
      <c r="D13" s="171"/>
      <c r="E13" s="6"/>
    </row>
    <row r="14" spans="1:16" x14ac:dyDescent="0.2">
      <c r="A14" s="6">
        <v>1</v>
      </c>
      <c r="B14" s="167" t="s">
        <v>208</v>
      </c>
      <c r="C14" s="167" t="s">
        <v>6</v>
      </c>
      <c r="D14" s="171">
        <v>835427.83999999997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">
        <v>2</v>
      </c>
      <c r="B15" s="167" t="s">
        <v>106</v>
      </c>
      <c r="C15" s="167" t="s">
        <v>6</v>
      </c>
      <c r="D15" s="171">
        <v>31200.66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6">
        <v>3</v>
      </c>
      <c r="B16" s="167" t="s">
        <v>9</v>
      </c>
      <c r="C16" s="167" t="s">
        <v>6</v>
      </c>
      <c r="D16" s="171">
        <f>3000+6300+9000</f>
        <v>18300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6"/>
      <c r="B17" s="166" t="s">
        <v>10</v>
      </c>
      <c r="C17" s="164" t="s">
        <v>6</v>
      </c>
      <c r="D17" s="170">
        <f>D14+D15+D16</f>
        <v>884928.5</v>
      </c>
      <c r="E17" s="6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A18" s="6"/>
      <c r="B18" s="164"/>
      <c r="C18" s="164"/>
      <c r="D18" s="160"/>
      <c r="E18" s="6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A19" s="81"/>
      <c r="B19" s="61"/>
      <c r="C19" s="61"/>
      <c r="D19" s="81"/>
      <c r="E19" s="81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81"/>
      <c r="B20" s="61"/>
      <c r="C20" s="61" t="s">
        <v>11</v>
      </c>
      <c r="D20" s="81"/>
      <c r="E20" s="81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2">
      <c r="A21" s="13"/>
      <c r="B21" s="14"/>
      <c r="C21" s="14"/>
      <c r="D21" s="13"/>
      <c r="E21" s="1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15" x14ac:dyDescent="0.25">
      <c r="A22" s="15" t="s">
        <v>12</v>
      </c>
      <c r="B22" s="16"/>
      <c r="C22" s="17" t="s">
        <v>138</v>
      </c>
      <c r="D22" s="18" t="s">
        <v>13</v>
      </c>
      <c r="E22" s="19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15" x14ac:dyDescent="0.25">
      <c r="A23" s="15" t="s">
        <v>15</v>
      </c>
      <c r="B23" s="20" t="s">
        <v>16</v>
      </c>
      <c r="C23" s="20" t="s">
        <v>87</v>
      </c>
      <c r="D23" s="18" t="s">
        <v>17</v>
      </c>
      <c r="E23" s="21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25.5" x14ac:dyDescent="0.2">
      <c r="A24" s="22" t="s">
        <v>18</v>
      </c>
      <c r="B24" s="23" t="s">
        <v>88</v>
      </c>
      <c r="C24" s="24"/>
      <c r="D24" s="6"/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51" x14ac:dyDescent="0.2">
      <c r="A25" s="22"/>
      <c r="B25" s="25" t="s">
        <v>20</v>
      </c>
      <c r="C25" s="26" t="s">
        <v>6</v>
      </c>
      <c r="D25" s="216">
        <f>D26+D27+D28</f>
        <v>192660.16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90" x14ac:dyDescent="0.2">
      <c r="A26" s="22"/>
      <c r="B26" s="28" t="s">
        <v>21</v>
      </c>
      <c r="C26" s="29"/>
      <c r="D26" s="204">
        <v>89778.16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129.75" customHeight="1" x14ac:dyDescent="0.2">
      <c r="A27" s="30"/>
      <c r="B27" s="28" t="s">
        <v>22</v>
      </c>
      <c r="C27" s="29"/>
      <c r="D27" s="204">
        <v>92688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2.5" x14ac:dyDescent="0.2">
      <c r="A28" s="31"/>
      <c r="B28" s="40" t="s">
        <v>23</v>
      </c>
      <c r="C28" s="29"/>
      <c r="D28" s="204">
        <v>10194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ht="25.5" x14ac:dyDescent="0.2">
      <c r="A29" s="22"/>
      <c r="B29" s="25" t="s">
        <v>24</v>
      </c>
      <c r="C29" s="26" t="s">
        <v>6</v>
      </c>
      <c r="D29" s="216">
        <f>D30+D31</f>
        <v>9648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33"/>
      <c r="B30" s="70" t="s">
        <v>25</v>
      </c>
      <c r="C30" s="35"/>
      <c r="D30" s="204">
        <v>7100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x14ac:dyDescent="0.2">
      <c r="A31" s="33"/>
      <c r="B31" s="70" t="s">
        <v>26</v>
      </c>
      <c r="C31" s="35"/>
      <c r="D31" s="204">
        <v>2548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51" x14ac:dyDescent="0.2">
      <c r="A32" s="22" t="s">
        <v>27</v>
      </c>
      <c r="B32" s="25" t="s">
        <v>28</v>
      </c>
      <c r="C32" s="26" t="s">
        <v>6</v>
      </c>
      <c r="D32" s="216">
        <f>D33+D34</f>
        <v>38860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90" x14ac:dyDescent="0.2">
      <c r="A33" s="37"/>
      <c r="B33" s="28" t="s">
        <v>29</v>
      </c>
      <c r="C33" s="29"/>
      <c r="D33" s="204">
        <v>38860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22.5" x14ac:dyDescent="0.2">
      <c r="A34" s="37"/>
      <c r="B34" s="38" t="s">
        <v>30</v>
      </c>
      <c r="C34" s="39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51" x14ac:dyDescent="0.2">
      <c r="A35" s="37" t="s">
        <v>31</v>
      </c>
      <c r="B35" s="25" t="s">
        <v>32</v>
      </c>
      <c r="C35" s="26" t="s">
        <v>6</v>
      </c>
      <c r="D35" s="216">
        <f>D36+D37+D38</f>
        <v>11005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45" x14ac:dyDescent="0.2">
      <c r="A36" s="33"/>
      <c r="B36" s="40" t="s">
        <v>33</v>
      </c>
      <c r="C36" s="39">
        <v>0.13</v>
      </c>
      <c r="D36" s="204">
        <v>4560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34</v>
      </c>
      <c r="C37" s="39">
        <v>0.18</v>
      </c>
      <c r="D37" s="204">
        <v>6445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22.5" x14ac:dyDescent="0.2">
      <c r="A38" s="33"/>
      <c r="B38" s="38" t="s">
        <v>35</v>
      </c>
      <c r="C38" s="39">
        <v>0.61</v>
      </c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5.5" customHeight="1" x14ac:dyDescent="0.25">
      <c r="A39" s="31" t="s">
        <v>36</v>
      </c>
      <c r="B39" s="41" t="s">
        <v>37</v>
      </c>
      <c r="C39" s="26" t="s">
        <v>6</v>
      </c>
      <c r="D39" s="216">
        <f>D40+D41+D42+D44+D45+D46+D47</f>
        <v>110018.79000000001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3" t="s">
        <v>38</v>
      </c>
      <c r="C40" s="44"/>
      <c r="D40" s="204">
        <v>3428.04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22.5" x14ac:dyDescent="0.2">
      <c r="A41" s="42"/>
      <c r="B41" s="43" t="s">
        <v>39</v>
      </c>
      <c r="C41" s="44"/>
      <c r="D41" s="204">
        <v>10320.75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5" t="s">
        <v>40</v>
      </c>
      <c r="C42" s="44"/>
      <c r="D42" s="204">
        <v>24638.57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ht="45" x14ac:dyDescent="0.2">
      <c r="A43" s="31"/>
      <c r="B43" s="46" t="s">
        <v>41</v>
      </c>
      <c r="C43" s="44"/>
      <c r="D43" s="204"/>
      <c r="E43" s="6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90</v>
      </c>
      <c r="C44" s="44"/>
      <c r="D44" s="204">
        <v>0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42"/>
      <c r="B45" s="47" t="s">
        <v>91</v>
      </c>
      <c r="C45" s="44"/>
      <c r="D45" s="204">
        <v>28035.14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">
      <c r="A46" s="29"/>
      <c r="B46" s="47" t="s">
        <v>92</v>
      </c>
      <c r="C46" s="44"/>
      <c r="D46" s="204">
        <v>3974.8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22.5" x14ac:dyDescent="0.2">
      <c r="A47" s="42"/>
      <c r="B47" s="47" t="s">
        <v>45</v>
      </c>
      <c r="C47" s="44"/>
      <c r="D47" s="204">
        <v>39621.49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51" x14ac:dyDescent="0.2">
      <c r="A48" s="12" t="s">
        <v>46</v>
      </c>
      <c r="B48" s="48" t="s">
        <v>47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x14ac:dyDescent="0.2">
      <c r="A49" s="49"/>
      <c r="B49" s="50" t="s">
        <v>48</v>
      </c>
      <c r="C49" s="49"/>
      <c r="D49" s="204"/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5.5" x14ac:dyDescent="0.2">
      <c r="A50" s="31"/>
      <c r="B50" s="51" t="s">
        <v>49</v>
      </c>
      <c r="C50" s="26" t="s">
        <v>6</v>
      </c>
      <c r="D50" s="216">
        <f>D51+D52+D53</f>
        <v>156566.95000000001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2.5" x14ac:dyDescent="0.2">
      <c r="A51" s="33"/>
      <c r="B51" s="28" t="s">
        <v>50</v>
      </c>
      <c r="C51" s="39"/>
      <c r="D51" s="204">
        <v>147654.34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31"/>
      <c r="B52" s="52" t="s">
        <v>51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22.5" x14ac:dyDescent="0.2">
      <c r="A53" s="31"/>
      <c r="B53" s="52" t="s">
        <v>52</v>
      </c>
      <c r="C53" s="39"/>
      <c r="D53" s="204">
        <v>8912.61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33" t="s">
        <v>60</v>
      </c>
      <c r="B54" s="210" t="s">
        <v>252</v>
      </c>
      <c r="C54" s="20" t="s">
        <v>6</v>
      </c>
      <c r="D54" s="216">
        <v>12833.27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31" t="s">
        <v>62</v>
      </c>
      <c r="B55" s="211" t="s">
        <v>262</v>
      </c>
      <c r="C55" s="20" t="s">
        <v>6</v>
      </c>
      <c r="D55" s="216">
        <v>66289.95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33.75" x14ac:dyDescent="0.2">
      <c r="A56" s="31"/>
      <c r="B56" s="54" t="s">
        <v>63</v>
      </c>
      <c r="C56" s="55"/>
      <c r="D56" s="204"/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48" x14ac:dyDescent="0.2">
      <c r="A57" s="31" t="s">
        <v>64</v>
      </c>
      <c r="B57" s="56" t="s">
        <v>65</v>
      </c>
      <c r="C57" s="26" t="s">
        <v>6</v>
      </c>
      <c r="D57" s="216">
        <f>51611+1351.24</f>
        <v>52962.239999999998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ht="60" x14ac:dyDescent="0.2">
      <c r="A58" s="31" t="s">
        <v>66</v>
      </c>
      <c r="B58" s="57" t="s">
        <v>67</v>
      </c>
      <c r="C58" s="26" t="s">
        <v>6</v>
      </c>
      <c r="D58" s="216">
        <v>224761.74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ht="15" x14ac:dyDescent="0.25">
      <c r="A59" s="31" t="s">
        <v>68</v>
      </c>
      <c r="B59" s="58" t="s">
        <v>69</v>
      </c>
      <c r="C59" s="26" t="s">
        <v>6</v>
      </c>
      <c r="D59" s="216">
        <f>D17*6%</f>
        <v>53095.71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x14ac:dyDescent="0.2">
      <c r="A60" s="31"/>
      <c r="B60" s="59" t="s">
        <v>70</v>
      </c>
      <c r="C60" s="26" t="s">
        <v>6</v>
      </c>
      <c r="D60" s="216">
        <f>D59+D58+D57+D55+D54+D50+D39+D35+D32+D29+D25</f>
        <v>928701.81000000017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A61" s="60"/>
      <c r="B61" s="61"/>
      <c r="C61" s="62"/>
      <c r="D61" s="156"/>
      <c r="E61" s="156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A62" s="60"/>
      <c r="B62" s="243" t="s">
        <v>116</v>
      </c>
      <c r="C62" s="62"/>
      <c r="D62" s="156">
        <f>D7+D17-D60</f>
        <v>359899.16999999981</v>
      </c>
      <c r="E62" s="156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.75" x14ac:dyDescent="0.25">
      <c r="A63" s="60"/>
      <c r="B63" s="61"/>
      <c r="C63" s="62"/>
      <c r="D63" s="156"/>
      <c r="E63" s="156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.75" x14ac:dyDescent="0.25">
      <c r="A64" s="60"/>
      <c r="B64" s="61"/>
      <c r="C64" s="62"/>
      <c r="D64" s="156"/>
      <c r="E64" s="156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5.75" x14ac:dyDescent="0.25">
      <c r="A65" s="60"/>
      <c r="B65" s="61"/>
      <c r="C65" s="62"/>
      <c r="D65" s="65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">
      <c r="A66" s="60"/>
      <c r="B66" s="66" t="s">
        <v>72</v>
      </c>
      <c r="C66" s="66"/>
      <c r="D66" s="66" t="s">
        <v>73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x14ac:dyDescent="0.2">
      <c r="B67" s="66" t="s">
        <v>74</v>
      </c>
      <c r="C67" s="66"/>
      <c r="D67" s="66" t="s">
        <v>273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</sheetData>
  <mergeCells count="2">
    <mergeCell ref="A3:F3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51" workbookViewId="0">
      <selection activeCell="G22" sqref="G22:S74"/>
    </sheetView>
  </sheetViews>
  <sheetFormatPr defaultColWidth="9" defaultRowHeight="14.25" x14ac:dyDescent="0.2"/>
  <cols>
    <col min="1" max="1" width="4.7109375" style="1" customWidth="1"/>
    <col min="2" max="2" width="37.140625" style="1" customWidth="1"/>
    <col min="3" max="3" width="9" style="1"/>
    <col min="4" max="4" width="16" style="1" customWidth="1"/>
    <col min="5" max="5" width="15" style="1" customWidth="1"/>
    <col min="6" max="6" width="9" style="1"/>
    <col min="7" max="7" width="10.85546875" style="1" customWidth="1"/>
    <col min="8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170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198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B5" s="163" t="s">
        <v>182</v>
      </c>
      <c r="C5" s="163"/>
      <c r="D5" s="163">
        <v>200966.84</v>
      </c>
    </row>
    <row r="6" spans="1:15" x14ac:dyDescent="0.2">
      <c r="A6" s="6"/>
      <c r="B6" s="164" t="s">
        <v>211</v>
      </c>
      <c r="C6" s="167" t="s">
        <v>6</v>
      </c>
      <c r="D6" s="170">
        <v>41162.980000000003</v>
      </c>
      <c r="E6" s="6"/>
    </row>
    <row r="7" spans="1:15" x14ac:dyDescent="0.2">
      <c r="A7" s="6"/>
      <c r="B7" s="164"/>
      <c r="C7" s="167"/>
      <c r="D7" s="170"/>
      <c r="E7" s="6"/>
    </row>
    <row r="8" spans="1:15" x14ac:dyDescent="0.2">
      <c r="A8" s="6"/>
      <c r="B8" s="165" t="s">
        <v>2</v>
      </c>
      <c r="C8" s="167" t="s">
        <v>3</v>
      </c>
      <c r="D8" s="171">
        <v>5257.88</v>
      </c>
      <c r="E8" s="6"/>
    </row>
    <row r="9" spans="1:15" x14ac:dyDescent="0.2">
      <c r="A9" s="6"/>
      <c r="B9" s="165" t="s">
        <v>4</v>
      </c>
      <c r="C9" s="167" t="s">
        <v>3</v>
      </c>
      <c r="D9" s="171">
        <v>3487.3</v>
      </c>
      <c r="E9" s="6"/>
    </row>
    <row r="10" spans="1:15" x14ac:dyDescent="0.2">
      <c r="A10" s="6"/>
      <c r="B10" s="166" t="s">
        <v>5</v>
      </c>
      <c r="C10" s="164" t="s">
        <v>6</v>
      </c>
      <c r="D10" s="170">
        <v>766539.88</v>
      </c>
      <c r="E10" s="6"/>
    </row>
    <row r="11" spans="1:15" x14ac:dyDescent="0.2">
      <c r="A11" s="6"/>
      <c r="B11" s="164"/>
      <c r="C11" s="164"/>
      <c r="D11" s="171"/>
      <c r="E11" s="6"/>
    </row>
    <row r="12" spans="1:15" x14ac:dyDescent="0.2">
      <c r="A12" s="6"/>
      <c r="B12" s="166" t="s">
        <v>7</v>
      </c>
      <c r="C12" s="164"/>
      <c r="D12" s="171"/>
      <c r="E12" s="6"/>
    </row>
    <row r="13" spans="1:15" x14ac:dyDescent="0.2">
      <c r="A13" s="6">
        <v>1</v>
      </c>
      <c r="B13" s="167" t="s">
        <v>84</v>
      </c>
      <c r="C13" s="167" t="s">
        <v>6</v>
      </c>
      <c r="D13" s="171">
        <v>747418.86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106</v>
      </c>
      <c r="C14" s="167" t="s">
        <v>6</v>
      </c>
      <c r="D14" s="171">
        <v>7873.69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>
        <v>3</v>
      </c>
      <c r="B15" s="167" t="s">
        <v>9</v>
      </c>
      <c r="C15" s="167" t="s">
        <v>6</v>
      </c>
      <c r="D15" s="171">
        <v>0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755292.54999999993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138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31.5" customHeight="1" x14ac:dyDescent="0.2">
      <c r="A23" s="22" t="s">
        <v>18</v>
      </c>
      <c r="B23" s="23" t="s">
        <v>88</v>
      </c>
      <c r="C23" s="24"/>
      <c r="D23" s="204"/>
      <c r="E23" s="204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60" customHeight="1" x14ac:dyDescent="0.2">
      <c r="A24" s="22"/>
      <c r="B24" s="25" t="s">
        <v>20</v>
      </c>
      <c r="C24" s="26" t="s">
        <v>6</v>
      </c>
      <c r="D24" s="216">
        <f>D25+D26+D27</f>
        <v>187396.32</v>
      </c>
      <c r="E24" s="204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4.5" customHeight="1" x14ac:dyDescent="0.2">
      <c r="A25" s="22"/>
      <c r="B25" s="28" t="s">
        <v>21</v>
      </c>
      <c r="C25" s="29"/>
      <c r="D25" s="204">
        <f>109285.93+2128.39</f>
        <v>111414.31999999999</v>
      </c>
      <c r="E25" s="204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27.5" customHeight="1" x14ac:dyDescent="0.2">
      <c r="A26" s="30"/>
      <c r="B26" s="28" t="s">
        <v>22</v>
      </c>
      <c r="C26" s="29"/>
      <c r="D26" s="204">
        <f>58917+2000</f>
        <v>60917</v>
      </c>
      <c r="E26" s="204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15065</v>
      </c>
      <c r="E27" s="204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8149</v>
      </c>
      <c r="E28" s="204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6476</v>
      </c>
      <c r="E29" s="204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21" customHeight="1" x14ac:dyDescent="0.2">
      <c r="A30" s="22"/>
      <c r="B30" s="70" t="s">
        <v>26</v>
      </c>
      <c r="C30" s="35"/>
      <c r="D30" s="204">
        <v>1673</v>
      </c>
      <c r="E30" s="204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41.25" customHeight="1" x14ac:dyDescent="0.2">
      <c r="A31" s="22" t="s">
        <v>27</v>
      </c>
      <c r="B31" s="25" t="s">
        <v>28</v>
      </c>
      <c r="C31" s="26" t="s">
        <v>6</v>
      </c>
      <c r="D31" s="216">
        <f>D32+D33</f>
        <v>23434</v>
      </c>
      <c r="E31" s="204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83.25" customHeight="1" x14ac:dyDescent="0.2">
      <c r="A32" s="37"/>
      <c r="B32" s="28" t="s">
        <v>29</v>
      </c>
      <c r="C32" s="29"/>
      <c r="D32" s="204">
        <v>23434</v>
      </c>
      <c r="E32" s="204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39"/>
      <c r="D33" s="204">
        <v>0</v>
      </c>
      <c r="E33" s="204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4" customHeight="1" x14ac:dyDescent="0.2">
      <c r="A34" s="37" t="s">
        <v>31</v>
      </c>
      <c r="B34" s="25" t="s">
        <v>32</v>
      </c>
      <c r="C34" s="26" t="s">
        <v>6</v>
      </c>
      <c r="D34" s="216">
        <f>D35+D36+D37</f>
        <v>5270</v>
      </c>
      <c r="E34" s="204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40.5" customHeight="1" x14ac:dyDescent="0.2">
      <c r="A35" s="33"/>
      <c r="B35" s="40" t="s">
        <v>33</v>
      </c>
      <c r="C35" s="39"/>
      <c r="D35" s="204">
        <v>2070</v>
      </c>
      <c r="E35" s="204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5.5" customHeight="1" x14ac:dyDescent="0.2">
      <c r="A36" s="33"/>
      <c r="B36" s="38" t="s">
        <v>89</v>
      </c>
      <c r="C36" s="39"/>
      <c r="D36" s="204">
        <v>3200</v>
      </c>
      <c r="E36" s="204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30.75" customHeight="1" x14ac:dyDescent="0.2">
      <c r="A37" s="33"/>
      <c r="B37" s="38" t="s">
        <v>35</v>
      </c>
      <c r="C37" s="39"/>
      <c r="D37" s="204">
        <v>0</v>
      </c>
      <c r="E37" s="204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24" customHeight="1" x14ac:dyDescent="0.25">
      <c r="A38" s="31" t="s">
        <v>36</v>
      </c>
      <c r="B38" s="41" t="s">
        <v>37</v>
      </c>
      <c r="C38" s="26" t="s">
        <v>6</v>
      </c>
      <c r="D38" s="216">
        <f>D39+D40+D41+D43+D44+D45+D46</f>
        <v>28188.920000000006</v>
      </c>
      <c r="E38" s="204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2185.6799999999998</v>
      </c>
      <c r="E39" s="204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5738.1</v>
      </c>
      <c r="E40" s="204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16282.02</v>
      </c>
      <c r="E41" s="204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204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109</v>
      </c>
      <c r="C43" s="44"/>
      <c r="D43" s="204">
        <v>0</v>
      </c>
      <c r="E43" s="204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674.61</v>
      </c>
      <c r="E44" s="204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2967.2</v>
      </c>
      <c r="E45" s="204"/>
      <c r="F45" s="153" t="s">
        <v>248</v>
      </c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42"/>
      <c r="B46" s="47" t="s">
        <v>45</v>
      </c>
      <c r="C46" s="44"/>
      <c r="D46" s="204">
        <v>341.31</v>
      </c>
      <c r="E46" s="204"/>
      <c r="F46" s="154" t="s">
        <v>247</v>
      </c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1" x14ac:dyDescent="0.2">
      <c r="A47" s="12" t="s">
        <v>46</v>
      </c>
      <c r="B47" s="48" t="s">
        <v>47</v>
      </c>
      <c r="C47" s="49"/>
      <c r="D47" s="204"/>
      <c r="E47" s="204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204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4" customHeight="1" x14ac:dyDescent="0.2">
      <c r="A49" s="31"/>
      <c r="B49" s="51" t="s">
        <v>49</v>
      </c>
      <c r="C49" s="26" t="s">
        <v>6</v>
      </c>
      <c r="D49" s="216">
        <f>D50+D51+D52</f>
        <v>82818.52</v>
      </c>
      <c r="E49" s="204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82818.52</v>
      </c>
      <c r="E50" s="204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204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0</v>
      </c>
      <c r="E52" s="204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76" t="s">
        <v>53</v>
      </c>
      <c r="C53" s="49"/>
      <c r="D53" s="204"/>
      <c r="E53" s="204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6.5" customHeight="1" x14ac:dyDescent="0.2">
      <c r="A54" s="17"/>
      <c r="B54" s="77" t="s">
        <v>54</v>
      </c>
      <c r="C54" s="26" t="s">
        <v>6</v>
      </c>
      <c r="D54" s="216">
        <f>D55+D56+D57+D58+D59</f>
        <v>145776.51999999999</v>
      </c>
      <c r="E54" s="204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55</v>
      </c>
      <c r="C55" s="79"/>
      <c r="D55" s="204">
        <v>50988</v>
      </c>
      <c r="E55" s="204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56</v>
      </c>
      <c r="C56" s="39"/>
      <c r="D56" s="204">
        <v>81477.119999999995</v>
      </c>
      <c r="E56" s="204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57</v>
      </c>
      <c r="C57" s="79"/>
      <c r="D57" s="204">
        <v>8488</v>
      </c>
      <c r="E57" s="204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5.75" customHeight="1" x14ac:dyDescent="0.2">
      <c r="A58" s="17"/>
      <c r="B58" s="78" t="s">
        <v>59</v>
      </c>
      <c r="C58" s="39"/>
      <c r="D58" s="204">
        <v>0</v>
      </c>
      <c r="E58" s="204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17"/>
      <c r="B59" s="28" t="s">
        <v>97</v>
      </c>
      <c r="C59" s="79"/>
      <c r="D59" s="204">
        <v>4823.3999999999996</v>
      </c>
      <c r="E59" s="204"/>
      <c r="F59" s="153" t="s">
        <v>249</v>
      </c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3" t="s">
        <v>60</v>
      </c>
      <c r="B60" s="210" t="s">
        <v>252</v>
      </c>
      <c r="C60" s="12" t="s">
        <v>6</v>
      </c>
      <c r="D60" s="204">
        <v>8478.76</v>
      </c>
      <c r="E60" s="204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x14ac:dyDescent="0.2">
      <c r="A61" s="31" t="s">
        <v>62</v>
      </c>
      <c r="B61" s="211" t="s">
        <v>262</v>
      </c>
      <c r="C61" s="20" t="s">
        <v>6</v>
      </c>
      <c r="D61" s="216">
        <v>61082.15</v>
      </c>
      <c r="E61" s="204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33.75" x14ac:dyDescent="0.2">
      <c r="A62" s="31"/>
      <c r="B62" s="54" t="s">
        <v>63</v>
      </c>
      <c r="C62" s="55"/>
      <c r="D62" s="204"/>
      <c r="E62" s="204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48" x14ac:dyDescent="0.2">
      <c r="A63" s="31" t="s">
        <v>64</v>
      </c>
      <c r="B63" s="56" t="s">
        <v>65</v>
      </c>
      <c r="C63" s="26" t="s">
        <v>6</v>
      </c>
      <c r="D63" s="216">
        <f>31385.7+4335.15</f>
        <v>35720.85</v>
      </c>
      <c r="E63" s="204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60" x14ac:dyDescent="0.2">
      <c r="A64" s="31" t="s">
        <v>66</v>
      </c>
      <c r="B64" s="57" t="s">
        <v>98</v>
      </c>
      <c r="C64" s="26" t="s">
        <v>6</v>
      </c>
      <c r="D64" s="216">
        <f>151209.96+3828.45</f>
        <v>155038.41</v>
      </c>
      <c r="E64" s="204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" x14ac:dyDescent="0.25">
      <c r="A65" s="31" t="s">
        <v>68</v>
      </c>
      <c r="B65" s="58" t="s">
        <v>69</v>
      </c>
      <c r="C65" s="26" t="s">
        <v>6</v>
      </c>
      <c r="D65" s="218">
        <f>D16*6%</f>
        <v>45317.552999999993</v>
      </c>
      <c r="E65" s="204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x14ac:dyDescent="0.2">
      <c r="A66" s="31"/>
      <c r="B66" s="59" t="s">
        <v>70</v>
      </c>
      <c r="C66" s="26" t="s">
        <v>6</v>
      </c>
      <c r="D66" s="218">
        <f>D65+D64+D63+D61+D60+D54+D49+D38+D34+D31+D28+D24</f>
        <v>786671.00300000003</v>
      </c>
      <c r="E66" s="204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/>
      <c r="C67" s="62"/>
      <c r="D67" s="156"/>
      <c r="E67" s="15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 t="s">
        <v>76</v>
      </c>
      <c r="C68" s="62"/>
      <c r="D68" s="159">
        <f>D6+D16-D66</f>
        <v>9784.5269999998854</v>
      </c>
      <c r="E68" s="156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60"/>
      <c r="B69" s="61"/>
      <c r="C69" s="62"/>
      <c r="D69" s="156"/>
      <c r="E69" s="156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A70" s="60"/>
      <c r="B70" s="61"/>
      <c r="C70" s="62"/>
      <c r="D70" s="155"/>
      <c r="E70" s="15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A71" s="60"/>
      <c r="B71" s="61"/>
      <c r="C71" s="110"/>
      <c r="D71" s="2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A72" s="60"/>
      <c r="B72" s="90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5" x14ac:dyDescent="0.25">
      <c r="A73" s="60"/>
      <c r="B73" s="2" t="s">
        <v>72</v>
      </c>
      <c r="C73" s="2"/>
      <c r="D73" s="2" t="s">
        <v>73</v>
      </c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5" x14ac:dyDescent="0.25">
      <c r="B74" s="2" t="s">
        <v>74</v>
      </c>
      <c r="C74" s="2"/>
      <c r="D74" s="66" t="s">
        <v>273</v>
      </c>
      <c r="G74" s="153"/>
      <c r="H74" s="153"/>
      <c r="I74" s="153"/>
      <c r="J74" s="153"/>
      <c r="K74" s="153"/>
      <c r="L74" s="153"/>
      <c r="M74" s="153"/>
      <c r="N74" s="153"/>
      <c r="O74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0" workbookViewId="0">
      <selection activeCell="F11" sqref="F11:R73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10.42578125" style="1" customWidth="1"/>
    <col min="4" max="4" width="12.7109375" style="1" customWidth="1"/>
    <col min="5" max="5" width="12.5703125" style="1" customWidth="1"/>
    <col min="6" max="6" width="9.7109375" style="1" customWidth="1"/>
    <col min="7" max="7" width="11.5703125" style="1" customWidth="1"/>
    <col min="8" max="8" width="13.140625" style="1" customWidth="1"/>
    <col min="9" max="9" width="8.28515625" style="1" customWidth="1"/>
    <col min="10" max="10" width="10.42578125" style="1" customWidth="1"/>
    <col min="11" max="11" width="9.5703125" style="1" customWidth="1"/>
    <col min="12" max="12" width="9" style="1"/>
    <col min="13" max="13" width="9.5703125" style="1" customWidth="1"/>
    <col min="14" max="14" width="10" style="1" customWidth="1"/>
    <col min="15" max="15" width="9.28515625" style="1" customWidth="1"/>
    <col min="16" max="16384" width="9" style="1"/>
  </cols>
  <sheetData>
    <row r="1" spans="1:6" ht="15" x14ac:dyDescent="0.25">
      <c r="C1" s="2" t="s">
        <v>0</v>
      </c>
      <c r="D1" s="3"/>
    </row>
    <row r="2" spans="1:6" ht="15" customHeight="1" x14ac:dyDescent="0.2">
      <c r="A2" s="298" t="s">
        <v>1</v>
      </c>
      <c r="B2" s="298"/>
      <c r="C2" s="298"/>
      <c r="D2" s="298"/>
      <c r="E2" s="298"/>
      <c r="F2" s="298"/>
    </row>
    <row r="3" spans="1:6" ht="15" customHeight="1" x14ac:dyDescent="0.2">
      <c r="A3" s="4"/>
      <c r="B3" s="298" t="s">
        <v>183</v>
      </c>
      <c r="C3" s="298"/>
      <c r="D3" s="298"/>
      <c r="E3" s="298"/>
    </row>
    <row r="4" spans="1:6" x14ac:dyDescent="0.2">
      <c r="B4" s="5"/>
      <c r="C4" s="5"/>
      <c r="D4" s="5"/>
    </row>
    <row r="5" spans="1:6" x14ac:dyDescent="0.2">
      <c r="B5" s="5" t="s">
        <v>182</v>
      </c>
      <c r="C5" s="5"/>
      <c r="D5" s="5">
        <v>619223.6</v>
      </c>
    </row>
    <row r="6" spans="1:6" ht="15" x14ac:dyDescent="0.25">
      <c r="A6" s="6"/>
      <c r="B6" s="7" t="s">
        <v>76</v>
      </c>
      <c r="C6" s="10" t="s">
        <v>6</v>
      </c>
      <c r="D6" s="27">
        <v>-137165.06</v>
      </c>
      <c r="E6" s="6"/>
    </row>
    <row r="7" spans="1:6" ht="15" x14ac:dyDescent="0.25">
      <c r="A7" s="6"/>
      <c r="B7" s="7"/>
      <c r="C7" s="10"/>
      <c r="D7" s="27"/>
      <c r="E7" s="6"/>
    </row>
    <row r="8" spans="1:6" x14ac:dyDescent="0.2">
      <c r="A8" s="6"/>
      <c r="B8" s="10" t="s">
        <v>2</v>
      </c>
      <c r="C8" s="10" t="s">
        <v>3</v>
      </c>
      <c r="D8" s="160">
        <v>9807.1</v>
      </c>
      <c r="E8" s="6"/>
    </row>
    <row r="9" spans="1:6" x14ac:dyDescent="0.2">
      <c r="A9" s="6"/>
      <c r="B9" s="10" t="s">
        <v>4</v>
      </c>
      <c r="C9" s="10" t="s">
        <v>3</v>
      </c>
      <c r="D9" s="160">
        <v>6561.5</v>
      </c>
      <c r="E9" s="6"/>
    </row>
    <row r="10" spans="1:6" x14ac:dyDescent="0.2">
      <c r="A10" s="6"/>
      <c r="B10" s="12" t="s">
        <v>5</v>
      </c>
      <c r="C10" s="10" t="s">
        <v>6</v>
      </c>
      <c r="D10" s="160">
        <f>1567187.6+1104.98</f>
        <v>1568292.58</v>
      </c>
      <c r="E10" s="6"/>
    </row>
    <row r="11" spans="1:6" x14ac:dyDescent="0.2">
      <c r="A11" s="6"/>
      <c r="B11" s="7"/>
      <c r="C11" s="7"/>
      <c r="D11" s="160"/>
      <c r="E11" s="6"/>
    </row>
    <row r="12" spans="1:6" x14ac:dyDescent="0.2">
      <c r="A12" s="6"/>
      <c r="B12" s="12" t="s">
        <v>7</v>
      </c>
      <c r="C12" s="12"/>
      <c r="D12" s="160"/>
      <c r="E12" s="6"/>
    </row>
    <row r="13" spans="1:6" x14ac:dyDescent="0.2">
      <c r="A13" s="6">
        <v>1</v>
      </c>
      <c r="B13" s="162" t="s">
        <v>208</v>
      </c>
      <c r="C13" s="10" t="s">
        <v>6</v>
      </c>
      <c r="D13" s="160">
        <f>1377907.49+481.74</f>
        <v>1378389.23</v>
      </c>
      <c r="E13" s="6"/>
    </row>
    <row r="14" spans="1:6" x14ac:dyDescent="0.2">
      <c r="A14" s="6">
        <v>2</v>
      </c>
      <c r="B14" s="8" t="s">
        <v>9</v>
      </c>
      <c r="C14" s="8"/>
      <c r="D14" s="160">
        <f>15000+4200+9000</f>
        <v>28200</v>
      </c>
      <c r="E14" s="6"/>
    </row>
    <row r="15" spans="1:6" x14ac:dyDescent="0.2">
      <c r="A15" s="6"/>
      <c r="B15" s="8"/>
      <c r="C15" s="8"/>
      <c r="D15" s="160"/>
      <c r="E15" s="6"/>
    </row>
    <row r="16" spans="1:6" x14ac:dyDescent="0.2">
      <c r="A16" s="6"/>
      <c r="B16" s="12" t="s">
        <v>10</v>
      </c>
      <c r="C16" s="10" t="s">
        <v>6</v>
      </c>
      <c r="D16" s="161">
        <f>D13+D14+D15</f>
        <v>1406589.23</v>
      </c>
      <c r="E16" s="6"/>
    </row>
    <row r="17" spans="1:5" x14ac:dyDescent="0.2">
      <c r="A17" s="6"/>
      <c r="B17" s="7"/>
      <c r="C17" s="7"/>
      <c r="D17" s="6"/>
      <c r="E17" s="6"/>
    </row>
    <row r="18" spans="1:5" x14ac:dyDescent="0.2">
      <c r="B18" s="5"/>
      <c r="C18" s="5"/>
    </row>
    <row r="19" spans="1:5" x14ac:dyDescent="0.2">
      <c r="B19" s="141" t="s">
        <v>11</v>
      </c>
      <c r="C19" s="141"/>
    </row>
    <row r="20" spans="1:5" x14ac:dyDescent="0.2">
      <c r="A20" s="13"/>
      <c r="B20" s="14"/>
      <c r="C20" s="14"/>
      <c r="D20" s="13"/>
      <c r="E20" s="13"/>
    </row>
    <row r="21" spans="1:5" ht="15.75" customHeight="1" x14ac:dyDescent="0.2">
      <c r="A21" s="15" t="s">
        <v>12</v>
      </c>
      <c r="B21" s="16"/>
      <c r="C21" s="16"/>
      <c r="D21" s="225" t="s">
        <v>13</v>
      </c>
      <c r="E21" s="225" t="s">
        <v>14</v>
      </c>
    </row>
    <row r="22" spans="1:5" x14ac:dyDescent="0.2">
      <c r="A22" s="15" t="s">
        <v>15</v>
      </c>
      <c r="B22" s="20" t="s">
        <v>16</v>
      </c>
      <c r="C22" s="17"/>
      <c r="D22" s="225" t="s">
        <v>209</v>
      </c>
      <c r="E22" s="226"/>
    </row>
    <row r="23" spans="1:5" ht="30" customHeight="1" x14ac:dyDescent="0.2">
      <c r="A23" s="22" t="s">
        <v>18</v>
      </c>
      <c r="B23" s="23" t="s">
        <v>19</v>
      </c>
      <c r="C23" s="23"/>
      <c r="D23" s="204"/>
      <c r="E23" s="204"/>
    </row>
    <row r="24" spans="1:5" ht="51" x14ac:dyDescent="0.2">
      <c r="A24" s="22"/>
      <c r="B24" s="25" t="s">
        <v>20</v>
      </c>
      <c r="C24" s="142" t="s">
        <v>6</v>
      </c>
      <c r="D24" s="216">
        <f>D25+D26+D27</f>
        <v>239988.64</v>
      </c>
      <c r="E24" s="204"/>
    </row>
    <row r="25" spans="1:5" ht="81" customHeight="1" x14ac:dyDescent="0.2">
      <c r="A25" s="22"/>
      <c r="B25" s="28" t="s">
        <v>21</v>
      </c>
      <c r="C25" s="28"/>
      <c r="D25" s="204">
        <v>107460</v>
      </c>
      <c r="E25" s="204"/>
    </row>
    <row r="26" spans="1:5" ht="112.5" x14ac:dyDescent="0.2">
      <c r="A26" s="30"/>
      <c r="B26" s="28" t="s">
        <v>22</v>
      </c>
      <c r="C26" s="28"/>
      <c r="D26" s="204">
        <v>119938.64</v>
      </c>
      <c r="E26" s="204"/>
    </row>
    <row r="27" spans="1:5" ht="27.75" customHeight="1" x14ac:dyDescent="0.2">
      <c r="A27" s="31"/>
      <c r="B27" s="40" t="s">
        <v>23</v>
      </c>
      <c r="C27" s="112"/>
      <c r="D27" s="204">
        <v>12590</v>
      </c>
      <c r="E27" s="204"/>
    </row>
    <row r="28" spans="1:5" ht="25.5" x14ac:dyDescent="0.2">
      <c r="A28" s="22"/>
      <c r="B28" s="25" t="s">
        <v>24</v>
      </c>
      <c r="C28" s="142" t="s">
        <v>6</v>
      </c>
      <c r="D28" s="216">
        <f>D29+D30</f>
        <v>13788</v>
      </c>
      <c r="E28" s="204"/>
    </row>
    <row r="29" spans="1:5" ht="16.5" customHeight="1" x14ac:dyDescent="0.2">
      <c r="A29" s="33"/>
      <c r="B29" s="70" t="s">
        <v>25</v>
      </c>
      <c r="C29" s="29"/>
      <c r="D29" s="204">
        <v>11426</v>
      </c>
      <c r="E29" s="204"/>
    </row>
    <row r="30" spans="1:5" x14ac:dyDescent="0.2">
      <c r="A30" s="22"/>
      <c r="B30" s="34" t="s">
        <v>26</v>
      </c>
      <c r="C30" s="29"/>
      <c r="D30" s="204">
        <v>2362</v>
      </c>
      <c r="E30" s="204"/>
    </row>
    <row r="31" spans="1:5" ht="39.75" customHeight="1" x14ac:dyDescent="0.2">
      <c r="A31" s="22" t="s">
        <v>27</v>
      </c>
      <c r="B31" s="25" t="s">
        <v>28</v>
      </c>
      <c r="C31" s="142" t="s">
        <v>6</v>
      </c>
      <c r="D31" s="216">
        <f>D32+D33</f>
        <v>47240</v>
      </c>
      <c r="E31" s="204"/>
    </row>
    <row r="32" spans="1:5" ht="80.099999999999994" customHeight="1" x14ac:dyDescent="0.2">
      <c r="A32" s="37"/>
      <c r="B32" s="28" t="s">
        <v>29</v>
      </c>
      <c r="C32" s="143"/>
      <c r="D32" s="204">
        <v>47240</v>
      </c>
      <c r="E32" s="204"/>
    </row>
    <row r="33" spans="1:5" ht="25.5" customHeight="1" x14ac:dyDescent="0.2">
      <c r="A33" s="37"/>
      <c r="B33" s="38" t="s">
        <v>30</v>
      </c>
      <c r="C33" s="144"/>
      <c r="D33" s="204">
        <v>0</v>
      </c>
      <c r="E33" s="204"/>
    </row>
    <row r="34" spans="1:5" ht="41.25" customHeight="1" x14ac:dyDescent="0.2">
      <c r="A34" s="37" t="s">
        <v>31</v>
      </c>
      <c r="B34" s="25" t="s">
        <v>32</v>
      </c>
      <c r="C34" s="142" t="s">
        <v>6</v>
      </c>
      <c r="D34" s="216">
        <f>D35+D36+D37</f>
        <v>4764</v>
      </c>
      <c r="E34" s="204"/>
    </row>
    <row r="35" spans="1:5" ht="41.1" customHeight="1" x14ac:dyDescent="0.2">
      <c r="A35" s="33"/>
      <c r="B35" s="40" t="s">
        <v>33</v>
      </c>
      <c r="C35" s="112"/>
      <c r="D35" s="204">
        <v>2776</v>
      </c>
      <c r="E35" s="204"/>
    </row>
    <row r="36" spans="1:5" ht="27" customHeight="1" x14ac:dyDescent="0.2">
      <c r="A36" s="33"/>
      <c r="B36" s="38" t="s">
        <v>34</v>
      </c>
      <c r="C36" s="112"/>
      <c r="D36" s="204">
        <v>1988</v>
      </c>
      <c r="E36" s="204"/>
    </row>
    <row r="37" spans="1:5" ht="28.5" customHeight="1" x14ac:dyDescent="0.2">
      <c r="A37" s="33"/>
      <c r="B37" s="38" t="s">
        <v>35</v>
      </c>
      <c r="C37" s="112"/>
      <c r="D37" s="204">
        <v>0</v>
      </c>
      <c r="E37" s="204"/>
    </row>
    <row r="38" spans="1:5" ht="17.25" customHeight="1" x14ac:dyDescent="0.25">
      <c r="A38" s="31" t="s">
        <v>36</v>
      </c>
      <c r="B38" s="41" t="s">
        <v>37</v>
      </c>
      <c r="C38" s="142" t="s">
        <v>6</v>
      </c>
      <c r="D38" s="216">
        <f>D39+D40+D41+D43+D44+D45+D46</f>
        <v>101950.57999999999</v>
      </c>
      <c r="E38" s="204"/>
    </row>
    <row r="39" spans="1:5" ht="15" customHeight="1" x14ac:dyDescent="0.2">
      <c r="A39" s="42"/>
      <c r="B39" s="43" t="s">
        <v>38</v>
      </c>
      <c r="C39" s="120"/>
      <c r="D39" s="204">
        <v>5280.8</v>
      </c>
      <c r="E39" s="204"/>
    </row>
    <row r="40" spans="1:5" ht="23.25" customHeight="1" x14ac:dyDescent="0.2">
      <c r="A40" s="42"/>
      <c r="B40" s="43" t="s">
        <v>39</v>
      </c>
      <c r="C40" s="120"/>
      <c r="D40" s="204">
        <v>14962.75</v>
      </c>
      <c r="E40" s="204"/>
    </row>
    <row r="41" spans="1:5" ht="15.75" customHeight="1" x14ac:dyDescent="0.2">
      <c r="A41" s="42"/>
      <c r="B41" s="45" t="s">
        <v>40</v>
      </c>
      <c r="C41" s="121"/>
      <c r="D41" s="204">
        <v>30635.29</v>
      </c>
      <c r="E41" s="204"/>
    </row>
    <row r="42" spans="1:5" ht="38.1" customHeight="1" x14ac:dyDescent="0.2">
      <c r="A42" s="31"/>
      <c r="B42" s="46" t="s">
        <v>41</v>
      </c>
      <c r="C42" s="124"/>
      <c r="D42" s="204"/>
      <c r="E42" s="204"/>
    </row>
    <row r="43" spans="1:5" ht="16.5" customHeight="1" x14ac:dyDescent="0.2">
      <c r="A43" s="42"/>
      <c r="B43" s="47" t="s">
        <v>42</v>
      </c>
      <c r="C43" s="92"/>
      <c r="D43" s="204">
        <v>806.92</v>
      </c>
      <c r="E43" s="204"/>
    </row>
    <row r="44" spans="1:5" ht="15" customHeight="1" x14ac:dyDescent="0.2">
      <c r="A44" s="29"/>
      <c r="B44" s="47" t="s">
        <v>43</v>
      </c>
      <c r="C44" s="92"/>
      <c r="D44" s="204">
        <v>3325.06</v>
      </c>
      <c r="E44" s="204"/>
    </row>
    <row r="45" spans="1:5" x14ac:dyDescent="0.2">
      <c r="A45" s="42"/>
      <c r="B45" s="47" t="s">
        <v>78</v>
      </c>
      <c r="C45" s="92"/>
      <c r="D45" s="204">
        <v>0</v>
      </c>
      <c r="E45" s="204"/>
    </row>
    <row r="46" spans="1:5" ht="27" customHeight="1" x14ac:dyDescent="0.2">
      <c r="A46" s="42"/>
      <c r="B46" s="208" t="s">
        <v>259</v>
      </c>
      <c r="C46" s="92"/>
      <c r="D46" s="204">
        <v>46939.76</v>
      </c>
      <c r="E46" s="204"/>
    </row>
    <row r="47" spans="1:5" ht="42" customHeight="1" x14ac:dyDescent="0.2">
      <c r="A47" s="12" t="s">
        <v>46</v>
      </c>
      <c r="B47" s="48" t="s">
        <v>47</v>
      </c>
      <c r="C47" s="48"/>
      <c r="D47" s="204"/>
      <c r="E47" s="204"/>
    </row>
    <row r="48" spans="1:5" ht="22.5" customHeight="1" x14ac:dyDescent="0.2">
      <c r="A48" s="49"/>
      <c r="B48" s="50" t="s">
        <v>48</v>
      </c>
      <c r="C48" s="50"/>
      <c r="D48" s="204"/>
      <c r="E48" s="204"/>
    </row>
    <row r="49" spans="1:5" ht="27.75" customHeight="1" x14ac:dyDescent="0.2">
      <c r="A49" s="31"/>
      <c r="B49" s="51" t="s">
        <v>49</v>
      </c>
      <c r="C49" s="142" t="s">
        <v>6</v>
      </c>
      <c r="D49" s="216">
        <f>D50+D53+D52+D51</f>
        <v>231146.28</v>
      </c>
      <c r="E49" s="204"/>
    </row>
    <row r="50" spans="1:5" ht="22.5" x14ac:dyDescent="0.2">
      <c r="A50" s="33"/>
      <c r="B50" s="28" t="s">
        <v>50</v>
      </c>
      <c r="C50" s="143"/>
      <c r="D50" s="204">
        <v>158550.79</v>
      </c>
      <c r="E50" s="204"/>
    </row>
    <row r="51" spans="1:5" x14ac:dyDescent="0.2">
      <c r="A51" s="31"/>
      <c r="B51" s="52" t="s">
        <v>51</v>
      </c>
      <c r="C51" s="145"/>
      <c r="D51" s="204">
        <v>0</v>
      </c>
      <c r="E51" s="204"/>
    </row>
    <row r="52" spans="1:5" x14ac:dyDescent="0.2">
      <c r="A52" s="31"/>
      <c r="B52" s="52" t="s">
        <v>79</v>
      </c>
      <c r="C52" s="75"/>
      <c r="D52" s="204">
        <f>60596.69+5600</f>
        <v>66196.69</v>
      </c>
      <c r="E52" s="204"/>
    </row>
    <row r="53" spans="1:5" ht="22.5" x14ac:dyDescent="0.2">
      <c r="A53" s="31"/>
      <c r="B53" s="52" t="s">
        <v>52</v>
      </c>
      <c r="C53" s="145"/>
      <c r="D53" s="204">
        <v>6398.8</v>
      </c>
      <c r="E53" s="204"/>
    </row>
    <row r="54" spans="1:5" x14ac:dyDescent="0.2">
      <c r="A54" s="49"/>
      <c r="B54" s="76" t="s">
        <v>53</v>
      </c>
      <c r="C54" s="146"/>
      <c r="D54" s="204"/>
      <c r="E54" s="204"/>
    </row>
    <row r="55" spans="1:5" x14ac:dyDescent="0.2">
      <c r="A55" s="17"/>
      <c r="B55" s="77" t="s">
        <v>54</v>
      </c>
      <c r="C55" s="142" t="s">
        <v>6</v>
      </c>
      <c r="D55" s="219">
        <f>D56+D57+D59+D60+D58</f>
        <v>351066.30000000005</v>
      </c>
      <c r="E55" s="204"/>
    </row>
    <row r="56" spans="1:5" x14ac:dyDescent="0.2">
      <c r="A56" s="17"/>
      <c r="B56" s="78" t="s">
        <v>55</v>
      </c>
      <c r="C56" s="147"/>
      <c r="D56" s="220">
        <v>59986</v>
      </c>
      <c r="E56" s="204"/>
    </row>
    <row r="57" spans="1:5" x14ac:dyDescent="0.2">
      <c r="A57" s="17"/>
      <c r="B57" s="78" t="s">
        <v>56</v>
      </c>
      <c r="C57" s="147"/>
      <c r="D57" s="220">
        <v>91862.62</v>
      </c>
      <c r="E57" s="204"/>
    </row>
    <row r="58" spans="1:5" x14ac:dyDescent="0.2">
      <c r="A58" s="17"/>
      <c r="B58" s="78" t="s">
        <v>57</v>
      </c>
      <c r="C58" s="147"/>
      <c r="D58" s="220">
        <v>19985</v>
      </c>
      <c r="E58" s="204"/>
    </row>
    <row r="59" spans="1:5" x14ac:dyDescent="0.2">
      <c r="A59" s="17"/>
      <c r="B59" s="78" t="s">
        <v>59</v>
      </c>
      <c r="C59" s="147"/>
      <c r="D59" s="220">
        <v>156768.15</v>
      </c>
      <c r="E59" s="204"/>
    </row>
    <row r="60" spans="1:5" x14ac:dyDescent="0.2">
      <c r="A60" s="17"/>
      <c r="B60" s="78" t="s">
        <v>58</v>
      </c>
      <c r="C60" s="147"/>
      <c r="D60" s="220">
        <v>22464.53</v>
      </c>
      <c r="E60" s="204"/>
    </row>
    <row r="61" spans="1:5" x14ac:dyDescent="0.2">
      <c r="A61" s="33" t="s">
        <v>60</v>
      </c>
      <c r="B61" s="210" t="s">
        <v>252</v>
      </c>
      <c r="C61" s="147"/>
      <c r="D61" s="219">
        <v>15953.15</v>
      </c>
      <c r="E61" s="204"/>
    </row>
    <row r="62" spans="1:5" x14ac:dyDescent="0.2">
      <c r="A62" s="31" t="s">
        <v>62</v>
      </c>
      <c r="B62" s="211" t="s">
        <v>262</v>
      </c>
      <c r="C62" s="142" t="s">
        <v>6</v>
      </c>
      <c r="D62" s="216">
        <v>155043.70000000001</v>
      </c>
      <c r="E62" s="204"/>
    </row>
    <row r="63" spans="1:5" ht="33.75" x14ac:dyDescent="0.2">
      <c r="A63" s="31"/>
      <c r="B63" s="54" t="s">
        <v>63</v>
      </c>
      <c r="C63" s="148"/>
      <c r="D63" s="216"/>
      <c r="E63" s="204"/>
    </row>
    <row r="64" spans="1:5" ht="48" x14ac:dyDescent="0.2">
      <c r="A64" s="31" t="s">
        <v>64</v>
      </c>
      <c r="B64" s="56" t="s">
        <v>65</v>
      </c>
      <c r="C64" s="142" t="s">
        <v>6</v>
      </c>
      <c r="D64" s="216">
        <v>114388.45</v>
      </c>
      <c r="E64" s="204"/>
    </row>
    <row r="65" spans="1:5" ht="60" x14ac:dyDescent="0.2">
      <c r="A65" s="31" t="s">
        <v>66</v>
      </c>
      <c r="B65" s="57" t="s">
        <v>67</v>
      </c>
      <c r="C65" s="142" t="s">
        <v>6</v>
      </c>
      <c r="D65" s="216">
        <f>233561.34+10971.7</f>
        <v>244533.04</v>
      </c>
      <c r="E65" s="204"/>
    </row>
    <row r="66" spans="1:5" ht="15" x14ac:dyDescent="0.25">
      <c r="A66" s="31" t="s">
        <v>68</v>
      </c>
      <c r="B66" s="58" t="s">
        <v>69</v>
      </c>
      <c r="C66" s="142" t="s">
        <v>6</v>
      </c>
      <c r="D66" s="218">
        <f>D16*6%</f>
        <v>84395.353799999997</v>
      </c>
      <c r="E66" s="204"/>
    </row>
    <row r="67" spans="1:5" x14ac:dyDescent="0.2">
      <c r="A67" s="152" t="s">
        <v>251</v>
      </c>
      <c r="B67" s="59" t="s">
        <v>70</v>
      </c>
      <c r="C67" s="142" t="s">
        <v>6</v>
      </c>
      <c r="D67" s="218">
        <f>D24+D28+D31+D34+D38+D49+D55+D61+D62+D64+D65+D66</f>
        <v>1604257.4938000001</v>
      </c>
      <c r="E67" s="204"/>
    </row>
    <row r="68" spans="1:5" x14ac:dyDescent="0.2">
      <c r="A68" s="60"/>
      <c r="B68" s="61"/>
      <c r="C68" s="149"/>
      <c r="D68" s="216"/>
      <c r="E68" s="204"/>
    </row>
    <row r="69" spans="1:5" x14ac:dyDescent="0.2">
      <c r="A69" s="33"/>
      <c r="B69" s="150" t="s">
        <v>71</v>
      </c>
      <c r="C69" s="142" t="s">
        <v>6</v>
      </c>
      <c r="D69" s="218">
        <f>D6+D16-D67</f>
        <v>-334833.32380000013</v>
      </c>
      <c r="E69" s="204"/>
    </row>
    <row r="70" spans="1:5" x14ac:dyDescent="0.2">
      <c r="B70" s="90"/>
    </row>
    <row r="71" spans="1:5" x14ac:dyDescent="0.2">
      <c r="B71" s="90"/>
    </row>
    <row r="72" spans="1:5" x14ac:dyDescent="0.2">
      <c r="B72" s="66" t="s">
        <v>72</v>
      </c>
      <c r="C72" s="66"/>
      <c r="D72" s="66" t="s">
        <v>73</v>
      </c>
    </row>
    <row r="73" spans="1:5" x14ac:dyDescent="0.2">
      <c r="B73" s="66" t="s">
        <v>74</v>
      </c>
      <c r="C73" s="66"/>
      <c r="D73" s="66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3" workbookViewId="0">
      <selection activeCell="G22" sqref="G22:R65"/>
    </sheetView>
  </sheetViews>
  <sheetFormatPr defaultColWidth="9" defaultRowHeight="14.25" x14ac:dyDescent="0.2"/>
  <cols>
    <col min="1" max="1" width="5.28515625" style="1" customWidth="1"/>
    <col min="2" max="2" width="45" style="1" customWidth="1"/>
    <col min="3" max="3" width="8.140625" style="1" customWidth="1"/>
    <col min="4" max="4" width="12.5703125" style="1" customWidth="1"/>
    <col min="5" max="5" width="10.42578125" style="1" customWidth="1"/>
    <col min="6" max="6" width="9" style="1"/>
    <col min="7" max="7" width="10.85546875" style="1" customWidth="1"/>
    <col min="8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139</v>
      </c>
      <c r="B2" s="298"/>
      <c r="C2" s="298"/>
      <c r="D2" s="298"/>
      <c r="E2" s="298"/>
      <c r="F2" s="298"/>
    </row>
    <row r="3" spans="1:16" x14ac:dyDescent="0.2">
      <c r="A3" s="4"/>
      <c r="B3" s="298" t="s">
        <v>199</v>
      </c>
      <c r="C3" s="298"/>
      <c r="D3" s="298"/>
      <c r="E3" s="298"/>
    </row>
    <row r="4" spans="1:16" x14ac:dyDescent="0.2">
      <c r="A4" s="4"/>
      <c r="B4" s="291"/>
      <c r="C4" s="291"/>
      <c r="D4" s="291"/>
      <c r="E4" s="291"/>
    </row>
    <row r="5" spans="1:16" x14ac:dyDescent="0.2">
      <c r="B5" s="163" t="s">
        <v>182</v>
      </c>
      <c r="C5" s="163"/>
      <c r="D5" s="163">
        <v>569606.81000000006</v>
      </c>
      <c r="E5" s="168"/>
    </row>
    <row r="6" spans="1:16" x14ac:dyDescent="0.2">
      <c r="A6" s="6"/>
      <c r="B6" s="164" t="s">
        <v>211</v>
      </c>
      <c r="C6" s="164"/>
      <c r="D6" s="170">
        <v>161269.28</v>
      </c>
      <c r="E6" s="160"/>
    </row>
    <row r="7" spans="1:16" x14ac:dyDescent="0.2">
      <c r="A7" s="6"/>
      <c r="B7" s="164"/>
      <c r="C7" s="164"/>
      <c r="D7" s="170"/>
      <c r="E7" s="160"/>
    </row>
    <row r="8" spans="1:16" x14ac:dyDescent="0.2">
      <c r="A8" s="6"/>
      <c r="B8" s="165" t="s">
        <v>2</v>
      </c>
      <c r="C8" s="164"/>
      <c r="D8" s="171">
        <v>6881.49</v>
      </c>
      <c r="E8" s="160"/>
    </row>
    <row r="9" spans="1:16" x14ac:dyDescent="0.2">
      <c r="A9" s="6"/>
      <c r="B9" s="165" t="s">
        <v>4</v>
      </c>
      <c r="C9" s="164"/>
      <c r="D9" s="171">
        <v>4497.03</v>
      </c>
      <c r="E9" s="160"/>
    </row>
    <row r="10" spans="1:16" x14ac:dyDescent="0.2">
      <c r="A10" s="6"/>
      <c r="B10" s="166" t="s">
        <v>5</v>
      </c>
      <c r="C10" s="164"/>
      <c r="D10" s="170">
        <v>961518.11</v>
      </c>
      <c r="E10" s="160"/>
    </row>
    <row r="11" spans="1:16" x14ac:dyDescent="0.2">
      <c r="A11" s="6"/>
      <c r="B11" s="164"/>
      <c r="C11" s="164"/>
      <c r="D11" s="171"/>
      <c r="E11" s="160"/>
    </row>
    <row r="12" spans="1:16" x14ac:dyDescent="0.2">
      <c r="A12" s="6"/>
      <c r="B12" s="166" t="s">
        <v>7</v>
      </c>
      <c r="C12" s="164"/>
      <c r="D12" s="171"/>
      <c r="E12" s="160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2">
      <c r="A13" s="6">
        <v>1</v>
      </c>
      <c r="B13" s="167" t="s">
        <v>208</v>
      </c>
      <c r="C13" s="164"/>
      <c r="D13" s="171">
        <v>827258.29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6">
        <v>2</v>
      </c>
      <c r="B14" s="167" t="s">
        <v>9</v>
      </c>
      <c r="C14" s="164"/>
      <c r="D14" s="171">
        <f>3000+6300+9000</f>
        <v>18300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"/>
      <c r="B15" s="167"/>
      <c r="C15" s="164"/>
      <c r="D15" s="171"/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6"/>
      <c r="B16" s="166" t="s">
        <v>10</v>
      </c>
      <c r="C16" s="164"/>
      <c r="D16" s="170">
        <f>D13+D14+D15</f>
        <v>845558.29</v>
      </c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6"/>
      <c r="B17" s="164"/>
      <c r="C17" s="164"/>
      <c r="D17" s="160"/>
      <c r="E17" s="160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2">
      <c r="A21" s="15" t="s">
        <v>12</v>
      </c>
      <c r="B21" s="16"/>
      <c r="C21" s="17" t="s">
        <v>117</v>
      </c>
      <c r="D21" s="19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x14ac:dyDescent="0.2">
      <c r="A22" s="15" t="s">
        <v>15</v>
      </c>
      <c r="B22" s="20" t="s">
        <v>16</v>
      </c>
      <c r="C22" s="20" t="s">
        <v>118</v>
      </c>
      <c r="D22" s="19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38.25" x14ac:dyDescent="0.2">
      <c r="A24" s="22"/>
      <c r="B24" s="25" t="s">
        <v>20</v>
      </c>
      <c r="C24" s="20" t="s">
        <v>6</v>
      </c>
      <c r="D24" s="216">
        <f>D25+D26+D27</f>
        <v>183828.18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84" customHeight="1" x14ac:dyDescent="0.2">
      <c r="A25" s="22"/>
      <c r="B25" s="28" t="s">
        <v>21</v>
      </c>
      <c r="C25" s="29"/>
      <c r="D25" s="204">
        <f>101396+4000</f>
        <v>105396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06.5" customHeight="1" x14ac:dyDescent="0.2">
      <c r="A26" s="30"/>
      <c r="B26" s="28" t="s">
        <v>22</v>
      </c>
      <c r="C26" s="29"/>
      <c r="D26" s="204">
        <f>69179.36+618.82</f>
        <v>69798.180000000008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2.5" x14ac:dyDescent="0.2">
      <c r="A27" s="31"/>
      <c r="B27" s="40" t="s">
        <v>23</v>
      </c>
      <c r="C27" s="29"/>
      <c r="D27" s="204">
        <v>8634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">
      <c r="A28" s="22"/>
      <c r="B28" s="25" t="s">
        <v>24</v>
      </c>
      <c r="C28" s="20" t="s">
        <v>6</v>
      </c>
      <c r="D28" s="216">
        <f>D29+D30</f>
        <v>9258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33"/>
      <c r="B29" s="70" t="s">
        <v>25</v>
      </c>
      <c r="C29" s="35"/>
      <c r="D29" s="204">
        <v>7100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22"/>
      <c r="B30" s="70" t="s">
        <v>26</v>
      </c>
      <c r="C30" s="35"/>
      <c r="D30" s="204">
        <v>2158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38.25" x14ac:dyDescent="0.2">
      <c r="A31" s="22" t="s">
        <v>27</v>
      </c>
      <c r="B31" s="25" t="s">
        <v>28</v>
      </c>
      <c r="C31" s="20" t="s">
        <v>6</v>
      </c>
      <c r="D31" s="216">
        <f>D32+D33</f>
        <v>33458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67.5" x14ac:dyDescent="0.2">
      <c r="A32" s="37"/>
      <c r="B32" s="28" t="s">
        <v>29</v>
      </c>
      <c r="C32" s="29"/>
      <c r="D32" s="204">
        <v>33458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38.25" x14ac:dyDescent="0.2">
      <c r="A34" s="37" t="s">
        <v>31</v>
      </c>
      <c r="B34" s="25" t="s">
        <v>32</v>
      </c>
      <c r="C34" s="20" t="s">
        <v>6</v>
      </c>
      <c r="D34" s="216">
        <f>D35+D36+D37</f>
        <v>5640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33.75" x14ac:dyDescent="0.2">
      <c r="A35" s="33"/>
      <c r="B35" s="40" t="s">
        <v>33</v>
      </c>
      <c r="C35" s="39"/>
      <c r="D35" s="204">
        <v>3540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89</v>
      </c>
      <c r="C36" s="39"/>
      <c r="D36" s="204">
        <v>2100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20" t="s">
        <v>6</v>
      </c>
      <c r="D38" s="218">
        <f>D39+D40+D41+D43+D44+D45+D46</f>
        <v>39744.949999999997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2">
      <c r="A39" s="42"/>
      <c r="B39" s="43" t="s">
        <v>38</v>
      </c>
      <c r="C39" s="44"/>
      <c r="D39" s="204">
        <v>5182.8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3" t="s">
        <v>39</v>
      </c>
      <c r="C40" s="44"/>
      <c r="D40" s="204">
        <v>8842.5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x14ac:dyDescent="0.2">
      <c r="A41" s="42"/>
      <c r="B41" s="45" t="s">
        <v>40</v>
      </c>
      <c r="C41" s="44"/>
      <c r="D41" s="204">
        <v>20997.88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33.7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90</v>
      </c>
      <c r="C43" s="44"/>
      <c r="D43" s="204">
        <v>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91</v>
      </c>
      <c r="C44" s="44"/>
      <c r="D44" s="204">
        <v>718.09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29"/>
      <c r="B45" s="47" t="s">
        <v>92</v>
      </c>
      <c r="C45" s="44"/>
      <c r="D45" s="217">
        <v>3478.89</v>
      </c>
      <c r="E45" s="6"/>
      <c r="F45" s="153" t="s">
        <v>248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">
      <c r="A46" s="42"/>
      <c r="B46" s="47" t="s">
        <v>45</v>
      </c>
      <c r="C46" s="44"/>
      <c r="D46" s="204">
        <v>524.79</v>
      </c>
      <c r="E46" s="6"/>
      <c r="F46" s="154" t="s">
        <v>247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38.25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5.5" x14ac:dyDescent="0.2">
      <c r="A49" s="31"/>
      <c r="B49" s="51" t="s">
        <v>49</v>
      </c>
      <c r="C49" s="20" t="s">
        <v>6</v>
      </c>
      <c r="D49" s="216">
        <f>D50+D51+D52</f>
        <v>141378.75999999998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2.5" x14ac:dyDescent="0.2">
      <c r="A50" s="33"/>
      <c r="B50" s="28" t="s">
        <v>50</v>
      </c>
      <c r="C50" s="39"/>
      <c r="D50" s="204">
        <v>128832.54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14.25" customHeight="1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5" customHeight="1" x14ac:dyDescent="0.2">
      <c r="A52" s="31"/>
      <c r="B52" s="52" t="s">
        <v>52</v>
      </c>
      <c r="C52" s="39"/>
      <c r="D52" s="204">
        <v>12546.22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5" customHeight="1" x14ac:dyDescent="0.2">
      <c r="A53" s="33" t="s">
        <v>60</v>
      </c>
      <c r="B53" s="210" t="s">
        <v>252</v>
      </c>
      <c r="C53" s="12" t="s">
        <v>6</v>
      </c>
      <c r="D53" s="216">
        <v>10933.75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8" customHeight="1" x14ac:dyDescent="0.2">
      <c r="A54" s="31" t="s">
        <v>62</v>
      </c>
      <c r="B54" s="211" t="s">
        <v>262</v>
      </c>
      <c r="C54" s="20" t="s">
        <v>6</v>
      </c>
      <c r="D54" s="216">
        <v>422245.84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8.5" customHeight="1" x14ac:dyDescent="0.2">
      <c r="A55" s="31"/>
      <c r="B55" s="54" t="s">
        <v>63</v>
      </c>
      <c r="C55" s="55"/>
      <c r="D55" s="204"/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48" x14ac:dyDescent="0.2">
      <c r="A56" s="31" t="s">
        <v>64</v>
      </c>
      <c r="B56" s="56" t="s">
        <v>65</v>
      </c>
      <c r="C56" s="20" t="s">
        <v>6</v>
      </c>
      <c r="D56" s="216">
        <v>47874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48" x14ac:dyDescent="0.2">
      <c r="A57" s="31" t="s">
        <v>66</v>
      </c>
      <c r="B57" s="57" t="s">
        <v>98</v>
      </c>
      <c r="C57" s="20" t="s">
        <v>6</v>
      </c>
      <c r="D57" s="216">
        <f>194474.9+3643.73</f>
        <v>198118.63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ht="15" x14ac:dyDescent="0.25">
      <c r="A58" s="31" t="s">
        <v>68</v>
      </c>
      <c r="B58" s="58" t="s">
        <v>69</v>
      </c>
      <c r="C58" s="20" t="s">
        <v>6</v>
      </c>
      <c r="D58" s="218">
        <f>D16*6%</f>
        <v>50733.4974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1"/>
      <c r="B59" s="59" t="s">
        <v>70</v>
      </c>
      <c r="C59" s="20" t="s">
        <v>6</v>
      </c>
      <c r="D59" s="218">
        <f>D58+D57+D56+D54+D53+D49+D38+D34+D31+D28+D24</f>
        <v>1143213.6073999999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5.75" x14ac:dyDescent="0.25">
      <c r="A60" s="60"/>
      <c r="B60" s="61"/>
      <c r="C60" s="62"/>
      <c r="D60" s="156"/>
      <c r="E60" s="159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A61" s="60"/>
      <c r="B61" s="61" t="s">
        <v>116</v>
      </c>
      <c r="C61" s="62"/>
      <c r="D61" s="159">
        <f>D6+D16-D59</f>
        <v>-136386.0373999998</v>
      </c>
      <c r="E61" s="159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A62" s="60"/>
      <c r="B62" s="61"/>
      <c r="C62" s="62"/>
      <c r="D62" s="64"/>
      <c r="E62" s="63"/>
      <c r="F62" s="6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.75" x14ac:dyDescent="0.25">
      <c r="A63" s="60"/>
      <c r="B63" s="61"/>
      <c r="C63" s="62"/>
      <c r="D63" s="65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x14ac:dyDescent="0.2">
      <c r="A64" s="60"/>
      <c r="B64" s="66" t="s">
        <v>72</v>
      </c>
      <c r="C64" s="66"/>
      <c r="D64" s="66" t="s">
        <v>73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2:16" x14ac:dyDescent="0.2">
      <c r="B65" s="66" t="s">
        <v>74</v>
      </c>
      <c r="C65" s="66"/>
      <c r="D65" s="66" t="s">
        <v>273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9" workbookViewId="0">
      <selection activeCell="L63" sqref="L63"/>
    </sheetView>
  </sheetViews>
  <sheetFormatPr defaultColWidth="9" defaultRowHeight="14.25" x14ac:dyDescent="0.2"/>
  <cols>
    <col min="1" max="1" width="5" style="1" customWidth="1"/>
    <col min="2" max="2" width="39" style="1" customWidth="1"/>
    <col min="3" max="3" width="7.42578125" style="1" customWidth="1"/>
    <col min="4" max="4" width="11.42578125" style="1" customWidth="1"/>
    <col min="5" max="5" width="11.28515625" style="1" customWidth="1"/>
    <col min="6" max="6" width="9" style="1"/>
    <col min="7" max="7" width="10.42578125" style="1" customWidth="1"/>
    <col min="8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200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B5" s="163" t="s">
        <v>182</v>
      </c>
      <c r="C5" s="163"/>
      <c r="D5" s="163">
        <v>217030.6</v>
      </c>
    </row>
    <row r="6" spans="1:15" x14ac:dyDescent="0.2">
      <c r="A6" s="6"/>
      <c r="B6" s="164" t="s">
        <v>211</v>
      </c>
      <c r="C6" s="167" t="s">
        <v>6</v>
      </c>
      <c r="D6" s="170">
        <v>141572.42000000001</v>
      </c>
      <c r="E6" s="6"/>
    </row>
    <row r="7" spans="1:15" x14ac:dyDescent="0.2">
      <c r="A7" s="6"/>
      <c r="B7" s="164"/>
      <c r="C7" s="167"/>
      <c r="D7" s="170"/>
      <c r="E7" s="6"/>
    </row>
    <row r="8" spans="1:15" x14ac:dyDescent="0.2">
      <c r="A8" s="6"/>
      <c r="B8" s="165" t="s">
        <v>2</v>
      </c>
      <c r="C8" s="167" t="s">
        <v>3</v>
      </c>
      <c r="D8" s="171">
        <v>3678.45</v>
      </c>
      <c r="E8" s="6"/>
    </row>
    <row r="9" spans="1:15" x14ac:dyDescent="0.2">
      <c r="A9" s="6"/>
      <c r="B9" s="165" t="s">
        <v>4</v>
      </c>
      <c r="C9" s="167" t="s">
        <v>3</v>
      </c>
      <c r="D9" s="171">
        <v>2657.75</v>
      </c>
      <c r="E9" s="6"/>
    </row>
    <row r="10" spans="1:15" x14ac:dyDescent="0.2">
      <c r="A10" s="6"/>
      <c r="B10" s="166" t="s">
        <v>5</v>
      </c>
      <c r="C10" s="164" t="s">
        <v>6</v>
      </c>
      <c r="D10" s="170">
        <v>622654.02</v>
      </c>
      <c r="E10" s="6"/>
    </row>
    <row r="11" spans="1:15" x14ac:dyDescent="0.2">
      <c r="A11" s="6"/>
      <c r="B11" s="164"/>
      <c r="C11" s="164"/>
      <c r="D11" s="171"/>
      <c r="E11" s="6"/>
    </row>
    <row r="12" spans="1:15" x14ac:dyDescent="0.2">
      <c r="A12" s="6"/>
      <c r="B12" s="166" t="s">
        <v>7</v>
      </c>
      <c r="C12" s="164"/>
      <c r="D12" s="171"/>
      <c r="E12" s="6"/>
    </row>
    <row r="13" spans="1:15" x14ac:dyDescent="0.2">
      <c r="A13" s="6">
        <v>1</v>
      </c>
      <c r="B13" s="167" t="s">
        <v>215</v>
      </c>
      <c r="C13" s="167" t="s">
        <v>6</v>
      </c>
      <c r="D13" s="171">
        <v>602863.91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9</v>
      </c>
      <c r="C14" s="167" t="s">
        <v>6</v>
      </c>
      <c r="D14" s="171">
        <f>3000+6300+3600+9000</f>
        <v>21900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167"/>
      <c r="C15" s="167"/>
      <c r="D15" s="171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624763.91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164"/>
      <c r="C17" s="164"/>
      <c r="D17" s="160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.75" x14ac:dyDescent="0.25">
      <c r="A24" s="22"/>
      <c r="B24" s="25" t="s">
        <v>20</v>
      </c>
      <c r="C24" s="27" t="s">
        <v>6</v>
      </c>
      <c r="D24" s="216">
        <f>D25+D26+D27</f>
        <v>100829.72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0" x14ac:dyDescent="0.2">
      <c r="A25" s="22"/>
      <c r="B25" s="28" t="s">
        <v>21</v>
      </c>
      <c r="C25" s="6"/>
      <c r="D25" s="204">
        <v>39966.25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6"/>
      <c r="D26" s="204">
        <v>57674.47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6"/>
      <c r="D27" s="204">
        <v>3189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6.25" x14ac:dyDescent="0.25">
      <c r="A28" s="22"/>
      <c r="B28" s="25" t="s">
        <v>24</v>
      </c>
      <c r="C28" s="27" t="s">
        <v>6</v>
      </c>
      <c r="D28" s="216">
        <f>D29+D30</f>
        <v>7687.86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6"/>
      <c r="D29" s="204">
        <v>7050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6"/>
      <c r="D30" s="204">
        <v>637.86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9" x14ac:dyDescent="0.25">
      <c r="A31" s="22" t="s">
        <v>27</v>
      </c>
      <c r="B31" s="25" t="s">
        <v>28</v>
      </c>
      <c r="C31" s="27" t="s">
        <v>6</v>
      </c>
      <c r="D31" s="216">
        <f>D32+D33</f>
        <v>17890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6"/>
      <c r="D32" s="204">
        <v>17890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6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1.75" x14ac:dyDescent="0.25">
      <c r="A34" s="37" t="s">
        <v>31</v>
      </c>
      <c r="B34" s="25" t="s">
        <v>32</v>
      </c>
      <c r="C34" s="27" t="s">
        <v>6</v>
      </c>
      <c r="D34" s="216">
        <f>D35+D36+D37</f>
        <v>5260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6"/>
      <c r="D35" s="204">
        <v>3460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6"/>
      <c r="D36" s="204">
        <v>1800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6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27" t="s">
        <v>6</v>
      </c>
      <c r="D38" s="216">
        <f>D39+D40+D41+D43+D44+D45</f>
        <v>22333.75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6"/>
      <c r="D39" s="204">
        <v>1037.4000000000001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6"/>
      <c r="D40" s="204">
        <v>6901.75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6"/>
      <c r="D41" s="204">
        <v>12408.89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6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109</v>
      </c>
      <c r="C43" s="6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6"/>
      <c r="D44" s="204">
        <v>638.89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6"/>
      <c r="D45" s="204">
        <v>1346.82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38.25" x14ac:dyDescent="0.2">
      <c r="A46" s="12" t="s">
        <v>46</v>
      </c>
      <c r="B46" s="48" t="s">
        <v>47</v>
      </c>
      <c r="C46" s="6"/>
      <c r="D46" s="204"/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49"/>
      <c r="B47" s="50" t="s">
        <v>48</v>
      </c>
      <c r="C47" s="6"/>
      <c r="D47" s="204"/>
      <c r="E47" s="6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6.25" x14ac:dyDescent="0.25">
      <c r="A48" s="31"/>
      <c r="B48" s="51" t="s">
        <v>49</v>
      </c>
      <c r="C48" s="27" t="s">
        <v>6</v>
      </c>
      <c r="D48" s="216">
        <f>D49+D50+D51</f>
        <v>78179.460000000006</v>
      </c>
      <c r="E48" s="6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21" ht="22.5" x14ac:dyDescent="0.2">
      <c r="A49" s="33"/>
      <c r="B49" s="28" t="s">
        <v>50</v>
      </c>
      <c r="C49" s="6"/>
      <c r="D49" s="204">
        <v>75322.850000000006</v>
      </c>
      <c r="E49" s="6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21" x14ac:dyDescent="0.2">
      <c r="A50" s="31"/>
      <c r="B50" s="52" t="s">
        <v>51</v>
      </c>
      <c r="C50" s="6"/>
      <c r="D50" s="204">
        <v>0</v>
      </c>
      <c r="E50" s="6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21" ht="22.5" x14ac:dyDescent="0.2">
      <c r="A51" s="31"/>
      <c r="B51" s="52" t="s">
        <v>52</v>
      </c>
      <c r="C51" s="6"/>
      <c r="D51" s="204">
        <v>2856.61</v>
      </c>
      <c r="E51" s="6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21" x14ac:dyDescent="0.2">
      <c r="A52" s="49"/>
      <c r="B52" s="76" t="s">
        <v>53</v>
      </c>
      <c r="C52" s="6"/>
      <c r="D52" s="204"/>
      <c r="E52" s="6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21" ht="15" x14ac:dyDescent="0.25">
      <c r="A53" s="17"/>
      <c r="B53" s="77" t="s">
        <v>54</v>
      </c>
      <c r="C53" s="27" t="s">
        <v>6</v>
      </c>
      <c r="D53" s="216">
        <f>D54+D55+D56+D57+D58</f>
        <v>135736.41999999998</v>
      </c>
      <c r="E53" s="6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21" x14ac:dyDescent="0.2">
      <c r="A54" s="17"/>
      <c r="B54" s="78" t="s">
        <v>55</v>
      </c>
      <c r="C54" s="6"/>
      <c r="D54" s="204">
        <v>20634</v>
      </c>
      <c r="E54" s="6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21" x14ac:dyDescent="0.2">
      <c r="A55" s="17"/>
      <c r="B55" s="78" t="s">
        <v>56</v>
      </c>
      <c r="C55" s="6"/>
      <c r="D55" s="204">
        <v>32548.39</v>
      </c>
      <c r="E55" s="6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U55" s="153"/>
    </row>
    <row r="56" spans="1:21" x14ac:dyDescent="0.2">
      <c r="A56" s="17"/>
      <c r="B56" s="78" t="s">
        <v>57</v>
      </c>
      <c r="C56" s="6"/>
      <c r="D56" s="204">
        <v>6378</v>
      </c>
      <c r="E56" s="6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21" x14ac:dyDescent="0.2">
      <c r="A57" s="17"/>
      <c r="B57" s="78" t="s">
        <v>59</v>
      </c>
      <c r="C57" s="6"/>
      <c r="D57" s="204">
        <v>69211.839999999997</v>
      </c>
      <c r="E57" s="6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21" x14ac:dyDescent="0.2">
      <c r="A58" s="17"/>
      <c r="B58" s="28" t="s">
        <v>97</v>
      </c>
      <c r="C58" s="6"/>
      <c r="D58" s="204">
        <v>6964.19</v>
      </c>
      <c r="E58" s="6"/>
      <c r="F58" s="153" t="s">
        <v>250</v>
      </c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21" x14ac:dyDescent="0.2">
      <c r="A59" s="33" t="s">
        <v>60</v>
      </c>
      <c r="B59" s="210" t="s">
        <v>252</v>
      </c>
      <c r="C59" s="12" t="s">
        <v>6</v>
      </c>
      <c r="D59" s="216">
        <v>6461.86</v>
      </c>
      <c r="E59" s="6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21" x14ac:dyDescent="0.2">
      <c r="A60" s="31" t="s">
        <v>62</v>
      </c>
      <c r="B60" s="211" t="s">
        <v>262</v>
      </c>
      <c r="C60" s="20" t="s">
        <v>6</v>
      </c>
      <c r="D60" s="216">
        <v>185063.86</v>
      </c>
      <c r="E60" s="6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21" ht="33.75" x14ac:dyDescent="0.2">
      <c r="A61" s="31"/>
      <c r="B61" s="54" t="s">
        <v>63</v>
      </c>
      <c r="C61" s="6"/>
      <c r="D61" s="216"/>
      <c r="E61" s="6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21" ht="48.75" x14ac:dyDescent="0.25">
      <c r="A62" s="31" t="s">
        <v>64</v>
      </c>
      <c r="B62" s="56" t="s">
        <v>65</v>
      </c>
      <c r="C62" s="27" t="s">
        <v>6</v>
      </c>
      <c r="D62" s="216">
        <v>40504</v>
      </c>
      <c r="E62" s="6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21" ht="60.75" x14ac:dyDescent="0.25">
      <c r="A63" s="31" t="s">
        <v>66</v>
      </c>
      <c r="B63" s="57" t="s">
        <v>98</v>
      </c>
      <c r="C63" s="27" t="s">
        <v>6</v>
      </c>
      <c r="D63" s="216">
        <v>99617.94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21" ht="15" x14ac:dyDescent="0.25">
      <c r="A64" s="31" t="s">
        <v>68</v>
      </c>
      <c r="B64" s="58" t="s">
        <v>69</v>
      </c>
      <c r="C64" s="27" t="s">
        <v>6</v>
      </c>
      <c r="D64" s="218">
        <f>D16*6%</f>
        <v>37485.834600000002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" x14ac:dyDescent="0.25">
      <c r="A65" s="31"/>
      <c r="B65" s="59" t="s">
        <v>70</v>
      </c>
      <c r="C65" s="27" t="s">
        <v>6</v>
      </c>
      <c r="D65" s="218">
        <f>D64+D63+D62+D60+D59+D53+D48+D38+D34+D31+D28+D24</f>
        <v>737050.70459999994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" x14ac:dyDescent="0.25">
      <c r="A66" s="60"/>
      <c r="B66" s="61"/>
      <c r="C66" s="63"/>
      <c r="D66" s="156"/>
      <c r="E66" s="15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" x14ac:dyDescent="0.25">
      <c r="A67" s="60"/>
      <c r="B67" s="61" t="s">
        <v>99</v>
      </c>
      <c r="C67" s="63"/>
      <c r="D67" s="159">
        <f>D6+D16-D65</f>
        <v>29285.625400000135</v>
      </c>
      <c r="E67" s="15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" x14ac:dyDescent="0.25">
      <c r="A68" s="60"/>
      <c r="B68" s="61"/>
      <c r="C68" s="63"/>
      <c r="D68" s="156"/>
      <c r="E68" s="156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" x14ac:dyDescent="0.25">
      <c r="A69" s="60"/>
      <c r="B69" s="61"/>
      <c r="C69" s="63"/>
      <c r="D69" s="156"/>
      <c r="E69" s="156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" x14ac:dyDescent="0.25">
      <c r="A70" s="60"/>
      <c r="B70" s="61"/>
      <c r="C70" s="63"/>
      <c r="D70" s="159"/>
      <c r="E70" s="156"/>
      <c r="F70" s="6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A71" s="60"/>
      <c r="B71" s="61"/>
      <c r="C71" s="62"/>
      <c r="D71" s="65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A72" s="60"/>
      <c r="B72" s="66" t="s">
        <v>72</v>
      </c>
      <c r="C72" s="66"/>
      <c r="D72" s="66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">
      <c r="B73" s="66" t="s">
        <v>74</v>
      </c>
      <c r="C73" s="66"/>
      <c r="D73" s="66" t="s">
        <v>273</v>
      </c>
      <c r="G73" s="153"/>
      <c r="H73" s="153"/>
      <c r="I73" s="153"/>
      <c r="J73" s="153"/>
      <c r="K73" s="153"/>
      <c r="L73" s="153"/>
      <c r="M73" s="153"/>
      <c r="N73" s="153"/>
      <c r="O73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50" workbookViewId="0">
      <selection activeCell="G21" sqref="G21:Q72"/>
    </sheetView>
  </sheetViews>
  <sheetFormatPr defaultColWidth="9" defaultRowHeight="14.25" x14ac:dyDescent="0.2"/>
  <cols>
    <col min="1" max="1" width="4" style="1" customWidth="1"/>
    <col min="2" max="2" width="40.28515625" style="1" customWidth="1"/>
    <col min="3" max="3" width="9.140625" style="1" customWidth="1"/>
    <col min="4" max="4" width="16.5703125" style="1" customWidth="1"/>
    <col min="5" max="5" width="14.28515625" style="1" customWidth="1"/>
    <col min="6" max="6" width="11.42578125" style="1" customWidth="1"/>
    <col min="7" max="7" width="11.28515625" style="1" customWidth="1"/>
    <col min="8" max="8" width="10.42578125" style="1" customWidth="1"/>
    <col min="9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201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B5" s="163" t="s">
        <v>182</v>
      </c>
      <c r="C5" s="163"/>
      <c r="D5" s="163">
        <v>1424228.38</v>
      </c>
    </row>
    <row r="6" spans="1:15" x14ac:dyDescent="0.2">
      <c r="A6" s="6"/>
      <c r="B6" s="164" t="s">
        <v>116</v>
      </c>
      <c r="C6" s="164"/>
      <c r="D6" s="161">
        <v>249757.58</v>
      </c>
      <c r="E6" s="6"/>
    </row>
    <row r="7" spans="1:15" x14ac:dyDescent="0.2">
      <c r="A7" s="6"/>
      <c r="B7" s="164"/>
      <c r="C7" s="164"/>
      <c r="D7" s="160"/>
      <c r="E7" s="6"/>
    </row>
    <row r="8" spans="1:15" x14ac:dyDescent="0.2">
      <c r="A8" s="6"/>
      <c r="B8" s="165" t="s">
        <v>2</v>
      </c>
      <c r="C8" s="164"/>
      <c r="D8" s="171">
        <v>13162.85</v>
      </c>
      <c r="E8" s="6"/>
    </row>
    <row r="9" spans="1:15" x14ac:dyDescent="0.2">
      <c r="A9" s="6"/>
      <c r="B9" s="165" t="s">
        <v>4</v>
      </c>
      <c r="C9" s="164"/>
      <c r="D9" s="171">
        <v>8926.25</v>
      </c>
      <c r="E9" s="6"/>
    </row>
    <row r="10" spans="1:15" ht="15" customHeight="1" x14ac:dyDescent="0.2">
      <c r="A10" s="6"/>
      <c r="B10" s="166" t="s">
        <v>5</v>
      </c>
      <c r="C10" s="164"/>
      <c r="D10" s="170">
        <v>2030428.69</v>
      </c>
      <c r="E10" s="6"/>
    </row>
    <row r="11" spans="1:15" ht="17.25" customHeight="1" x14ac:dyDescent="0.2">
      <c r="A11" s="6"/>
      <c r="B11" s="164"/>
      <c r="C11" s="164"/>
      <c r="D11" s="160"/>
      <c r="E11" s="6"/>
    </row>
    <row r="12" spans="1:15" ht="13.5" customHeight="1" x14ac:dyDescent="0.2">
      <c r="A12" s="6"/>
      <c r="B12" s="166" t="s">
        <v>7</v>
      </c>
      <c r="C12" s="164"/>
      <c r="D12" s="160"/>
      <c r="E12" s="6"/>
    </row>
    <row r="13" spans="1:15" ht="14.25" customHeight="1" x14ac:dyDescent="0.2">
      <c r="A13" s="6">
        <v>1</v>
      </c>
      <c r="B13" s="167" t="s">
        <v>8</v>
      </c>
      <c r="C13" s="164"/>
      <c r="D13" s="171">
        <v>1883893.26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3.5" customHeight="1" x14ac:dyDescent="0.2">
      <c r="A14" s="6">
        <v>2</v>
      </c>
      <c r="B14" s="167" t="s">
        <v>9</v>
      </c>
      <c r="C14" s="164"/>
      <c r="D14" s="171">
        <f>9000+4200+27000</f>
        <v>40200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8" customHeight="1" x14ac:dyDescent="0.2">
      <c r="A15" s="6"/>
      <c r="B15" s="167"/>
      <c r="C15" s="164"/>
      <c r="D15" s="171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/>
      <c r="D16" s="170">
        <f>D13+D14+D15</f>
        <v>1924093.26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8" customHeight="1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5.75" customHeight="1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7.25" customHeight="1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.75" customHeight="1" x14ac:dyDescent="0.2">
      <c r="A21" s="15" t="s">
        <v>12</v>
      </c>
      <c r="B21" s="16"/>
      <c r="C21" s="17" t="s">
        <v>117</v>
      </c>
      <c r="D21" s="19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8" customHeight="1" x14ac:dyDescent="0.2">
      <c r="A22" s="15" t="s">
        <v>15</v>
      </c>
      <c r="B22" s="20" t="s">
        <v>16</v>
      </c>
      <c r="C22" s="20" t="s">
        <v>118</v>
      </c>
      <c r="D22" s="19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42" customHeight="1" x14ac:dyDescent="0.2">
      <c r="A23" s="22" t="s">
        <v>18</v>
      </c>
      <c r="B23" s="23" t="s">
        <v>88</v>
      </c>
      <c r="C23" s="123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4.75" customHeight="1" x14ac:dyDescent="0.2">
      <c r="A24" s="22"/>
      <c r="B24" s="25" t="s">
        <v>20</v>
      </c>
      <c r="C24" s="20" t="s">
        <v>6</v>
      </c>
      <c r="D24" s="216">
        <f>D25+D26+D27</f>
        <v>351375.99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84" customHeight="1" x14ac:dyDescent="0.2">
      <c r="A25" s="22"/>
      <c r="B25" s="28" t="s">
        <v>21</v>
      </c>
      <c r="C25" s="29"/>
      <c r="D25" s="204">
        <v>142988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9.25" customHeight="1" x14ac:dyDescent="0.2">
      <c r="A26" s="30"/>
      <c r="B26" s="28" t="s">
        <v>22</v>
      </c>
      <c r="C26" s="29"/>
      <c r="D26" s="204">
        <v>192320.99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5.5" x14ac:dyDescent="0.2">
      <c r="A27" s="31"/>
      <c r="B27" s="119" t="s">
        <v>23</v>
      </c>
      <c r="C27" s="29"/>
      <c r="D27" s="204">
        <v>16067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31.5" customHeight="1" x14ac:dyDescent="0.2">
      <c r="A28" s="22"/>
      <c r="B28" s="25" t="s">
        <v>24</v>
      </c>
      <c r="C28" s="20" t="s">
        <v>6</v>
      </c>
      <c r="D28" s="216">
        <f>D29+D30</f>
        <v>16585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8.75" customHeight="1" x14ac:dyDescent="0.2">
      <c r="A29" s="33"/>
      <c r="B29" s="34" t="s">
        <v>25</v>
      </c>
      <c r="C29" s="35"/>
      <c r="D29" s="204">
        <v>12300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9.5" customHeight="1" x14ac:dyDescent="0.2">
      <c r="A30" s="22"/>
      <c r="B30" s="34" t="s">
        <v>26</v>
      </c>
      <c r="C30" s="35"/>
      <c r="D30" s="204">
        <v>4285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20" t="s">
        <v>6</v>
      </c>
      <c r="D31" s="216">
        <f>D32+D33</f>
        <v>57843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5" customHeight="1" x14ac:dyDescent="0.2">
      <c r="A32" s="37"/>
      <c r="B32" s="28" t="s">
        <v>29</v>
      </c>
      <c r="C32" s="29"/>
      <c r="D32" s="204">
        <v>57843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8.5" customHeight="1" x14ac:dyDescent="0.2">
      <c r="A33" s="37"/>
      <c r="B33" s="91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45.75" customHeight="1" x14ac:dyDescent="0.2">
      <c r="A34" s="37" t="s">
        <v>31</v>
      </c>
      <c r="B34" s="25" t="s">
        <v>32</v>
      </c>
      <c r="C34" s="20" t="s">
        <v>6</v>
      </c>
      <c r="D34" s="216">
        <f>D35+D36+D37</f>
        <v>7940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7.5" customHeight="1" x14ac:dyDescent="0.2">
      <c r="A35" s="33"/>
      <c r="B35" s="32" t="s">
        <v>33</v>
      </c>
      <c r="C35" s="39"/>
      <c r="D35" s="204">
        <v>3980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5.5" x14ac:dyDescent="0.2">
      <c r="A36" s="33"/>
      <c r="B36" s="91" t="s">
        <v>89</v>
      </c>
      <c r="C36" s="39"/>
      <c r="D36" s="204">
        <v>3960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5.5" customHeight="1" x14ac:dyDescent="0.2">
      <c r="A37" s="12"/>
      <c r="B37" s="91" t="s">
        <v>140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50239.58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20.25" customHeight="1" x14ac:dyDescent="0.2">
      <c r="A39" s="42"/>
      <c r="B39" s="120" t="s">
        <v>38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4" x14ac:dyDescent="0.2">
      <c r="A40" s="42"/>
      <c r="B40" s="120" t="s">
        <v>39</v>
      </c>
      <c r="C40" s="44"/>
      <c r="D40" s="204">
        <v>0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121" t="s">
        <v>40</v>
      </c>
      <c r="C41" s="44"/>
      <c r="D41" s="204">
        <v>41676.18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8.25" customHeight="1" x14ac:dyDescent="0.2">
      <c r="A42" s="31"/>
      <c r="B42" s="124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92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92" t="s">
        <v>109</v>
      </c>
      <c r="C44" s="44"/>
      <c r="D44" s="204">
        <v>0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7.25" customHeight="1" x14ac:dyDescent="0.2">
      <c r="A45" s="42"/>
      <c r="B45" s="92" t="s">
        <v>91</v>
      </c>
      <c r="C45" s="44"/>
      <c r="D45" s="204">
        <v>4039.99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8" customHeight="1" x14ac:dyDescent="0.2">
      <c r="A46" s="42"/>
      <c r="B46" s="92" t="s">
        <v>92</v>
      </c>
      <c r="C46" s="44"/>
      <c r="D46" s="204">
        <v>4523.41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45" customHeight="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20" t="s">
        <v>6</v>
      </c>
      <c r="D49" s="216">
        <f>D50+D51+D52</f>
        <v>141150.43</v>
      </c>
      <c r="E49" s="6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141</v>
      </c>
      <c r="C50" s="39"/>
      <c r="D50" s="204">
        <v>137151.18</v>
      </c>
      <c r="E50" s="6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142</v>
      </c>
      <c r="C51" s="39"/>
      <c r="D51" s="204">
        <v>0</v>
      </c>
      <c r="E51" s="6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143</v>
      </c>
      <c r="C52" s="39"/>
      <c r="D52" s="204">
        <v>3999.25</v>
      </c>
      <c r="E52" s="6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76" t="s">
        <v>53</v>
      </c>
      <c r="C53" s="49"/>
      <c r="D53" s="204"/>
      <c r="E53" s="6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7" t="s">
        <v>54</v>
      </c>
      <c r="C54" s="20" t="s">
        <v>6</v>
      </c>
      <c r="D54" s="216">
        <f>D55+D56+D57+D58</f>
        <v>338789.07999999996</v>
      </c>
      <c r="E54" s="6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144</v>
      </c>
      <c r="C55" s="79"/>
      <c r="D55" s="204">
        <v>131538</v>
      </c>
      <c r="E55" s="6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145</v>
      </c>
      <c r="C56" s="39"/>
      <c r="D56" s="204">
        <v>168833.08</v>
      </c>
      <c r="E56" s="6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146</v>
      </c>
      <c r="C57" s="79"/>
      <c r="D57" s="204">
        <v>25564</v>
      </c>
      <c r="E57" s="6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147</v>
      </c>
      <c r="C58" s="39"/>
      <c r="D58" s="204">
        <v>12854</v>
      </c>
      <c r="E58" s="6"/>
      <c r="F58" s="153" t="s">
        <v>249</v>
      </c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3" t="s">
        <v>60</v>
      </c>
      <c r="B59" s="210" t="s">
        <v>252</v>
      </c>
      <c r="C59" s="12" t="s">
        <v>6</v>
      </c>
      <c r="D59" s="204">
        <v>21702.62</v>
      </c>
      <c r="E59" s="6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8.75" customHeight="1" x14ac:dyDescent="0.2">
      <c r="A60" s="31" t="s">
        <v>62</v>
      </c>
      <c r="B60" s="211" t="s">
        <v>262</v>
      </c>
      <c r="C60" s="20" t="s">
        <v>6</v>
      </c>
      <c r="D60" s="216">
        <v>21723.55</v>
      </c>
      <c r="E60" s="6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39" customHeight="1" x14ac:dyDescent="0.2">
      <c r="A61" s="31"/>
      <c r="B61" s="54" t="s">
        <v>63</v>
      </c>
      <c r="C61" s="55"/>
      <c r="D61" s="216"/>
      <c r="E61" s="6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48" x14ac:dyDescent="0.2">
      <c r="A62" s="31" t="s">
        <v>64</v>
      </c>
      <c r="B62" s="56" t="s">
        <v>65</v>
      </c>
      <c r="C62" s="20" t="s">
        <v>6</v>
      </c>
      <c r="D62" s="216">
        <v>129000.07</v>
      </c>
      <c r="E62" s="6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60" x14ac:dyDescent="0.2">
      <c r="A63" s="31" t="s">
        <v>66</v>
      </c>
      <c r="B63" s="57" t="s">
        <v>98</v>
      </c>
      <c r="C63" s="20" t="s">
        <v>6</v>
      </c>
      <c r="D63" s="216">
        <v>376542</v>
      </c>
      <c r="E63" s="6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" x14ac:dyDescent="0.25">
      <c r="A64" s="31" t="s">
        <v>68</v>
      </c>
      <c r="B64" s="58" t="s">
        <v>69</v>
      </c>
      <c r="C64" s="20" t="s">
        <v>6</v>
      </c>
      <c r="D64" s="218">
        <f>D16*6%</f>
        <v>115445.5956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/>
      <c r="B65" s="59" t="s">
        <v>70</v>
      </c>
      <c r="C65" s="20" t="s">
        <v>6</v>
      </c>
      <c r="D65" s="218">
        <f>D64+D63+D62+D60+D59+D54+D49+D38+D34+D31+D28+D24</f>
        <v>1628336.9155999999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/>
      <c r="C66" s="62"/>
      <c r="D66" s="156"/>
      <c r="E66" s="159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 t="s">
        <v>76</v>
      </c>
      <c r="C67" s="62"/>
      <c r="D67" s="159">
        <f>D6+D16-D65</f>
        <v>545513.9243999999</v>
      </c>
      <c r="E67" s="159"/>
      <c r="F67" s="64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B68" s="61"/>
      <c r="C68" s="62"/>
      <c r="D68" s="159"/>
      <c r="E68" s="156"/>
      <c r="F68" s="64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B69" s="61"/>
      <c r="C69" s="62"/>
      <c r="D69" s="64"/>
      <c r="E69" s="63"/>
      <c r="F69" s="64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B70" s="61"/>
      <c r="C70" s="62"/>
      <c r="D70" s="64"/>
      <c r="E70" s="6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B71" s="61"/>
      <c r="C71" s="62"/>
      <c r="D71" s="65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B72" s="66" t="s">
        <v>72</v>
      </c>
      <c r="C72" s="66"/>
      <c r="D72" s="66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">
      <c r="B73" s="66" t="s">
        <v>74</v>
      </c>
      <c r="C73" s="66"/>
      <c r="D73" s="66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50" workbookViewId="0">
      <selection activeCell="G21" sqref="G21:Q72"/>
    </sheetView>
  </sheetViews>
  <sheetFormatPr defaultColWidth="9" defaultRowHeight="14.25" x14ac:dyDescent="0.2"/>
  <cols>
    <col min="1" max="1" width="4.42578125" style="1" customWidth="1"/>
    <col min="2" max="2" width="38.7109375" style="1" customWidth="1"/>
    <col min="3" max="3" width="8.5703125" style="1" customWidth="1"/>
    <col min="4" max="4" width="13.5703125" style="1" customWidth="1"/>
    <col min="5" max="5" width="13.42578125" style="1" customWidth="1"/>
    <col min="6" max="6" width="8.42578125" style="1" customWidth="1"/>
    <col min="7" max="7" width="12" style="1" customWidth="1"/>
    <col min="8" max="8" width="10.42578125" style="1" customWidth="1"/>
    <col min="9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8" t="s">
        <v>202</v>
      </c>
      <c r="C3" s="298"/>
      <c r="D3" s="298"/>
      <c r="E3" s="298"/>
    </row>
    <row r="4" spans="1:16" x14ac:dyDescent="0.2">
      <c r="A4" s="4"/>
      <c r="B4" s="291"/>
      <c r="C4" s="291"/>
      <c r="D4" s="291"/>
      <c r="E4" s="291"/>
    </row>
    <row r="5" spans="1:16" x14ac:dyDescent="0.2">
      <c r="B5" s="5" t="s">
        <v>182</v>
      </c>
      <c r="C5" s="5"/>
      <c r="D5" s="5">
        <v>316792.21999999997</v>
      </c>
    </row>
    <row r="6" spans="1:16" x14ac:dyDescent="0.2">
      <c r="A6" s="6"/>
      <c r="B6" s="7" t="s">
        <v>116</v>
      </c>
      <c r="C6" s="8" t="s">
        <v>6</v>
      </c>
      <c r="D6" s="67">
        <v>171887.41</v>
      </c>
      <c r="E6" s="6"/>
    </row>
    <row r="7" spans="1:16" ht="15" x14ac:dyDescent="0.25">
      <c r="A7" s="6"/>
      <c r="B7" s="7"/>
      <c r="C7" s="8" t="s">
        <v>6</v>
      </c>
      <c r="D7" s="68"/>
      <c r="E7" s="6"/>
      <c r="G7" s="63"/>
    </row>
    <row r="8" spans="1:16" ht="15" x14ac:dyDescent="0.25">
      <c r="A8" s="6"/>
      <c r="B8" s="10" t="s">
        <v>2</v>
      </c>
      <c r="C8" s="8" t="s">
        <v>3</v>
      </c>
      <c r="D8" s="11">
        <v>6418.9</v>
      </c>
      <c r="E8" s="6"/>
      <c r="F8" s="63"/>
      <c r="G8" s="63"/>
    </row>
    <row r="9" spans="1:16" ht="15" x14ac:dyDescent="0.25">
      <c r="A9" s="6"/>
      <c r="B9" s="10" t="s">
        <v>4</v>
      </c>
      <c r="C9" s="8" t="s">
        <v>3</v>
      </c>
      <c r="D9" s="11">
        <v>4367.5</v>
      </c>
      <c r="E9" s="6"/>
      <c r="F9" s="63"/>
      <c r="G9" s="63"/>
      <c r="K9" s="1" t="s">
        <v>148</v>
      </c>
    </row>
    <row r="10" spans="1:16" ht="15" x14ac:dyDescent="0.25">
      <c r="A10" s="6"/>
      <c r="B10" s="12" t="s">
        <v>5</v>
      </c>
      <c r="C10" s="7" t="s">
        <v>6</v>
      </c>
      <c r="D10" s="9">
        <f>1044701.66+25446.23</f>
        <v>1070147.8900000001</v>
      </c>
      <c r="E10" s="6"/>
      <c r="F10" s="63"/>
      <c r="G10" s="63"/>
      <c r="K10" s="1" t="s">
        <v>148</v>
      </c>
    </row>
    <row r="11" spans="1:16" ht="15" x14ac:dyDescent="0.25">
      <c r="A11" s="6"/>
      <c r="B11" s="7"/>
      <c r="C11" s="7"/>
      <c r="D11" s="68"/>
      <c r="E11" s="6"/>
      <c r="F11" s="63"/>
      <c r="G11" s="63"/>
      <c r="K11" s="1" t="s">
        <v>148</v>
      </c>
    </row>
    <row r="12" spans="1:16" ht="15" x14ac:dyDescent="0.25">
      <c r="A12" s="6"/>
      <c r="B12" s="12" t="s">
        <v>7</v>
      </c>
      <c r="C12" s="7"/>
      <c r="D12" s="68"/>
      <c r="E12" s="6"/>
      <c r="F12" s="63"/>
      <c r="G12" s="63"/>
      <c r="K12" s="1" t="s">
        <v>148</v>
      </c>
    </row>
    <row r="13" spans="1:16" ht="15" x14ac:dyDescent="0.25">
      <c r="A13" s="6">
        <v>1</v>
      </c>
      <c r="B13" s="8" t="s">
        <v>8</v>
      </c>
      <c r="C13" s="8" t="s">
        <v>6</v>
      </c>
      <c r="D13" s="11">
        <v>942376.94</v>
      </c>
      <c r="E13" s="6"/>
      <c r="F13" s="63"/>
      <c r="G13" s="156"/>
      <c r="H13" s="153"/>
      <c r="I13" s="153"/>
      <c r="J13" s="153"/>
      <c r="K13" s="153" t="s">
        <v>148</v>
      </c>
      <c r="L13" s="153"/>
      <c r="M13" s="153"/>
      <c r="N13" s="153"/>
      <c r="O13" s="153"/>
      <c r="P13" s="153"/>
    </row>
    <row r="14" spans="1:16" ht="15" x14ac:dyDescent="0.25">
      <c r="A14" s="6">
        <v>2</v>
      </c>
      <c r="B14" s="8" t="s">
        <v>106</v>
      </c>
      <c r="C14" s="8" t="s">
        <v>6</v>
      </c>
      <c r="D14" s="11">
        <v>22438.880000000001</v>
      </c>
      <c r="E14" s="6"/>
      <c r="F14" s="63"/>
      <c r="G14" s="156"/>
      <c r="H14" s="153"/>
      <c r="I14" s="153"/>
      <c r="J14" s="153"/>
      <c r="K14" s="153" t="s">
        <v>148</v>
      </c>
      <c r="L14" s="153"/>
      <c r="M14" s="153"/>
      <c r="N14" s="153"/>
      <c r="O14" s="153"/>
      <c r="P14" s="153"/>
    </row>
    <row r="15" spans="1:16" ht="15" x14ac:dyDescent="0.25">
      <c r="A15" s="6">
        <v>3</v>
      </c>
      <c r="B15" s="8" t="s">
        <v>9</v>
      </c>
      <c r="C15" s="7"/>
      <c r="D15" s="11">
        <f>9000+3150+9000</f>
        <v>21150</v>
      </c>
      <c r="E15" s="6"/>
      <c r="F15" s="63"/>
      <c r="G15" s="156"/>
      <c r="H15" s="153"/>
      <c r="I15" s="153"/>
      <c r="J15" s="153"/>
      <c r="K15" s="153" t="s">
        <v>148</v>
      </c>
      <c r="L15" s="153"/>
      <c r="M15" s="153"/>
      <c r="N15" s="153"/>
      <c r="O15" s="153"/>
      <c r="P15" s="153"/>
    </row>
    <row r="16" spans="1:16" ht="15" x14ac:dyDescent="0.25">
      <c r="A16" s="6"/>
      <c r="B16" s="12" t="s">
        <v>10</v>
      </c>
      <c r="C16" s="7" t="s">
        <v>6</v>
      </c>
      <c r="D16" s="9">
        <f>D13+D14+D15</f>
        <v>985965.82</v>
      </c>
      <c r="E16" s="6"/>
      <c r="F16" s="63"/>
      <c r="G16" s="156"/>
      <c r="H16" s="153"/>
      <c r="I16" s="153"/>
      <c r="J16" s="153"/>
      <c r="K16" s="153" t="s">
        <v>148</v>
      </c>
      <c r="L16" s="153"/>
      <c r="M16" s="153"/>
      <c r="N16" s="153"/>
      <c r="O16" s="153"/>
      <c r="P16" s="153"/>
    </row>
    <row r="17" spans="1:16" ht="15" x14ac:dyDescent="0.25">
      <c r="A17" s="6"/>
      <c r="B17" s="7"/>
      <c r="C17" s="7"/>
      <c r="D17" s="6"/>
      <c r="E17" s="6"/>
      <c r="F17" s="63"/>
      <c r="G17" s="156"/>
      <c r="H17" s="153"/>
      <c r="I17" s="153"/>
      <c r="J17" s="153"/>
      <c r="K17" s="153" t="s">
        <v>148</v>
      </c>
      <c r="L17" s="153"/>
      <c r="M17" s="153"/>
      <c r="N17" s="153"/>
      <c r="O17" s="153"/>
      <c r="P17" s="153"/>
    </row>
    <row r="18" spans="1:16" ht="15" x14ac:dyDescent="0.25">
      <c r="B18" s="5"/>
      <c r="C18" s="5"/>
      <c r="F18" s="63"/>
      <c r="G18" s="156"/>
      <c r="H18" s="153"/>
      <c r="I18" s="153"/>
      <c r="J18" s="153"/>
      <c r="K18" s="153" t="s">
        <v>148</v>
      </c>
      <c r="L18" s="153"/>
      <c r="M18" s="153"/>
      <c r="N18" s="153"/>
      <c r="O18" s="153"/>
      <c r="P18" s="153"/>
    </row>
    <row r="19" spans="1:16" ht="15" x14ac:dyDescent="0.25">
      <c r="B19" s="5"/>
      <c r="C19" s="5" t="s">
        <v>11</v>
      </c>
      <c r="F19" s="63"/>
      <c r="G19" s="156"/>
      <c r="H19" s="153"/>
      <c r="I19" s="153"/>
      <c r="J19" s="153"/>
      <c r="K19" s="153" t="s">
        <v>148</v>
      </c>
      <c r="L19" s="153"/>
      <c r="M19" s="153"/>
      <c r="N19" s="153"/>
      <c r="O19" s="153"/>
      <c r="P19" s="153"/>
    </row>
    <row r="20" spans="1:16" ht="15" x14ac:dyDescent="0.25">
      <c r="A20" s="122"/>
      <c r="B20" s="122"/>
      <c r="C20" s="122"/>
      <c r="D20" s="13"/>
      <c r="E20" s="13"/>
      <c r="F20" s="63"/>
      <c r="G20" s="156"/>
      <c r="H20" s="153"/>
      <c r="I20" s="153"/>
      <c r="J20" s="153"/>
      <c r="K20" s="153" t="s">
        <v>148</v>
      </c>
      <c r="L20" s="153"/>
      <c r="M20" s="153"/>
      <c r="N20" s="153"/>
      <c r="O20" s="153"/>
      <c r="P20" s="153"/>
    </row>
    <row r="21" spans="1:16" ht="15" x14ac:dyDescent="0.25">
      <c r="A21" s="15" t="s">
        <v>12</v>
      </c>
      <c r="B21" s="16"/>
      <c r="C21" s="17" t="s">
        <v>85</v>
      </c>
      <c r="D21" s="18" t="s">
        <v>13</v>
      </c>
      <c r="E21" s="19"/>
      <c r="F21" s="63"/>
      <c r="G21" s="156"/>
      <c r="H21" s="153"/>
      <c r="I21" s="153"/>
      <c r="J21" s="153"/>
      <c r="K21" s="153" t="s">
        <v>148</v>
      </c>
      <c r="L21" s="153"/>
      <c r="M21" s="153"/>
      <c r="N21" s="153"/>
      <c r="O21" s="153"/>
      <c r="P21" s="153"/>
    </row>
    <row r="22" spans="1:16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F22" s="63"/>
      <c r="G22" s="156"/>
      <c r="H22" s="153"/>
      <c r="I22" s="153"/>
      <c r="J22" s="153"/>
      <c r="K22" s="153" t="s">
        <v>148</v>
      </c>
      <c r="L22" s="153"/>
      <c r="M22" s="153"/>
      <c r="N22" s="153"/>
      <c r="O22" s="153"/>
      <c r="P22" s="153"/>
    </row>
    <row r="23" spans="1:16" ht="26.25" x14ac:dyDescent="0.25">
      <c r="A23" s="33" t="s">
        <v>18</v>
      </c>
      <c r="B23" s="23" t="s">
        <v>88</v>
      </c>
      <c r="C23" s="24"/>
      <c r="D23" s="6"/>
      <c r="E23" s="6"/>
      <c r="F23" s="63"/>
      <c r="G23" s="156"/>
      <c r="H23" s="153"/>
      <c r="I23" s="153"/>
      <c r="J23" s="153"/>
      <c r="K23" s="153" t="s">
        <v>148</v>
      </c>
      <c r="L23" s="153"/>
      <c r="M23" s="153"/>
      <c r="N23" s="153"/>
      <c r="O23" s="153"/>
      <c r="P23" s="153"/>
    </row>
    <row r="24" spans="1:16" ht="56.25" customHeight="1" x14ac:dyDescent="0.25">
      <c r="A24" s="22"/>
      <c r="B24" s="25" t="s">
        <v>20</v>
      </c>
      <c r="C24" s="7" t="s">
        <v>6</v>
      </c>
      <c r="D24" s="216">
        <f>D25+D26+D27</f>
        <v>191892.04</v>
      </c>
      <c r="E24" s="6"/>
      <c r="F24" s="63"/>
      <c r="G24" s="156"/>
      <c r="H24" s="153"/>
      <c r="I24" s="153"/>
      <c r="J24" s="153"/>
      <c r="K24" s="153" t="s">
        <v>148</v>
      </c>
      <c r="L24" s="153"/>
      <c r="M24" s="153"/>
      <c r="N24" s="153"/>
      <c r="O24" s="153"/>
      <c r="P24" s="153"/>
    </row>
    <row r="25" spans="1:16" ht="84" customHeight="1" x14ac:dyDescent="0.25">
      <c r="A25" s="22"/>
      <c r="B25" s="28" t="s">
        <v>21</v>
      </c>
      <c r="C25" s="29"/>
      <c r="D25" s="204">
        <v>75810</v>
      </c>
      <c r="E25" s="6"/>
      <c r="F25" s="63"/>
      <c r="G25" s="156"/>
      <c r="H25" s="153"/>
      <c r="I25" s="153"/>
      <c r="J25" s="153"/>
      <c r="K25" s="153" t="s">
        <v>148</v>
      </c>
      <c r="L25" s="153"/>
      <c r="M25" s="153"/>
      <c r="N25" s="153"/>
      <c r="O25" s="153"/>
      <c r="P25" s="153"/>
    </row>
    <row r="26" spans="1:16" ht="113.25" x14ac:dyDescent="0.25">
      <c r="A26" s="30"/>
      <c r="B26" s="28" t="s">
        <v>22</v>
      </c>
      <c r="C26" s="29"/>
      <c r="D26" s="204">
        <f>104627.69+3054.35</f>
        <v>107682.04000000001</v>
      </c>
      <c r="E26" s="6"/>
      <c r="F26" s="63"/>
      <c r="G26" s="156"/>
      <c r="H26" s="153"/>
      <c r="I26" s="153"/>
      <c r="J26" s="153"/>
      <c r="K26" s="153" t="s">
        <v>148</v>
      </c>
      <c r="L26" s="153"/>
      <c r="M26" s="153"/>
      <c r="N26" s="153"/>
      <c r="O26" s="153"/>
      <c r="P26" s="153"/>
    </row>
    <row r="27" spans="1:16" ht="23.25" x14ac:dyDescent="0.25">
      <c r="A27" s="31"/>
      <c r="B27" s="40" t="s">
        <v>23</v>
      </c>
      <c r="C27" s="29"/>
      <c r="D27" s="204">
        <v>8400</v>
      </c>
      <c r="E27" s="6"/>
      <c r="F27" s="63"/>
      <c r="G27" s="156"/>
      <c r="H27" s="153"/>
      <c r="I27" s="153"/>
      <c r="J27" s="153"/>
      <c r="K27" s="153" t="s">
        <v>148</v>
      </c>
      <c r="L27" s="153"/>
      <c r="M27" s="153"/>
      <c r="N27" s="153"/>
      <c r="O27" s="153"/>
      <c r="P27" s="153"/>
    </row>
    <row r="28" spans="1:16" ht="26.25" x14ac:dyDescent="0.25">
      <c r="A28" s="22"/>
      <c r="B28" s="25" t="s">
        <v>24</v>
      </c>
      <c r="C28" s="26" t="s">
        <v>6</v>
      </c>
      <c r="D28" s="216">
        <f>D29+D30</f>
        <v>9200</v>
      </c>
      <c r="E28" s="6"/>
      <c r="F28" s="63"/>
      <c r="G28" s="156"/>
      <c r="H28" s="153"/>
      <c r="I28" s="153"/>
      <c r="J28" s="153"/>
      <c r="K28" s="153" t="s">
        <v>148</v>
      </c>
      <c r="L28" s="153"/>
      <c r="M28" s="153"/>
      <c r="N28" s="153"/>
      <c r="O28" s="153"/>
      <c r="P28" s="153"/>
    </row>
    <row r="29" spans="1:16" ht="15" x14ac:dyDescent="0.25">
      <c r="A29" s="33"/>
      <c r="B29" s="70" t="s">
        <v>25</v>
      </c>
      <c r="C29" s="35"/>
      <c r="D29" s="204">
        <v>7100</v>
      </c>
      <c r="E29" s="6"/>
      <c r="F29" s="63"/>
      <c r="G29" s="156"/>
      <c r="H29" s="153"/>
      <c r="I29" s="153"/>
      <c r="J29" s="153"/>
      <c r="K29" s="153" t="s">
        <v>148</v>
      </c>
      <c r="L29" s="153"/>
      <c r="M29" s="153"/>
      <c r="N29" s="153"/>
      <c r="O29" s="153"/>
      <c r="P29" s="153"/>
    </row>
    <row r="30" spans="1:16" ht="15" x14ac:dyDescent="0.25">
      <c r="A30" s="22"/>
      <c r="B30" s="70" t="s">
        <v>26</v>
      </c>
      <c r="C30" s="35"/>
      <c r="D30" s="204">
        <v>2100</v>
      </c>
      <c r="E30" s="6"/>
      <c r="F30" s="63"/>
      <c r="G30" s="156"/>
      <c r="H30" s="153"/>
      <c r="I30" s="153"/>
      <c r="J30" s="153"/>
      <c r="K30" s="153" t="s">
        <v>148</v>
      </c>
      <c r="L30" s="153"/>
      <c r="M30" s="153"/>
      <c r="N30" s="153"/>
      <c r="O30" s="153"/>
      <c r="P30" s="153"/>
    </row>
    <row r="31" spans="1:16" ht="39" x14ac:dyDescent="0.25">
      <c r="A31" s="22" t="s">
        <v>27</v>
      </c>
      <c r="B31" s="25" t="s">
        <v>28</v>
      </c>
      <c r="C31" s="36" t="s">
        <v>6</v>
      </c>
      <c r="D31" s="216">
        <f>D32+D33</f>
        <v>35700</v>
      </c>
      <c r="E31" s="6"/>
      <c r="F31" s="63"/>
      <c r="G31" s="156"/>
      <c r="H31" s="153"/>
      <c r="I31" s="153"/>
      <c r="J31" s="153"/>
      <c r="K31" s="153" t="s">
        <v>148</v>
      </c>
      <c r="L31" s="153"/>
      <c r="M31" s="153"/>
      <c r="N31" s="153"/>
      <c r="O31" s="153"/>
      <c r="P31" s="153"/>
    </row>
    <row r="32" spans="1:16" ht="79.5" x14ac:dyDescent="0.25">
      <c r="A32" s="37"/>
      <c r="B32" s="28" t="s">
        <v>29</v>
      </c>
      <c r="C32" s="29"/>
      <c r="D32" s="204">
        <v>35700</v>
      </c>
      <c r="E32" s="6"/>
      <c r="F32" s="63"/>
      <c r="G32" s="156"/>
      <c r="H32" s="153"/>
      <c r="I32" s="153"/>
      <c r="J32" s="153"/>
      <c r="K32" s="153" t="s">
        <v>148</v>
      </c>
      <c r="L32" s="153"/>
      <c r="M32" s="153"/>
      <c r="N32" s="153"/>
      <c r="O32" s="153"/>
      <c r="P32" s="153"/>
    </row>
    <row r="33" spans="1:16" ht="27.75" customHeight="1" x14ac:dyDescent="0.25">
      <c r="A33" s="37"/>
      <c r="B33" s="38" t="s">
        <v>30</v>
      </c>
      <c r="C33" s="39"/>
      <c r="D33" s="204">
        <v>0</v>
      </c>
      <c r="E33" s="6"/>
      <c r="F33" s="63"/>
      <c r="G33" s="156"/>
      <c r="H33" s="153"/>
      <c r="I33" s="153"/>
      <c r="J33" s="153"/>
      <c r="K33" s="153" t="s">
        <v>148</v>
      </c>
      <c r="L33" s="153"/>
      <c r="M33" s="153"/>
      <c r="N33" s="153"/>
      <c r="O33" s="153"/>
      <c r="P33" s="153"/>
    </row>
    <row r="34" spans="1:16" ht="43.5" customHeight="1" x14ac:dyDescent="0.25">
      <c r="A34" s="37" t="s">
        <v>31</v>
      </c>
      <c r="B34" s="25" t="s">
        <v>32</v>
      </c>
      <c r="C34" s="12" t="s">
        <v>6</v>
      </c>
      <c r="D34" s="216">
        <f>D35+D36+D37</f>
        <v>6100</v>
      </c>
      <c r="E34" s="6"/>
      <c r="F34" s="63"/>
      <c r="G34" s="156"/>
      <c r="H34" s="153"/>
      <c r="I34" s="153"/>
      <c r="J34" s="153"/>
      <c r="K34" s="153" t="s">
        <v>148</v>
      </c>
      <c r="L34" s="153"/>
      <c r="M34" s="153"/>
      <c r="N34" s="153"/>
      <c r="O34" s="153"/>
      <c r="P34" s="153"/>
    </row>
    <row r="35" spans="1:16" ht="34.5" x14ac:dyDescent="0.25">
      <c r="A35" s="33"/>
      <c r="B35" s="40" t="s">
        <v>33</v>
      </c>
      <c r="C35" s="39"/>
      <c r="D35" s="204">
        <v>3200</v>
      </c>
      <c r="E35" s="6"/>
      <c r="F35" s="63"/>
      <c r="G35" s="156"/>
      <c r="H35" s="153"/>
      <c r="I35" s="153"/>
      <c r="J35" s="153"/>
      <c r="K35" s="153" t="s">
        <v>148</v>
      </c>
      <c r="L35" s="153"/>
      <c r="M35" s="153"/>
      <c r="N35" s="153"/>
      <c r="O35" s="153"/>
      <c r="P35" s="153"/>
    </row>
    <row r="36" spans="1:16" ht="23.25" x14ac:dyDescent="0.25">
      <c r="A36" s="33"/>
      <c r="B36" s="38" t="s">
        <v>89</v>
      </c>
      <c r="C36" s="39"/>
      <c r="D36" s="204">
        <v>2900</v>
      </c>
      <c r="E36" s="6"/>
      <c r="F36" s="63"/>
      <c r="G36" s="156"/>
      <c r="H36" s="153"/>
      <c r="I36" s="153"/>
      <c r="J36" s="153"/>
      <c r="K36" s="153" t="s">
        <v>148</v>
      </c>
      <c r="L36" s="153"/>
      <c r="M36" s="153"/>
      <c r="N36" s="153"/>
      <c r="O36" s="153"/>
      <c r="P36" s="153"/>
    </row>
    <row r="37" spans="1:16" ht="23.25" x14ac:dyDescent="0.25">
      <c r="A37" s="33"/>
      <c r="B37" s="38" t="s">
        <v>35</v>
      </c>
      <c r="C37" s="39"/>
      <c r="D37" s="204">
        <v>0</v>
      </c>
      <c r="E37" s="6"/>
      <c r="F37" s="63"/>
      <c r="G37" s="156"/>
      <c r="H37" s="153"/>
      <c r="I37" s="153"/>
      <c r="J37" s="153"/>
      <c r="K37" s="153" t="s">
        <v>148</v>
      </c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91667.38</v>
      </c>
      <c r="E38" s="6"/>
      <c r="F38" s="63"/>
      <c r="G38" s="156"/>
      <c r="H38" s="153"/>
      <c r="I38" s="153"/>
      <c r="J38" s="153"/>
      <c r="K38" s="153" t="s">
        <v>148</v>
      </c>
      <c r="L38" s="153"/>
      <c r="M38" s="153"/>
      <c r="N38" s="153"/>
      <c r="O38" s="153"/>
      <c r="P38" s="153"/>
    </row>
    <row r="39" spans="1:16" ht="15" x14ac:dyDescent="0.25">
      <c r="A39" s="42"/>
      <c r="B39" s="43" t="s">
        <v>38</v>
      </c>
      <c r="C39" s="44"/>
      <c r="D39" s="204">
        <v>3124.8</v>
      </c>
      <c r="E39" s="6"/>
      <c r="F39" s="63"/>
      <c r="G39" s="156"/>
      <c r="H39" s="153"/>
      <c r="I39" s="153"/>
      <c r="J39" s="153"/>
      <c r="K39" s="153" t="s">
        <v>148</v>
      </c>
      <c r="L39" s="153"/>
      <c r="M39" s="153"/>
      <c r="N39" s="153"/>
      <c r="O39" s="153"/>
      <c r="P39" s="153"/>
    </row>
    <row r="40" spans="1:16" ht="23.25" x14ac:dyDescent="0.25">
      <c r="A40" s="42"/>
      <c r="B40" s="43" t="s">
        <v>39</v>
      </c>
      <c r="C40" s="44"/>
      <c r="D40" s="204">
        <v>11543.7</v>
      </c>
      <c r="E40" s="6"/>
      <c r="F40" s="63"/>
      <c r="G40" s="156"/>
      <c r="H40" s="153"/>
      <c r="I40" s="153"/>
      <c r="J40" s="153"/>
      <c r="K40" s="153" t="s">
        <v>148</v>
      </c>
      <c r="L40" s="153"/>
      <c r="M40" s="153"/>
      <c r="N40" s="153"/>
      <c r="O40" s="153"/>
      <c r="P40" s="153"/>
    </row>
    <row r="41" spans="1:16" ht="15" x14ac:dyDescent="0.25">
      <c r="A41" s="42"/>
      <c r="B41" s="45" t="s">
        <v>40</v>
      </c>
      <c r="C41" s="44"/>
      <c r="D41" s="204">
        <v>20380.13</v>
      </c>
      <c r="E41" s="6"/>
      <c r="F41" s="63"/>
      <c r="G41" s="156"/>
      <c r="H41" s="153"/>
      <c r="I41" s="153"/>
      <c r="J41" s="153"/>
      <c r="K41" s="153" t="s">
        <v>148</v>
      </c>
      <c r="L41" s="153"/>
      <c r="M41" s="153"/>
      <c r="N41" s="153"/>
      <c r="O41" s="153"/>
      <c r="P41" s="153"/>
    </row>
    <row r="42" spans="1:16" ht="45.75" x14ac:dyDescent="0.25">
      <c r="A42" s="31"/>
      <c r="B42" s="46" t="s">
        <v>41</v>
      </c>
      <c r="C42" s="44"/>
      <c r="D42" s="204"/>
      <c r="E42" s="6"/>
      <c r="F42" s="63"/>
      <c r="G42" s="156"/>
      <c r="H42" s="153"/>
      <c r="I42" s="153"/>
      <c r="J42" s="153"/>
      <c r="K42" s="153" t="s">
        <v>148</v>
      </c>
      <c r="L42" s="153"/>
      <c r="M42" s="153"/>
      <c r="N42" s="153"/>
      <c r="O42" s="153"/>
      <c r="P42" s="153"/>
    </row>
    <row r="43" spans="1:16" ht="23.25" x14ac:dyDescent="0.25">
      <c r="A43" s="42"/>
      <c r="B43" s="47" t="s">
        <v>134</v>
      </c>
      <c r="C43" s="44"/>
      <c r="D43" s="204">
        <v>0</v>
      </c>
      <c r="E43" s="6"/>
      <c r="F43" s="63"/>
      <c r="G43" s="156"/>
      <c r="H43" s="153"/>
      <c r="I43" s="153"/>
      <c r="J43" s="153"/>
      <c r="K43" s="153" t="s">
        <v>148</v>
      </c>
      <c r="L43" s="153"/>
      <c r="M43" s="153"/>
      <c r="N43" s="153"/>
      <c r="O43" s="153"/>
      <c r="P43" s="153"/>
    </row>
    <row r="44" spans="1:16" ht="15" x14ac:dyDescent="0.25">
      <c r="A44" s="42"/>
      <c r="B44" s="47" t="s">
        <v>91</v>
      </c>
      <c r="C44" s="44"/>
      <c r="D44" s="204">
        <v>27995.919999999998</v>
      </c>
      <c r="E44" s="6"/>
      <c r="F44" s="63"/>
      <c r="G44" s="156"/>
      <c r="H44" s="153"/>
      <c r="I44" s="153"/>
      <c r="J44" s="153"/>
      <c r="K44" s="153" t="s">
        <v>148</v>
      </c>
      <c r="L44" s="153"/>
      <c r="M44" s="153"/>
      <c r="N44" s="153"/>
      <c r="O44" s="153"/>
      <c r="P44" s="153"/>
    </row>
    <row r="45" spans="1:16" ht="15" x14ac:dyDescent="0.25">
      <c r="A45" s="29"/>
      <c r="B45" s="47" t="s">
        <v>92</v>
      </c>
      <c r="C45" s="44"/>
      <c r="D45" s="204">
        <v>2213.25</v>
      </c>
      <c r="E45" s="6"/>
      <c r="F45" s="63"/>
      <c r="G45" s="156"/>
      <c r="H45" s="153"/>
      <c r="I45" s="153"/>
      <c r="J45" s="153"/>
      <c r="K45" s="153" t="s">
        <v>148</v>
      </c>
      <c r="L45" s="153"/>
      <c r="M45" s="153"/>
      <c r="N45" s="153"/>
      <c r="O45" s="153"/>
      <c r="P45" s="153"/>
    </row>
    <row r="46" spans="1:16" ht="26.25" customHeight="1" x14ac:dyDescent="0.25">
      <c r="A46" s="42"/>
      <c r="B46" s="47" t="s">
        <v>45</v>
      </c>
      <c r="C46" s="44"/>
      <c r="D46" s="204">
        <v>26409.58</v>
      </c>
      <c r="E46" s="6"/>
      <c r="F46" s="199"/>
      <c r="G46" s="156"/>
      <c r="H46" s="153"/>
      <c r="I46" s="153"/>
      <c r="J46" s="153"/>
      <c r="K46" s="153" t="s">
        <v>148</v>
      </c>
      <c r="L46" s="153"/>
      <c r="M46" s="153"/>
      <c r="N46" s="153"/>
      <c r="O46" s="153"/>
      <c r="P46" s="153"/>
    </row>
    <row r="47" spans="1:16" ht="46.5" customHeight="1" x14ac:dyDescent="0.25">
      <c r="A47" s="12" t="s">
        <v>46</v>
      </c>
      <c r="B47" s="48" t="s">
        <v>47</v>
      </c>
      <c r="C47" s="49"/>
      <c r="D47" s="204"/>
      <c r="E47" s="6"/>
      <c r="F47" s="63"/>
      <c r="G47" s="156"/>
      <c r="H47" s="153"/>
      <c r="I47" s="153"/>
      <c r="J47" s="153"/>
      <c r="K47" s="153" t="s">
        <v>148</v>
      </c>
      <c r="L47" s="153"/>
      <c r="M47" s="153"/>
      <c r="N47" s="153"/>
      <c r="O47" s="153"/>
      <c r="P47" s="153"/>
    </row>
    <row r="48" spans="1:16" ht="15" x14ac:dyDescent="0.25">
      <c r="A48" s="49"/>
      <c r="B48" s="50" t="s">
        <v>48</v>
      </c>
      <c r="C48" s="49"/>
      <c r="D48" s="204"/>
      <c r="E48" s="6"/>
      <c r="F48" s="63"/>
      <c r="G48" s="156"/>
      <c r="H48" s="153"/>
      <c r="I48" s="153"/>
      <c r="J48" s="153"/>
      <c r="K48" s="153" t="s">
        <v>148</v>
      </c>
      <c r="L48" s="153"/>
      <c r="M48" s="153"/>
      <c r="N48" s="153"/>
      <c r="O48" s="153"/>
      <c r="P48" s="153"/>
    </row>
    <row r="49" spans="1:16" ht="26.25" x14ac:dyDescent="0.25">
      <c r="A49" s="31"/>
      <c r="B49" s="51" t="s">
        <v>49</v>
      </c>
      <c r="C49" s="20" t="s">
        <v>6</v>
      </c>
      <c r="D49" s="216">
        <f>D50+D51+D52</f>
        <v>110610.89</v>
      </c>
      <c r="E49" s="6"/>
      <c r="F49" s="63"/>
      <c r="G49" s="156"/>
      <c r="H49" s="153"/>
      <c r="I49" s="153"/>
      <c r="J49" s="153"/>
      <c r="K49" s="153" t="s">
        <v>148</v>
      </c>
      <c r="L49" s="153"/>
      <c r="M49" s="153"/>
      <c r="N49" s="153"/>
      <c r="O49" s="153"/>
      <c r="P49" s="153"/>
    </row>
    <row r="50" spans="1:16" ht="23.25" x14ac:dyDescent="0.25">
      <c r="A50" s="33"/>
      <c r="B50" s="28" t="s">
        <v>50</v>
      </c>
      <c r="C50" s="39"/>
      <c r="D50" s="204">
        <v>105768.37</v>
      </c>
      <c r="E50" s="6"/>
      <c r="F50" s="63"/>
      <c r="G50" s="156"/>
      <c r="H50" s="153"/>
      <c r="I50" s="153"/>
      <c r="J50" s="153"/>
      <c r="K50" s="153" t="s">
        <v>148</v>
      </c>
      <c r="L50" s="153"/>
      <c r="M50" s="153"/>
      <c r="N50" s="153"/>
      <c r="O50" s="153"/>
      <c r="P50" s="153"/>
    </row>
    <row r="51" spans="1:16" ht="15" x14ac:dyDescent="0.25">
      <c r="A51" s="31"/>
      <c r="B51" s="52" t="s">
        <v>51</v>
      </c>
      <c r="C51" s="39"/>
      <c r="D51" s="204">
        <v>0</v>
      </c>
      <c r="E51" s="6"/>
      <c r="F51" s="63"/>
      <c r="G51" s="156"/>
      <c r="H51" s="153"/>
      <c r="I51" s="153"/>
      <c r="J51" s="153"/>
      <c r="K51" s="153" t="s">
        <v>148</v>
      </c>
      <c r="L51" s="153"/>
      <c r="M51" s="153"/>
      <c r="N51" s="153"/>
      <c r="O51" s="153"/>
      <c r="P51" s="153"/>
    </row>
    <row r="52" spans="1:16" ht="23.25" x14ac:dyDescent="0.25">
      <c r="A52" s="31"/>
      <c r="B52" s="52" t="s">
        <v>52</v>
      </c>
      <c r="C52" s="39"/>
      <c r="D52" s="204">
        <v>4842.5200000000004</v>
      </c>
      <c r="E52" s="6"/>
      <c r="F52" s="63"/>
      <c r="G52" s="156"/>
      <c r="H52" s="153"/>
      <c r="I52" s="153"/>
      <c r="J52" s="153"/>
      <c r="K52" s="153" t="s">
        <v>148</v>
      </c>
      <c r="L52" s="153"/>
      <c r="M52" s="153"/>
      <c r="N52" s="153"/>
      <c r="O52" s="153"/>
      <c r="P52" s="153"/>
    </row>
    <row r="53" spans="1:16" ht="15" x14ac:dyDescent="0.25">
      <c r="A53" s="49"/>
      <c r="B53" s="76" t="s">
        <v>53</v>
      </c>
      <c r="C53" s="49"/>
      <c r="D53" s="204"/>
      <c r="E53" s="6"/>
      <c r="F53" s="63"/>
      <c r="G53" s="156"/>
      <c r="H53" s="153"/>
      <c r="I53" s="153"/>
      <c r="J53" s="153"/>
      <c r="K53" s="153" t="s">
        <v>148</v>
      </c>
      <c r="L53" s="153"/>
      <c r="M53" s="153"/>
      <c r="N53" s="153"/>
      <c r="O53" s="153"/>
      <c r="P53" s="153"/>
    </row>
    <row r="54" spans="1:16" ht="15" x14ac:dyDescent="0.25">
      <c r="A54" s="17"/>
      <c r="B54" s="77" t="s">
        <v>54</v>
      </c>
      <c r="C54" s="20" t="s">
        <v>6</v>
      </c>
      <c r="D54" s="216">
        <f>D55+D56+D57+D58+D59</f>
        <v>245109.86</v>
      </c>
      <c r="E54" s="6"/>
      <c r="F54" s="63"/>
      <c r="G54" s="156"/>
      <c r="H54" s="153"/>
      <c r="I54" s="153"/>
      <c r="J54" s="153"/>
      <c r="K54" s="153" t="s">
        <v>148</v>
      </c>
      <c r="L54" s="153"/>
      <c r="M54" s="153"/>
      <c r="N54" s="153"/>
      <c r="O54" s="153"/>
      <c r="P54" s="153"/>
    </row>
    <row r="55" spans="1:16" ht="15" x14ac:dyDescent="0.25">
      <c r="A55" s="17"/>
      <c r="B55" s="78" t="s">
        <v>55</v>
      </c>
      <c r="C55" s="79"/>
      <c r="D55" s="204">
        <v>41855.699999999997</v>
      </c>
      <c r="E55" s="6"/>
      <c r="F55" s="63"/>
      <c r="G55" s="156"/>
      <c r="H55" s="153"/>
      <c r="I55" s="153"/>
      <c r="J55" s="153"/>
      <c r="K55" s="153" t="s">
        <v>148</v>
      </c>
      <c r="L55" s="153"/>
      <c r="M55" s="153"/>
      <c r="N55" s="153"/>
      <c r="O55" s="153"/>
      <c r="P55" s="153"/>
    </row>
    <row r="56" spans="1:16" ht="15" x14ac:dyDescent="0.25">
      <c r="A56" s="17"/>
      <c r="B56" s="78" t="s">
        <v>56</v>
      </c>
      <c r="C56" s="39"/>
      <c r="D56" s="204">
        <v>77021.34</v>
      </c>
      <c r="E56" s="6"/>
      <c r="F56" s="63"/>
      <c r="G56" s="156"/>
      <c r="H56" s="153"/>
      <c r="I56" s="153"/>
      <c r="J56" s="153"/>
      <c r="K56" s="153" t="s">
        <v>148</v>
      </c>
      <c r="L56" s="153"/>
      <c r="M56" s="153"/>
      <c r="N56" s="153"/>
      <c r="O56" s="153"/>
      <c r="P56" s="153"/>
    </row>
    <row r="57" spans="1:16" ht="15" x14ac:dyDescent="0.25">
      <c r="A57" s="17"/>
      <c r="B57" s="78" t="s">
        <v>57</v>
      </c>
      <c r="C57" s="79"/>
      <c r="D57" s="204">
        <v>10482</v>
      </c>
      <c r="E57" s="6"/>
      <c r="F57" s="63"/>
      <c r="G57" s="156"/>
      <c r="H57" s="153"/>
      <c r="I57" s="153"/>
      <c r="J57" s="153"/>
      <c r="K57" s="153" t="s">
        <v>148</v>
      </c>
      <c r="L57" s="153"/>
      <c r="M57" s="153"/>
      <c r="N57" s="153"/>
      <c r="O57" s="153"/>
      <c r="P57" s="153"/>
    </row>
    <row r="58" spans="1:16" ht="15" x14ac:dyDescent="0.25">
      <c r="A58" s="17"/>
      <c r="B58" s="78" t="s">
        <v>59</v>
      </c>
      <c r="C58" s="39"/>
      <c r="D58" s="204">
        <v>103726.71</v>
      </c>
      <c r="E58" s="6"/>
      <c r="F58" s="63"/>
      <c r="G58" s="156"/>
      <c r="H58" s="153"/>
      <c r="I58" s="153"/>
      <c r="J58" s="153"/>
      <c r="K58" s="153" t="s">
        <v>148</v>
      </c>
      <c r="L58" s="153"/>
      <c r="M58" s="153"/>
      <c r="N58" s="153"/>
      <c r="O58" s="153"/>
      <c r="P58" s="153"/>
    </row>
    <row r="59" spans="1:16" ht="15" x14ac:dyDescent="0.25">
      <c r="A59" s="17"/>
      <c r="B59" s="28" t="s">
        <v>97</v>
      </c>
      <c r="C59" s="79"/>
      <c r="D59" s="204">
        <v>12024.11</v>
      </c>
      <c r="E59" s="6"/>
      <c r="F59" s="63"/>
      <c r="G59" s="156"/>
      <c r="H59" s="153"/>
      <c r="I59" s="153"/>
      <c r="J59" s="153"/>
      <c r="K59" s="153" t="s">
        <v>148</v>
      </c>
      <c r="L59" s="153"/>
      <c r="M59" s="153"/>
      <c r="N59" s="153"/>
      <c r="O59" s="153"/>
      <c r="P59" s="153"/>
    </row>
    <row r="60" spans="1:16" ht="15" x14ac:dyDescent="0.25">
      <c r="A60" s="33" t="s">
        <v>60</v>
      </c>
      <c r="B60" s="210" t="s">
        <v>252</v>
      </c>
      <c r="C60" s="12" t="s">
        <v>6</v>
      </c>
      <c r="D60" s="216">
        <v>10618.82</v>
      </c>
      <c r="E60" s="6"/>
      <c r="F60" s="63"/>
      <c r="G60" s="156"/>
      <c r="H60" s="153"/>
      <c r="I60" s="153"/>
      <c r="J60" s="153"/>
      <c r="K60" s="153" t="s">
        <v>148</v>
      </c>
      <c r="L60" s="153"/>
      <c r="M60" s="153"/>
      <c r="N60" s="153"/>
      <c r="O60" s="153"/>
      <c r="P60" s="153"/>
    </row>
    <row r="61" spans="1:16" ht="15" x14ac:dyDescent="0.25">
      <c r="A61" s="31" t="s">
        <v>62</v>
      </c>
      <c r="B61" s="211" t="s">
        <v>262</v>
      </c>
      <c r="C61" s="20" t="s">
        <v>6</v>
      </c>
      <c r="D61" s="216">
        <v>61958.84</v>
      </c>
      <c r="E61" s="6"/>
      <c r="F61" s="63"/>
      <c r="G61" s="156"/>
      <c r="H61" s="153"/>
      <c r="I61" s="153"/>
      <c r="J61" s="153"/>
      <c r="K61" s="153" t="s">
        <v>148</v>
      </c>
      <c r="L61" s="153"/>
      <c r="M61" s="153"/>
      <c r="N61" s="153"/>
      <c r="O61" s="153"/>
      <c r="P61" s="153"/>
    </row>
    <row r="62" spans="1:16" ht="34.5" x14ac:dyDescent="0.25">
      <c r="A62" s="31"/>
      <c r="B62" s="54" t="s">
        <v>63</v>
      </c>
      <c r="C62" s="55"/>
      <c r="D62" s="216"/>
      <c r="E62" s="6"/>
      <c r="F62" s="63"/>
      <c r="G62" s="156"/>
      <c r="H62" s="153"/>
      <c r="I62" s="153"/>
      <c r="J62" s="153"/>
      <c r="K62" s="153" t="s">
        <v>148</v>
      </c>
      <c r="L62" s="153"/>
      <c r="M62" s="153"/>
      <c r="N62" s="153"/>
      <c r="O62" s="153"/>
      <c r="P62" s="153"/>
    </row>
    <row r="63" spans="1:16" ht="48.75" x14ac:dyDescent="0.25">
      <c r="A63" s="31" t="s">
        <v>64</v>
      </c>
      <c r="B63" s="56" t="s">
        <v>65</v>
      </c>
      <c r="C63" s="20" t="s">
        <v>6</v>
      </c>
      <c r="D63" s="216">
        <v>67700</v>
      </c>
      <c r="E63" s="6"/>
      <c r="F63" s="63"/>
      <c r="G63" s="156"/>
      <c r="H63" s="153"/>
      <c r="I63" s="153"/>
      <c r="J63" s="153"/>
      <c r="K63" s="153" t="s">
        <v>148</v>
      </c>
      <c r="L63" s="153"/>
      <c r="M63" s="153"/>
      <c r="N63" s="153"/>
      <c r="O63" s="153"/>
      <c r="P63" s="153"/>
    </row>
    <row r="64" spans="1:16" ht="60.75" x14ac:dyDescent="0.25">
      <c r="A64" s="31" t="s">
        <v>66</v>
      </c>
      <c r="B64" s="57" t="s">
        <v>98</v>
      </c>
      <c r="C64" s="20" t="s">
        <v>6</v>
      </c>
      <c r="D64" s="216">
        <f>166107.19+5100</f>
        <v>171207.19</v>
      </c>
      <c r="E64" s="6"/>
      <c r="F64" s="63"/>
      <c r="G64" s="156"/>
      <c r="H64" s="153"/>
      <c r="I64" s="153"/>
      <c r="J64" s="153"/>
      <c r="K64" s="153" t="s">
        <v>148</v>
      </c>
      <c r="L64" s="153"/>
      <c r="M64" s="153"/>
      <c r="N64" s="153"/>
      <c r="O64" s="153"/>
      <c r="P64" s="153"/>
    </row>
    <row r="65" spans="1:16" ht="15" x14ac:dyDescent="0.25">
      <c r="A65" s="31" t="s">
        <v>68</v>
      </c>
      <c r="B65" s="58" t="s">
        <v>69</v>
      </c>
      <c r="C65" s="20" t="s">
        <v>6</v>
      </c>
      <c r="D65" s="218">
        <f>D16*6%</f>
        <v>59157.949199999995</v>
      </c>
      <c r="E65" s="6"/>
      <c r="F65" s="63"/>
      <c r="G65" s="156"/>
      <c r="H65" s="153"/>
      <c r="I65" s="153"/>
      <c r="J65" s="153"/>
      <c r="K65" s="153" t="s">
        <v>148</v>
      </c>
      <c r="L65" s="153"/>
      <c r="M65" s="153"/>
      <c r="N65" s="153"/>
      <c r="O65" s="153"/>
      <c r="P65" s="153"/>
    </row>
    <row r="66" spans="1:16" ht="15" x14ac:dyDescent="0.25">
      <c r="A66" s="31"/>
      <c r="B66" s="59" t="s">
        <v>70</v>
      </c>
      <c r="C66" s="20" t="s">
        <v>6</v>
      </c>
      <c r="D66" s="218">
        <f>D65+D64+D63+D61+D60+D54+D49+D38+D34+D31+D28+D24</f>
        <v>1060922.9691999999</v>
      </c>
      <c r="E66" s="6"/>
      <c r="F66" s="63"/>
      <c r="G66" s="156"/>
      <c r="H66" s="153"/>
      <c r="I66" s="153"/>
      <c r="J66" s="153"/>
      <c r="K66" s="153" t="s">
        <v>148</v>
      </c>
      <c r="L66" s="153"/>
      <c r="M66" s="153"/>
      <c r="N66" s="153"/>
      <c r="O66" s="153"/>
      <c r="P66" s="153"/>
    </row>
    <row r="67" spans="1:16" ht="15.75" x14ac:dyDescent="0.25">
      <c r="A67" s="60"/>
      <c r="B67" s="61"/>
      <c r="C67" s="62"/>
      <c r="D67" s="156"/>
      <c r="E67" s="156"/>
      <c r="F67" s="63"/>
      <c r="G67" s="156"/>
      <c r="H67" s="153"/>
      <c r="I67" s="153"/>
      <c r="J67" s="153"/>
      <c r="K67" s="153" t="s">
        <v>148</v>
      </c>
      <c r="L67" s="153"/>
      <c r="M67" s="153"/>
      <c r="N67" s="153"/>
      <c r="O67" s="153"/>
      <c r="P67" s="153"/>
    </row>
    <row r="68" spans="1:16" ht="15.75" x14ac:dyDescent="0.25">
      <c r="A68" s="60"/>
      <c r="B68" s="61" t="s">
        <v>76</v>
      </c>
      <c r="C68" s="62"/>
      <c r="D68" s="159">
        <f>D6+D16-D66</f>
        <v>96930.260800000047</v>
      </c>
      <c r="E68" s="156"/>
      <c r="F68" s="63"/>
      <c r="G68" s="156"/>
      <c r="H68" s="153"/>
      <c r="I68" s="153"/>
      <c r="J68" s="153"/>
      <c r="K68" s="153" t="s">
        <v>148</v>
      </c>
      <c r="L68" s="153"/>
      <c r="M68" s="153"/>
      <c r="N68" s="153"/>
      <c r="O68" s="153"/>
      <c r="P68" s="153"/>
    </row>
    <row r="69" spans="1:16" ht="15.75" x14ac:dyDescent="0.25">
      <c r="A69" s="60"/>
      <c r="B69" s="61"/>
      <c r="C69" s="62"/>
      <c r="D69" s="156"/>
      <c r="E69" s="155"/>
      <c r="F69" s="2"/>
      <c r="G69" s="156"/>
      <c r="H69" s="153"/>
      <c r="I69" s="153"/>
      <c r="J69" s="153"/>
      <c r="K69" s="153" t="s">
        <v>148</v>
      </c>
      <c r="L69" s="153"/>
      <c r="M69" s="153"/>
      <c r="N69" s="153"/>
      <c r="O69" s="153"/>
      <c r="P69" s="153"/>
    </row>
    <row r="70" spans="1:16" ht="15.75" x14ac:dyDescent="0.25">
      <c r="A70" s="60"/>
      <c r="B70" s="61"/>
      <c r="C70" s="62"/>
      <c r="D70" s="228"/>
      <c r="E70" s="153"/>
      <c r="G70" s="156"/>
      <c r="H70" s="153"/>
      <c r="I70" s="153"/>
      <c r="J70" s="153"/>
      <c r="K70" s="153" t="s">
        <v>148</v>
      </c>
      <c r="L70" s="153"/>
      <c r="M70" s="153"/>
      <c r="N70" s="153"/>
      <c r="O70" s="153"/>
      <c r="P70" s="153"/>
    </row>
    <row r="71" spans="1:16" x14ac:dyDescent="0.2">
      <c r="A71" s="60"/>
      <c r="B71" s="66" t="s">
        <v>72</v>
      </c>
      <c r="C71" s="66"/>
      <c r="D71" s="189" t="s">
        <v>73</v>
      </c>
      <c r="E71" s="155"/>
      <c r="G71" s="156"/>
      <c r="H71" s="153"/>
      <c r="I71" s="153"/>
      <c r="J71" s="153"/>
      <c r="K71" s="153" t="s">
        <v>148</v>
      </c>
      <c r="L71" s="153"/>
      <c r="M71" s="153"/>
      <c r="N71" s="153"/>
      <c r="O71" s="153"/>
      <c r="P71" s="153"/>
    </row>
    <row r="72" spans="1:16" x14ac:dyDescent="0.2">
      <c r="A72" s="60"/>
      <c r="B72" s="66" t="s">
        <v>74</v>
      </c>
      <c r="C72" s="66"/>
      <c r="D72" s="66" t="s">
        <v>273</v>
      </c>
      <c r="E72" s="66"/>
      <c r="G72" s="156"/>
      <c r="H72" s="153"/>
      <c r="I72" s="153"/>
      <c r="J72" s="153"/>
      <c r="K72" s="153" t="s">
        <v>148</v>
      </c>
      <c r="L72" s="153"/>
      <c r="M72" s="153"/>
      <c r="N72" s="153"/>
      <c r="O72" s="153"/>
      <c r="P72" s="153"/>
    </row>
    <row r="73" spans="1:16" ht="15" x14ac:dyDescent="0.25">
      <c r="G73" s="63"/>
      <c r="H73" s="63"/>
      <c r="L73" s="1" t="s">
        <v>148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49" workbookViewId="0">
      <selection activeCell="G22" sqref="G22:Q71"/>
    </sheetView>
  </sheetViews>
  <sheetFormatPr defaultColWidth="9" defaultRowHeight="14.25" x14ac:dyDescent="0.2"/>
  <cols>
    <col min="1" max="1" width="4.42578125" style="1" customWidth="1"/>
    <col min="2" max="2" width="38.7109375" style="1" customWidth="1"/>
    <col min="3" max="3" width="9" style="1"/>
    <col min="4" max="4" width="14.28515625" style="1" customWidth="1"/>
    <col min="5" max="5" width="11.140625" style="1" customWidth="1"/>
    <col min="6" max="6" width="9.42578125" style="1" customWidth="1"/>
    <col min="7" max="7" width="12.28515625" style="1" customWidth="1"/>
    <col min="8" max="8" width="10.42578125" style="1" customWidth="1"/>
    <col min="9" max="16384" width="9" style="1"/>
  </cols>
  <sheetData>
    <row r="1" spans="1:13" ht="15" x14ac:dyDescent="0.25">
      <c r="C1" s="2" t="s">
        <v>0</v>
      </c>
      <c r="D1" s="3"/>
    </row>
    <row r="2" spans="1:13" ht="15" customHeight="1" x14ac:dyDescent="0.2">
      <c r="A2" s="298" t="s">
        <v>111</v>
      </c>
      <c r="B2" s="298"/>
      <c r="C2" s="298"/>
      <c r="D2" s="298"/>
      <c r="E2" s="298"/>
      <c r="F2" s="298"/>
    </row>
    <row r="3" spans="1:13" ht="15" customHeight="1" x14ac:dyDescent="0.2">
      <c r="A3" s="4"/>
      <c r="B3" s="298" t="s">
        <v>203</v>
      </c>
      <c r="C3" s="298"/>
      <c r="D3" s="298"/>
      <c r="E3" s="298"/>
    </row>
    <row r="4" spans="1:13" x14ac:dyDescent="0.2">
      <c r="A4" s="4"/>
      <c r="B4" s="291"/>
      <c r="C4" s="291"/>
      <c r="D4" s="291"/>
      <c r="E4" s="291"/>
    </row>
    <row r="5" spans="1:13" x14ac:dyDescent="0.2">
      <c r="B5" s="163" t="s">
        <v>182</v>
      </c>
      <c r="C5" s="163"/>
      <c r="D5" s="163">
        <v>152112.69</v>
      </c>
    </row>
    <row r="6" spans="1:13" x14ac:dyDescent="0.2">
      <c r="A6" s="6"/>
      <c r="B6" s="164" t="s">
        <v>211</v>
      </c>
      <c r="C6" s="167" t="s">
        <v>6</v>
      </c>
      <c r="D6" s="170">
        <v>546686</v>
      </c>
      <c r="E6" s="6"/>
    </row>
    <row r="7" spans="1:13" x14ac:dyDescent="0.2">
      <c r="A7" s="6"/>
      <c r="B7" s="164"/>
      <c r="C7" s="167"/>
      <c r="D7" s="170"/>
      <c r="E7" s="6"/>
    </row>
    <row r="8" spans="1:13" x14ac:dyDescent="0.2">
      <c r="A8" s="6"/>
      <c r="B8" s="165" t="s">
        <v>2</v>
      </c>
      <c r="C8" s="167" t="s">
        <v>3</v>
      </c>
      <c r="D8" s="171">
        <v>3584.8</v>
      </c>
      <c r="E8" s="6"/>
    </row>
    <row r="9" spans="1:13" x14ac:dyDescent="0.2">
      <c r="A9" s="6"/>
      <c r="B9" s="165" t="s">
        <v>4</v>
      </c>
      <c r="C9" s="167" t="s">
        <v>3</v>
      </c>
      <c r="D9" s="171">
        <v>2519.6999999999998</v>
      </c>
      <c r="E9" s="6"/>
      <c r="I9" s="1" t="s">
        <v>148</v>
      </c>
    </row>
    <row r="10" spans="1:13" x14ac:dyDescent="0.2">
      <c r="A10" s="6"/>
      <c r="B10" s="166" t="s">
        <v>5</v>
      </c>
      <c r="C10" s="164" t="s">
        <v>6</v>
      </c>
      <c r="D10" s="170">
        <v>608796.89</v>
      </c>
      <c r="E10" s="6"/>
      <c r="I10" s="1" t="s">
        <v>148</v>
      </c>
    </row>
    <row r="11" spans="1:13" x14ac:dyDescent="0.2">
      <c r="A11" s="6"/>
      <c r="B11" s="164"/>
      <c r="C11" s="164"/>
      <c r="D11" s="171"/>
      <c r="E11" s="6"/>
      <c r="I11" s="1" t="s">
        <v>148</v>
      </c>
    </row>
    <row r="12" spans="1:13" x14ac:dyDescent="0.2">
      <c r="A12" s="6"/>
      <c r="B12" s="166" t="s">
        <v>7</v>
      </c>
      <c r="C12" s="164"/>
      <c r="D12" s="171"/>
      <c r="E12" s="6"/>
      <c r="I12" s="1" t="s">
        <v>148</v>
      </c>
    </row>
    <row r="13" spans="1:13" x14ac:dyDescent="0.2">
      <c r="A13" s="6">
        <v>1</v>
      </c>
      <c r="B13" s="167" t="s">
        <v>208</v>
      </c>
      <c r="C13" s="167" t="s">
        <v>6</v>
      </c>
      <c r="D13" s="171">
        <v>544652.92000000004</v>
      </c>
      <c r="E13" s="6"/>
      <c r="G13" s="153"/>
      <c r="H13" s="153"/>
      <c r="I13" s="153" t="s">
        <v>148</v>
      </c>
      <c r="J13" s="153"/>
      <c r="K13" s="153"/>
      <c r="L13" s="153"/>
      <c r="M13" s="153"/>
    </row>
    <row r="14" spans="1:13" x14ac:dyDescent="0.2">
      <c r="A14" s="6">
        <v>2</v>
      </c>
      <c r="B14" s="167" t="s">
        <v>106</v>
      </c>
      <c r="C14" s="167" t="s">
        <v>6</v>
      </c>
      <c r="D14" s="171">
        <v>12290.06</v>
      </c>
      <c r="E14" s="6"/>
      <c r="G14" s="153"/>
      <c r="H14" s="153"/>
      <c r="I14" s="153" t="s">
        <v>148</v>
      </c>
      <c r="J14" s="153"/>
      <c r="K14" s="153"/>
      <c r="L14" s="153"/>
      <c r="M14" s="153"/>
    </row>
    <row r="15" spans="1:13" x14ac:dyDescent="0.2">
      <c r="A15" s="6">
        <v>3</v>
      </c>
      <c r="B15" s="167" t="s">
        <v>9</v>
      </c>
      <c r="C15" s="167" t="s">
        <v>6</v>
      </c>
      <c r="D15" s="171">
        <f>3000+3150+9000</f>
        <v>15150</v>
      </c>
      <c r="E15" s="6"/>
      <c r="G15" s="153"/>
      <c r="H15" s="153"/>
      <c r="I15" s="153" t="s">
        <v>148</v>
      </c>
      <c r="J15" s="153"/>
      <c r="K15" s="153"/>
      <c r="L15" s="153"/>
      <c r="M15" s="153"/>
    </row>
    <row r="16" spans="1:13" x14ac:dyDescent="0.2">
      <c r="A16" s="6"/>
      <c r="B16" s="166" t="s">
        <v>10</v>
      </c>
      <c r="C16" s="164" t="s">
        <v>6</v>
      </c>
      <c r="D16" s="170">
        <f>D13+D14+D15</f>
        <v>572092.9800000001</v>
      </c>
      <c r="E16" s="6"/>
      <c r="G16" s="153"/>
      <c r="H16" s="153"/>
      <c r="I16" s="153" t="s">
        <v>148</v>
      </c>
      <c r="J16" s="153"/>
      <c r="K16" s="153"/>
      <c r="L16" s="153"/>
      <c r="M16" s="153"/>
    </row>
    <row r="17" spans="1:13" x14ac:dyDescent="0.2">
      <c r="A17" s="6"/>
      <c r="B17" s="7"/>
      <c r="C17" s="7"/>
      <c r="D17" s="6"/>
      <c r="E17" s="6"/>
      <c r="G17" s="153"/>
      <c r="H17" s="153"/>
      <c r="I17" s="153" t="s">
        <v>148</v>
      </c>
      <c r="J17" s="153"/>
      <c r="K17" s="153"/>
      <c r="L17" s="153"/>
      <c r="M17" s="153"/>
    </row>
    <row r="18" spans="1:13" x14ac:dyDescent="0.2">
      <c r="B18" s="5"/>
      <c r="C18" s="5"/>
      <c r="G18" s="153"/>
      <c r="H18" s="153"/>
      <c r="I18" s="153" t="s">
        <v>148</v>
      </c>
      <c r="J18" s="153"/>
      <c r="K18" s="153"/>
      <c r="L18" s="153"/>
      <c r="M18" s="153"/>
    </row>
    <row r="19" spans="1:13" x14ac:dyDescent="0.2">
      <c r="B19" s="5"/>
      <c r="C19" s="5" t="s">
        <v>11</v>
      </c>
      <c r="G19" s="153"/>
      <c r="H19" s="153"/>
      <c r="I19" s="153" t="s">
        <v>148</v>
      </c>
      <c r="J19" s="153"/>
      <c r="K19" s="153"/>
      <c r="L19" s="153"/>
      <c r="M19" s="153"/>
    </row>
    <row r="20" spans="1:13" x14ac:dyDescent="0.2">
      <c r="A20" s="13"/>
      <c r="B20" s="14"/>
      <c r="C20" s="14"/>
      <c r="D20" s="13"/>
      <c r="E20" s="13"/>
      <c r="G20" s="153"/>
      <c r="H20" s="153"/>
      <c r="I20" s="153" t="s">
        <v>148</v>
      </c>
      <c r="J20" s="153"/>
      <c r="K20" s="153"/>
      <c r="L20" s="153"/>
      <c r="M20" s="153"/>
    </row>
    <row r="21" spans="1:13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 t="s">
        <v>148</v>
      </c>
      <c r="J21" s="153"/>
      <c r="K21" s="153"/>
      <c r="L21" s="153"/>
      <c r="M21" s="153"/>
    </row>
    <row r="22" spans="1:13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19"/>
      <c r="G22" s="153"/>
      <c r="H22" s="153"/>
      <c r="I22" s="153" t="s">
        <v>148</v>
      </c>
      <c r="J22" s="153"/>
      <c r="K22" s="153"/>
      <c r="L22" s="153"/>
      <c r="M22" s="153"/>
    </row>
    <row r="23" spans="1:13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 t="s">
        <v>148</v>
      </c>
      <c r="J23" s="153"/>
      <c r="K23" s="153"/>
      <c r="L23" s="153"/>
      <c r="M23" s="153"/>
    </row>
    <row r="24" spans="1:13" ht="51" x14ac:dyDescent="0.2">
      <c r="A24" s="22"/>
      <c r="B24" s="25" t="s">
        <v>20</v>
      </c>
      <c r="C24" s="26" t="s">
        <v>6</v>
      </c>
      <c r="D24" s="216">
        <f>D25+D26+D27</f>
        <v>83584.78</v>
      </c>
      <c r="E24" s="6"/>
      <c r="G24" s="153"/>
      <c r="H24" s="153"/>
      <c r="I24" s="153" t="s">
        <v>148</v>
      </c>
      <c r="J24" s="153"/>
      <c r="K24" s="153"/>
      <c r="L24" s="153"/>
      <c r="M24" s="153"/>
    </row>
    <row r="25" spans="1:13" ht="90" x14ac:dyDescent="0.2">
      <c r="A25" s="22"/>
      <c r="B25" s="28" t="s">
        <v>21</v>
      </c>
      <c r="C25" s="29"/>
      <c r="D25" s="204">
        <f>42316+522.48</f>
        <v>42838.48</v>
      </c>
      <c r="E25" s="6"/>
      <c r="G25" s="153"/>
      <c r="H25" s="153"/>
      <c r="I25" s="153" t="s">
        <v>148</v>
      </c>
      <c r="J25" s="153"/>
      <c r="K25" s="153"/>
      <c r="L25" s="153"/>
      <c r="M25" s="153"/>
    </row>
    <row r="26" spans="1:13" ht="112.5" x14ac:dyDescent="0.2">
      <c r="A26" s="30"/>
      <c r="B26" s="28" t="s">
        <v>22</v>
      </c>
      <c r="C26" s="29"/>
      <c r="D26" s="204">
        <v>37723.300000000003</v>
      </c>
      <c r="E26" s="6"/>
      <c r="G26" s="153"/>
      <c r="H26" s="153"/>
      <c r="I26" s="153" t="s">
        <v>148</v>
      </c>
      <c r="J26" s="153"/>
      <c r="K26" s="153"/>
      <c r="L26" s="153"/>
      <c r="M26" s="153"/>
    </row>
    <row r="27" spans="1:13" ht="22.5" x14ac:dyDescent="0.2">
      <c r="A27" s="31"/>
      <c r="B27" s="40" t="s">
        <v>23</v>
      </c>
      <c r="C27" s="29"/>
      <c r="D27" s="204">
        <v>3023</v>
      </c>
      <c r="E27" s="6"/>
      <c r="G27" s="153"/>
      <c r="H27" s="153"/>
      <c r="I27" s="153" t="s">
        <v>148</v>
      </c>
      <c r="J27" s="153"/>
      <c r="K27" s="153"/>
      <c r="L27" s="153"/>
      <c r="M27" s="153"/>
    </row>
    <row r="28" spans="1:13" ht="25.5" x14ac:dyDescent="0.2">
      <c r="A28" s="22"/>
      <c r="B28" s="25" t="s">
        <v>24</v>
      </c>
      <c r="C28" s="26" t="s">
        <v>6</v>
      </c>
      <c r="D28" s="216">
        <f>D29+D30</f>
        <v>8259</v>
      </c>
      <c r="E28" s="6"/>
      <c r="G28" s="153"/>
      <c r="H28" s="153"/>
      <c r="I28" s="153" t="s">
        <v>148</v>
      </c>
      <c r="J28" s="153"/>
      <c r="K28" s="153"/>
      <c r="L28" s="153"/>
      <c r="M28" s="153"/>
    </row>
    <row r="29" spans="1:13" x14ac:dyDescent="0.2">
      <c r="A29" s="33"/>
      <c r="B29" s="70" t="s">
        <v>25</v>
      </c>
      <c r="C29" s="35"/>
      <c r="D29" s="204">
        <v>7050</v>
      </c>
      <c r="E29" s="6"/>
      <c r="G29" s="153"/>
      <c r="H29" s="153"/>
      <c r="I29" s="153" t="s">
        <v>148</v>
      </c>
      <c r="J29" s="153"/>
      <c r="K29" s="153"/>
      <c r="L29" s="153"/>
      <c r="M29" s="153"/>
    </row>
    <row r="30" spans="1:13" x14ac:dyDescent="0.2">
      <c r="A30" s="22"/>
      <c r="B30" s="70" t="s">
        <v>26</v>
      </c>
      <c r="C30" s="35"/>
      <c r="D30" s="204">
        <v>1209</v>
      </c>
      <c r="E30" s="6"/>
      <c r="G30" s="153"/>
      <c r="H30" s="153"/>
      <c r="I30" s="153" t="s">
        <v>148</v>
      </c>
      <c r="J30" s="153"/>
      <c r="K30" s="153"/>
      <c r="L30" s="153"/>
      <c r="M30" s="153"/>
    </row>
    <row r="31" spans="1:13" ht="38.25" x14ac:dyDescent="0.2">
      <c r="A31" s="22" t="s">
        <v>27</v>
      </c>
      <c r="B31" s="25" t="s">
        <v>28</v>
      </c>
      <c r="C31" s="36" t="s">
        <v>6</v>
      </c>
      <c r="D31" s="216">
        <f>D32+D33</f>
        <v>21260</v>
      </c>
      <c r="E31" s="6"/>
      <c r="G31" s="153"/>
      <c r="H31" s="153"/>
      <c r="I31" s="153" t="s">
        <v>148</v>
      </c>
      <c r="J31" s="153"/>
      <c r="K31" s="153"/>
      <c r="L31" s="153"/>
      <c r="M31" s="153"/>
    </row>
    <row r="32" spans="1:13" ht="78.75" x14ac:dyDescent="0.2">
      <c r="A32" s="37"/>
      <c r="B32" s="28" t="s">
        <v>29</v>
      </c>
      <c r="C32" s="29"/>
      <c r="D32" s="204">
        <v>21260</v>
      </c>
      <c r="E32" s="6"/>
      <c r="G32" s="153"/>
      <c r="H32" s="153"/>
      <c r="I32" s="153" t="s">
        <v>148</v>
      </c>
      <c r="J32" s="153"/>
      <c r="K32" s="153"/>
      <c r="L32" s="153"/>
      <c r="M32" s="153"/>
    </row>
    <row r="33" spans="1:13" ht="22.5" x14ac:dyDescent="0.2">
      <c r="A33" s="37"/>
      <c r="B33" s="38" t="s">
        <v>30</v>
      </c>
      <c r="C33" s="39" t="s">
        <v>149</v>
      </c>
      <c r="D33" s="204">
        <v>0</v>
      </c>
      <c r="E33" s="6"/>
      <c r="G33" s="153"/>
      <c r="H33" s="153"/>
      <c r="I33" s="153" t="s">
        <v>148</v>
      </c>
      <c r="J33" s="153"/>
      <c r="K33" s="153"/>
      <c r="L33" s="153"/>
      <c r="M33" s="153"/>
    </row>
    <row r="34" spans="1:13" ht="51" x14ac:dyDescent="0.2">
      <c r="A34" s="37" t="s">
        <v>31</v>
      </c>
      <c r="B34" s="25" t="s">
        <v>32</v>
      </c>
      <c r="C34" s="12" t="s">
        <v>6</v>
      </c>
      <c r="D34" s="216">
        <f>D35+D37+D36</f>
        <v>4420</v>
      </c>
      <c r="E34" s="6"/>
      <c r="G34" s="153"/>
      <c r="H34" s="153"/>
      <c r="I34" s="153" t="s">
        <v>148</v>
      </c>
      <c r="J34" s="153"/>
      <c r="K34" s="153"/>
      <c r="L34" s="153"/>
      <c r="M34" s="153"/>
    </row>
    <row r="35" spans="1:13" ht="33.75" x14ac:dyDescent="0.2">
      <c r="A35" s="33"/>
      <c r="B35" s="40" t="s">
        <v>33</v>
      </c>
      <c r="C35" s="39"/>
      <c r="D35" s="204">
        <v>2110</v>
      </c>
      <c r="E35" s="6"/>
      <c r="G35" s="153"/>
      <c r="H35" s="153"/>
      <c r="I35" s="153" t="s">
        <v>148</v>
      </c>
      <c r="J35" s="153"/>
      <c r="K35" s="153"/>
      <c r="L35" s="153"/>
      <c r="M35" s="153"/>
    </row>
    <row r="36" spans="1:13" ht="22.5" x14ac:dyDescent="0.2">
      <c r="A36" s="33"/>
      <c r="B36" s="38" t="s">
        <v>89</v>
      </c>
      <c r="C36" s="39"/>
      <c r="D36" s="204">
        <v>2310</v>
      </c>
      <c r="E36" s="6"/>
      <c r="G36" s="153"/>
      <c r="H36" s="153"/>
      <c r="I36" s="153" t="s">
        <v>148</v>
      </c>
      <c r="J36" s="153"/>
      <c r="K36" s="153"/>
      <c r="L36" s="153"/>
      <c r="M36" s="153"/>
    </row>
    <row r="37" spans="1:13" ht="22.5" x14ac:dyDescent="0.2">
      <c r="A37" s="31"/>
      <c r="B37" s="38" t="s">
        <v>35</v>
      </c>
      <c r="C37" s="75"/>
      <c r="D37" s="204">
        <v>0</v>
      </c>
      <c r="E37" s="6"/>
      <c r="G37" s="153"/>
      <c r="H37" s="153"/>
      <c r="I37" s="153" t="s">
        <v>148</v>
      </c>
      <c r="J37" s="153"/>
      <c r="K37" s="153"/>
      <c r="L37" s="153"/>
      <c r="M37" s="153"/>
    </row>
    <row r="38" spans="1:13" ht="15.75" x14ac:dyDescent="0.25">
      <c r="A38" s="31" t="s">
        <v>36</v>
      </c>
      <c r="B38" s="41" t="s">
        <v>37</v>
      </c>
      <c r="C38" s="20" t="s">
        <v>6</v>
      </c>
      <c r="D38" s="216">
        <f>D39+D40+D41+D43+D44</f>
        <v>44843.560000000005</v>
      </c>
      <c r="E38" s="6"/>
      <c r="G38" s="153"/>
      <c r="H38" s="153"/>
      <c r="I38" s="153" t="s">
        <v>148</v>
      </c>
      <c r="J38" s="153"/>
      <c r="K38" s="153"/>
      <c r="L38" s="153"/>
      <c r="M38" s="153"/>
    </row>
    <row r="39" spans="1:13" x14ac:dyDescent="0.2">
      <c r="A39" s="42"/>
      <c r="B39" s="43" t="s">
        <v>38</v>
      </c>
      <c r="C39" s="44"/>
      <c r="D39" s="204">
        <v>1038.24</v>
      </c>
      <c r="E39" s="6"/>
      <c r="G39" s="153"/>
      <c r="H39" s="153"/>
      <c r="I39" s="153" t="s">
        <v>148</v>
      </c>
      <c r="J39" s="153"/>
      <c r="K39" s="153"/>
      <c r="L39" s="153"/>
      <c r="M39" s="153"/>
    </row>
    <row r="40" spans="1:13" ht="22.5" x14ac:dyDescent="0.2">
      <c r="A40" s="42"/>
      <c r="B40" s="43" t="s">
        <v>39</v>
      </c>
      <c r="C40" s="44"/>
      <c r="D40" s="204">
        <v>2847.75</v>
      </c>
      <c r="E40" s="6"/>
      <c r="G40" s="153"/>
      <c r="H40" s="153"/>
      <c r="I40" s="153" t="s">
        <v>148</v>
      </c>
      <c r="J40" s="153"/>
      <c r="K40" s="153"/>
      <c r="L40" s="153"/>
      <c r="M40" s="153"/>
    </row>
    <row r="41" spans="1:13" x14ac:dyDescent="0.2">
      <c r="A41" s="42"/>
      <c r="B41" s="45" t="s">
        <v>40</v>
      </c>
      <c r="C41" s="44"/>
      <c r="D41" s="204">
        <v>11764.34</v>
      </c>
      <c r="E41" s="6"/>
      <c r="G41" s="153"/>
      <c r="H41" s="153"/>
      <c r="I41" s="153" t="s">
        <v>148</v>
      </c>
      <c r="J41" s="153"/>
      <c r="K41" s="153"/>
      <c r="L41" s="153"/>
      <c r="M41" s="153"/>
    </row>
    <row r="42" spans="1:13" ht="45" x14ac:dyDescent="0.2">
      <c r="A42" s="31"/>
      <c r="B42" s="46" t="s">
        <v>41</v>
      </c>
      <c r="C42" s="44"/>
      <c r="D42" s="204">
        <v>0</v>
      </c>
      <c r="E42" s="6"/>
      <c r="G42" s="153"/>
      <c r="H42" s="153"/>
      <c r="I42" s="153" t="s">
        <v>148</v>
      </c>
      <c r="J42" s="153"/>
      <c r="K42" s="153"/>
      <c r="L42" s="153"/>
      <c r="M42" s="153"/>
    </row>
    <row r="43" spans="1:13" x14ac:dyDescent="0.2">
      <c r="A43" s="42"/>
      <c r="B43" s="47" t="s">
        <v>42</v>
      </c>
      <c r="C43" s="44"/>
      <c r="D43" s="204">
        <v>27916.36</v>
      </c>
      <c r="E43" s="6"/>
      <c r="G43" s="153"/>
      <c r="H43" s="153"/>
      <c r="I43" s="153" t="s">
        <v>148</v>
      </c>
      <c r="J43" s="153"/>
      <c r="K43" s="153"/>
      <c r="L43" s="153"/>
      <c r="M43" s="153"/>
    </row>
    <row r="44" spans="1:13" x14ac:dyDescent="0.2">
      <c r="A44" s="29"/>
      <c r="B44" s="47" t="s">
        <v>43</v>
      </c>
      <c r="C44" s="44"/>
      <c r="D44" s="204">
        <v>1276.8699999999999</v>
      </c>
      <c r="E44" s="6"/>
      <c r="G44" s="153"/>
      <c r="H44" s="153"/>
      <c r="I44" s="153" t="s">
        <v>148</v>
      </c>
      <c r="J44" s="153"/>
      <c r="K44" s="153"/>
      <c r="L44" s="153"/>
      <c r="M44" s="153"/>
    </row>
    <row r="45" spans="1:13" ht="51" x14ac:dyDescent="0.2">
      <c r="A45" s="12" t="s">
        <v>46</v>
      </c>
      <c r="B45" s="48" t="s">
        <v>47</v>
      </c>
      <c r="C45" s="49"/>
      <c r="D45" s="204"/>
      <c r="E45" s="6"/>
      <c r="G45" s="153"/>
      <c r="H45" s="153"/>
      <c r="I45" s="153" t="s">
        <v>148</v>
      </c>
      <c r="J45" s="153"/>
      <c r="K45" s="153"/>
      <c r="L45" s="153"/>
      <c r="M45" s="153"/>
    </row>
    <row r="46" spans="1:13" x14ac:dyDescent="0.2">
      <c r="A46" s="49"/>
      <c r="B46" s="50" t="s">
        <v>48</v>
      </c>
      <c r="C46" s="49"/>
      <c r="D46" s="204"/>
      <c r="E46" s="6"/>
      <c r="G46" s="153"/>
      <c r="H46" s="153"/>
      <c r="I46" s="153" t="s">
        <v>148</v>
      </c>
      <c r="J46" s="153"/>
      <c r="K46" s="153"/>
      <c r="L46" s="153"/>
      <c r="M46" s="153"/>
    </row>
    <row r="47" spans="1:13" ht="25.5" x14ac:dyDescent="0.2">
      <c r="A47" s="31"/>
      <c r="B47" s="51" t="s">
        <v>49</v>
      </c>
      <c r="C47" s="20" t="s">
        <v>6</v>
      </c>
      <c r="D47" s="216">
        <f>D48+D49+D50</f>
        <v>54582.79</v>
      </c>
      <c r="E47" s="6"/>
      <c r="G47" s="153"/>
      <c r="H47" s="153"/>
      <c r="I47" s="153" t="s">
        <v>148</v>
      </c>
      <c r="J47" s="153"/>
      <c r="K47" s="153"/>
      <c r="L47" s="153"/>
      <c r="M47" s="153"/>
    </row>
    <row r="48" spans="1:13" ht="22.5" x14ac:dyDescent="0.2">
      <c r="A48" s="33"/>
      <c r="B48" s="28" t="s">
        <v>50</v>
      </c>
      <c r="C48" s="39"/>
      <c r="D48" s="204">
        <v>53440.15</v>
      </c>
      <c r="E48" s="6"/>
      <c r="F48" s="104"/>
      <c r="G48" s="153"/>
      <c r="H48" s="153"/>
      <c r="I48" s="153" t="s">
        <v>148</v>
      </c>
      <c r="J48" s="153"/>
      <c r="K48" s="153"/>
      <c r="L48" s="153"/>
      <c r="M48" s="153"/>
    </row>
    <row r="49" spans="1:13" x14ac:dyDescent="0.2">
      <c r="A49" s="31"/>
      <c r="B49" s="52" t="s">
        <v>51</v>
      </c>
      <c r="C49" s="75"/>
      <c r="D49" s="204">
        <v>0</v>
      </c>
      <c r="E49" s="6"/>
      <c r="G49" s="153"/>
      <c r="H49" s="153"/>
      <c r="I49" s="153" t="s">
        <v>148</v>
      </c>
      <c r="J49" s="153"/>
      <c r="K49" s="153"/>
      <c r="L49" s="153"/>
      <c r="M49" s="153"/>
    </row>
    <row r="50" spans="1:13" ht="22.5" x14ac:dyDescent="0.2">
      <c r="A50" s="31"/>
      <c r="B50" s="52" t="s">
        <v>52</v>
      </c>
      <c r="C50" s="75"/>
      <c r="D50" s="204">
        <v>1142.6400000000001</v>
      </c>
      <c r="E50" s="6"/>
      <c r="G50" s="153"/>
      <c r="H50" s="153"/>
      <c r="I50" s="153" t="s">
        <v>148</v>
      </c>
      <c r="J50" s="153"/>
      <c r="K50" s="153"/>
      <c r="L50" s="153"/>
      <c r="M50" s="153"/>
    </row>
    <row r="51" spans="1:13" x14ac:dyDescent="0.2">
      <c r="A51" s="49"/>
      <c r="B51" s="76" t="s">
        <v>53</v>
      </c>
      <c r="C51" s="49"/>
      <c r="D51" s="204"/>
      <c r="E51" s="6"/>
      <c r="G51" s="153"/>
      <c r="H51" s="153"/>
      <c r="I51" s="153" t="s">
        <v>148</v>
      </c>
      <c r="J51" s="153"/>
      <c r="K51" s="153"/>
      <c r="L51" s="153"/>
      <c r="M51" s="153"/>
    </row>
    <row r="52" spans="1:13" x14ac:dyDescent="0.2">
      <c r="A52" s="17"/>
      <c r="B52" s="77" t="s">
        <v>54</v>
      </c>
      <c r="C52" s="20" t="s">
        <v>6</v>
      </c>
      <c r="D52" s="216">
        <f>D53+D54+D55+D56+D57</f>
        <v>142733.93000000002</v>
      </c>
      <c r="E52" s="6"/>
      <c r="G52" s="153"/>
      <c r="H52" s="153"/>
      <c r="I52" s="153" t="s">
        <v>148</v>
      </c>
      <c r="J52" s="153"/>
      <c r="K52" s="153"/>
      <c r="L52" s="153"/>
      <c r="M52" s="153"/>
    </row>
    <row r="53" spans="1:13" x14ac:dyDescent="0.2">
      <c r="A53" s="17"/>
      <c r="B53" s="78" t="s">
        <v>55</v>
      </c>
      <c r="C53" s="79"/>
      <c r="D53" s="204">
        <v>21036</v>
      </c>
      <c r="E53" s="6"/>
      <c r="G53" s="153"/>
      <c r="H53" s="153"/>
      <c r="I53" s="153" t="s">
        <v>148</v>
      </c>
      <c r="J53" s="153"/>
      <c r="K53" s="153"/>
      <c r="L53" s="153"/>
      <c r="M53" s="153"/>
    </row>
    <row r="54" spans="1:13" x14ac:dyDescent="0.2">
      <c r="A54" s="17"/>
      <c r="B54" s="78" t="s">
        <v>56</v>
      </c>
      <c r="C54" s="79"/>
      <c r="D54" s="204">
        <v>39494.080000000002</v>
      </c>
      <c r="E54" s="6"/>
      <c r="G54" s="153"/>
      <c r="H54" s="153"/>
      <c r="I54" s="153" t="s">
        <v>148</v>
      </c>
      <c r="J54" s="153"/>
      <c r="K54" s="153"/>
      <c r="L54" s="153"/>
      <c r="M54" s="153"/>
    </row>
    <row r="55" spans="1:13" x14ac:dyDescent="0.2">
      <c r="A55" s="17"/>
      <c r="B55" s="78" t="s">
        <v>57</v>
      </c>
      <c r="C55" s="79"/>
      <c r="D55" s="204">
        <v>6240</v>
      </c>
      <c r="E55" s="6"/>
      <c r="G55" s="153"/>
      <c r="H55" s="153"/>
      <c r="I55" s="153" t="s">
        <v>148</v>
      </c>
      <c r="J55" s="153"/>
      <c r="K55" s="153"/>
      <c r="L55" s="153"/>
      <c r="M55" s="153"/>
    </row>
    <row r="56" spans="1:13" x14ac:dyDescent="0.2">
      <c r="A56" s="17"/>
      <c r="B56" s="78" t="s">
        <v>59</v>
      </c>
      <c r="C56" s="79"/>
      <c r="D56" s="204">
        <v>67201.62</v>
      </c>
      <c r="E56" s="6"/>
      <c r="G56" s="153"/>
      <c r="H56" s="153"/>
      <c r="I56" s="153" t="s">
        <v>148</v>
      </c>
      <c r="J56" s="153"/>
      <c r="K56" s="153"/>
      <c r="L56" s="153"/>
      <c r="M56" s="153"/>
    </row>
    <row r="57" spans="1:13" x14ac:dyDescent="0.2">
      <c r="A57" s="17"/>
      <c r="B57" s="28" t="s">
        <v>97</v>
      </c>
      <c r="C57" s="79"/>
      <c r="D57" s="204">
        <v>8762.23</v>
      </c>
      <c r="E57" s="6"/>
      <c r="G57" s="153"/>
      <c r="H57" s="153"/>
      <c r="I57" s="153" t="s">
        <v>148</v>
      </c>
      <c r="J57" s="153"/>
      <c r="K57" s="153"/>
      <c r="L57" s="153"/>
      <c r="M57" s="153"/>
    </row>
    <row r="58" spans="1:13" x14ac:dyDescent="0.2">
      <c r="A58" s="33" t="s">
        <v>60</v>
      </c>
      <c r="B58" s="210" t="s">
        <v>252</v>
      </c>
      <c r="C58" s="12" t="s">
        <v>6</v>
      </c>
      <c r="D58" s="204">
        <v>6126.21</v>
      </c>
      <c r="E58" s="6"/>
      <c r="G58" s="153"/>
      <c r="H58" s="153"/>
      <c r="I58" s="153" t="s">
        <v>148</v>
      </c>
      <c r="J58" s="153"/>
      <c r="K58" s="153"/>
      <c r="L58" s="153"/>
      <c r="M58" s="153"/>
    </row>
    <row r="59" spans="1:13" x14ac:dyDescent="0.2">
      <c r="A59" s="31" t="s">
        <v>62</v>
      </c>
      <c r="B59" s="211" t="s">
        <v>262</v>
      </c>
      <c r="C59" s="20" t="s">
        <v>6</v>
      </c>
      <c r="D59" s="216">
        <v>0</v>
      </c>
      <c r="E59" s="6"/>
      <c r="G59" s="153"/>
      <c r="H59" s="153"/>
      <c r="I59" s="153" t="s">
        <v>148</v>
      </c>
      <c r="J59" s="153"/>
      <c r="K59" s="153"/>
      <c r="L59" s="153"/>
      <c r="M59" s="153"/>
    </row>
    <row r="60" spans="1:13" ht="39" customHeight="1" x14ac:dyDescent="0.2">
      <c r="A60" s="31"/>
      <c r="B60" s="54" t="s">
        <v>63</v>
      </c>
      <c r="C60" s="55"/>
      <c r="D60" s="216"/>
      <c r="E60" s="6"/>
      <c r="G60" s="153"/>
      <c r="H60" s="153"/>
      <c r="I60" s="153" t="s">
        <v>148</v>
      </c>
      <c r="J60" s="153"/>
      <c r="K60" s="153"/>
      <c r="L60" s="153"/>
      <c r="M60" s="153"/>
    </row>
    <row r="61" spans="1:13" ht="48" x14ac:dyDescent="0.2">
      <c r="A61" s="31" t="s">
        <v>64</v>
      </c>
      <c r="B61" s="56" t="s">
        <v>65</v>
      </c>
      <c r="C61" s="55" t="s">
        <v>6</v>
      </c>
      <c r="D61" s="216">
        <v>37570.44</v>
      </c>
      <c r="E61" s="6"/>
      <c r="G61" s="153"/>
      <c r="H61" s="153"/>
      <c r="I61" s="153" t="s">
        <v>148</v>
      </c>
      <c r="J61" s="153"/>
      <c r="K61" s="153"/>
      <c r="L61" s="153"/>
      <c r="M61" s="153"/>
    </row>
    <row r="62" spans="1:13" ht="60" x14ac:dyDescent="0.2">
      <c r="A62" s="31" t="s">
        <v>66</v>
      </c>
      <c r="B62" s="57" t="s">
        <v>98</v>
      </c>
      <c r="C62" s="55" t="s">
        <v>6</v>
      </c>
      <c r="D62" s="216">
        <v>100260</v>
      </c>
      <c r="E62" s="6"/>
      <c r="G62" s="153"/>
      <c r="H62" s="153"/>
      <c r="I62" s="153" t="s">
        <v>148</v>
      </c>
      <c r="J62" s="153"/>
      <c r="K62" s="153"/>
      <c r="L62" s="153"/>
      <c r="M62" s="153"/>
    </row>
    <row r="63" spans="1:13" ht="15" x14ac:dyDescent="0.25">
      <c r="A63" s="31" t="s">
        <v>68</v>
      </c>
      <c r="B63" s="58" t="s">
        <v>69</v>
      </c>
      <c r="C63" s="55" t="s">
        <v>6</v>
      </c>
      <c r="D63" s="218">
        <f>D16*6%</f>
        <v>34325.578800000003</v>
      </c>
      <c r="E63" s="6"/>
      <c r="G63" s="153"/>
      <c r="H63" s="153"/>
      <c r="I63" s="153" t="s">
        <v>148</v>
      </c>
      <c r="J63" s="153"/>
      <c r="K63" s="153"/>
      <c r="L63" s="153"/>
      <c r="M63" s="153"/>
    </row>
    <row r="64" spans="1:13" x14ac:dyDescent="0.2">
      <c r="A64" s="31"/>
      <c r="B64" s="59" t="s">
        <v>70</v>
      </c>
      <c r="C64" s="55" t="s">
        <v>6</v>
      </c>
      <c r="D64" s="218">
        <f>D63+D62+D61+D59+D58+D52+D47+D38+D34+D31+D28+D24</f>
        <v>537966.28879999998</v>
      </c>
      <c r="E64" s="6"/>
      <c r="G64" s="153"/>
      <c r="H64" s="153"/>
      <c r="I64" s="153" t="s">
        <v>148</v>
      </c>
      <c r="J64" s="153"/>
      <c r="K64" s="153"/>
      <c r="L64" s="153"/>
      <c r="M64" s="153"/>
    </row>
    <row r="65" spans="1:13" x14ac:dyDescent="0.2">
      <c r="A65" s="60"/>
      <c r="B65" s="61"/>
      <c r="C65" s="102"/>
      <c r="D65" s="227"/>
      <c r="E65" s="158"/>
      <c r="G65" s="153"/>
      <c r="H65" s="153"/>
      <c r="I65" s="153" t="s">
        <v>148</v>
      </c>
      <c r="J65" s="153"/>
      <c r="K65" s="153"/>
      <c r="L65" s="153"/>
      <c r="M65" s="153"/>
    </row>
    <row r="66" spans="1:13" ht="15.75" x14ac:dyDescent="0.25">
      <c r="A66" s="60"/>
      <c r="B66" s="61" t="s">
        <v>116</v>
      </c>
      <c r="C66" s="62"/>
      <c r="D66" s="159">
        <f>D6+D16-D64</f>
        <v>580812.6912</v>
      </c>
      <c r="E66" s="156"/>
      <c r="G66" s="153"/>
      <c r="H66" s="153"/>
      <c r="I66" s="153" t="s">
        <v>148</v>
      </c>
      <c r="J66" s="153"/>
      <c r="K66" s="153"/>
      <c r="L66" s="153"/>
      <c r="M66" s="153"/>
    </row>
    <row r="67" spans="1:13" ht="15.75" x14ac:dyDescent="0.25">
      <c r="A67" s="60"/>
      <c r="B67" s="61"/>
      <c r="C67" s="62"/>
      <c r="D67" s="156"/>
      <c r="E67" s="156"/>
      <c r="G67" s="153"/>
      <c r="H67" s="153"/>
      <c r="I67" s="153" t="s">
        <v>148</v>
      </c>
      <c r="J67" s="153"/>
      <c r="K67" s="153"/>
      <c r="L67" s="153"/>
      <c r="M67" s="153"/>
    </row>
    <row r="68" spans="1:13" ht="15.75" x14ac:dyDescent="0.25">
      <c r="A68" s="60"/>
      <c r="B68" s="61"/>
      <c r="C68" s="62"/>
      <c r="D68" s="156"/>
      <c r="E68" s="156"/>
      <c r="G68" s="153"/>
      <c r="H68" s="153"/>
      <c r="I68" s="153" t="s">
        <v>148</v>
      </c>
      <c r="J68" s="153"/>
      <c r="K68" s="153"/>
      <c r="L68" s="153"/>
      <c r="M68" s="153"/>
    </row>
    <row r="69" spans="1:13" ht="15.75" x14ac:dyDescent="0.25">
      <c r="A69" s="60"/>
      <c r="B69" s="61"/>
      <c r="C69" s="62"/>
      <c r="D69" s="64"/>
      <c r="E69" s="63"/>
      <c r="F69" s="63"/>
      <c r="G69" s="153"/>
      <c r="H69" s="153"/>
      <c r="I69" s="153" t="s">
        <v>148</v>
      </c>
      <c r="J69" s="153"/>
      <c r="K69" s="153"/>
      <c r="L69" s="153"/>
      <c r="M69" s="153"/>
    </row>
    <row r="70" spans="1:13" ht="15.75" x14ac:dyDescent="0.25">
      <c r="A70" s="60"/>
      <c r="B70" s="61"/>
      <c r="C70" s="62"/>
      <c r="D70" s="65"/>
      <c r="G70" s="153"/>
      <c r="H70" s="153"/>
      <c r="I70" s="153" t="s">
        <v>148</v>
      </c>
      <c r="J70" s="153"/>
      <c r="K70" s="153"/>
      <c r="L70" s="153"/>
      <c r="M70" s="153"/>
    </row>
    <row r="71" spans="1:13" x14ac:dyDescent="0.2">
      <c r="A71" s="60"/>
      <c r="B71" s="1" t="s">
        <v>72</v>
      </c>
      <c r="D71" s="1" t="s">
        <v>73</v>
      </c>
      <c r="G71" s="153"/>
      <c r="H71" s="153"/>
      <c r="I71" s="153" t="s">
        <v>148</v>
      </c>
      <c r="J71" s="153"/>
      <c r="K71" s="153"/>
      <c r="L71" s="153"/>
      <c r="M71" s="153"/>
    </row>
    <row r="72" spans="1:13" x14ac:dyDescent="0.2">
      <c r="B72" s="1" t="s">
        <v>74</v>
      </c>
      <c r="D72" s="66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51" workbookViewId="0">
      <selection activeCell="G22" sqref="G22:R73"/>
    </sheetView>
  </sheetViews>
  <sheetFormatPr defaultColWidth="9" defaultRowHeight="14.25" x14ac:dyDescent="0.2"/>
  <cols>
    <col min="1" max="1" width="7" style="1" customWidth="1"/>
    <col min="2" max="2" width="36.140625" style="1" customWidth="1"/>
    <col min="3" max="3" width="9" style="1"/>
    <col min="4" max="4" width="13.140625" style="1" customWidth="1"/>
    <col min="5" max="5" width="11.7109375" style="1" customWidth="1"/>
    <col min="6" max="6" width="9" style="1"/>
    <col min="7" max="7" width="10.28515625" style="1" customWidth="1"/>
    <col min="8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204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A5" s="168"/>
      <c r="B5" s="163" t="s">
        <v>182</v>
      </c>
      <c r="C5" s="163"/>
      <c r="D5" s="163">
        <v>192156.01</v>
      </c>
    </row>
    <row r="6" spans="1:15" x14ac:dyDescent="0.2">
      <c r="A6" s="160"/>
      <c r="B6" s="164" t="s">
        <v>211</v>
      </c>
      <c r="C6" s="167" t="s">
        <v>6</v>
      </c>
      <c r="D6" s="170">
        <v>138382.89000000001</v>
      </c>
      <c r="E6" s="6"/>
    </row>
    <row r="7" spans="1:15" x14ac:dyDescent="0.2">
      <c r="A7" s="160"/>
      <c r="B7" s="164"/>
      <c r="C7" s="167"/>
      <c r="D7" s="170"/>
      <c r="E7" s="6"/>
    </row>
    <row r="8" spans="1:15" x14ac:dyDescent="0.2">
      <c r="A8" s="160"/>
      <c r="B8" s="165" t="s">
        <v>2</v>
      </c>
      <c r="C8" s="167" t="s">
        <v>3</v>
      </c>
      <c r="D8" s="171">
        <v>3732.76</v>
      </c>
      <c r="E8" s="6"/>
    </row>
    <row r="9" spans="1:15" x14ac:dyDescent="0.2">
      <c r="A9" s="160"/>
      <c r="B9" s="165" t="s">
        <v>4</v>
      </c>
      <c r="C9" s="167" t="s">
        <v>3</v>
      </c>
      <c r="D9" s="171">
        <v>2750.66</v>
      </c>
      <c r="E9" s="6"/>
    </row>
    <row r="10" spans="1:15" x14ac:dyDescent="0.2">
      <c r="A10" s="160"/>
      <c r="B10" s="166" t="s">
        <v>5</v>
      </c>
      <c r="C10" s="164" t="s">
        <v>6</v>
      </c>
      <c r="D10" s="170">
        <v>631553.05000000005</v>
      </c>
      <c r="E10" s="6"/>
    </row>
    <row r="11" spans="1:15" x14ac:dyDescent="0.2">
      <c r="A11" s="160"/>
      <c r="B11" s="164"/>
      <c r="C11" s="164"/>
      <c r="D11" s="171"/>
      <c r="E11" s="6"/>
    </row>
    <row r="12" spans="1:15" x14ac:dyDescent="0.2">
      <c r="A12" s="160"/>
      <c r="B12" s="166" t="s">
        <v>7</v>
      </c>
      <c r="C12" s="164"/>
      <c r="D12" s="171"/>
      <c r="E12" s="6"/>
    </row>
    <row r="13" spans="1:15" x14ac:dyDescent="0.2">
      <c r="A13" s="160">
        <v>1</v>
      </c>
      <c r="B13" s="167" t="s">
        <v>208</v>
      </c>
      <c r="C13" s="167" t="s">
        <v>6</v>
      </c>
      <c r="D13" s="171">
        <v>554378.98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160">
        <v>2</v>
      </c>
      <c r="B14" s="167" t="s">
        <v>9</v>
      </c>
      <c r="C14" s="167" t="s">
        <v>6</v>
      </c>
      <c r="D14" s="171">
        <f>3000+9000</f>
        <v>12000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160"/>
      <c r="B15" s="167"/>
      <c r="C15" s="167"/>
      <c r="D15" s="171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160"/>
      <c r="B16" s="166" t="s">
        <v>10</v>
      </c>
      <c r="C16" s="164" t="s">
        <v>6</v>
      </c>
      <c r="D16" s="170">
        <f>D13+D14+D15</f>
        <v>566378.98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" t="s">
        <v>12</v>
      </c>
      <c r="B21" s="16"/>
      <c r="C21" s="17" t="s">
        <v>85</v>
      </c>
      <c r="D21" s="173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" t="s">
        <v>15</v>
      </c>
      <c r="B22" s="20" t="s">
        <v>16</v>
      </c>
      <c r="C22" s="20" t="s">
        <v>87</v>
      </c>
      <c r="D22" s="173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4" x14ac:dyDescent="0.2">
      <c r="A23" s="22" t="s">
        <v>18</v>
      </c>
      <c r="B23" s="172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48" x14ac:dyDescent="0.2">
      <c r="A24" s="22"/>
      <c r="B24" s="174" t="s">
        <v>20</v>
      </c>
      <c r="C24" s="26" t="s">
        <v>6</v>
      </c>
      <c r="D24" s="216">
        <f>D25+D26+D27</f>
        <v>113129.55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4.5" customHeight="1" x14ac:dyDescent="0.2">
      <c r="A25" s="22"/>
      <c r="B25" s="28" t="s">
        <v>21</v>
      </c>
      <c r="C25" s="29"/>
      <c r="D25" s="204">
        <v>61943.23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35" x14ac:dyDescent="0.2">
      <c r="A26" s="30"/>
      <c r="B26" s="28" t="s">
        <v>22</v>
      </c>
      <c r="C26" s="29"/>
      <c r="D26" s="204">
        <f>45366+531.32</f>
        <v>45897.32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5289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7711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7050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>
        <v>0.02</v>
      </c>
      <c r="D30" s="204">
        <v>661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51" x14ac:dyDescent="0.2">
      <c r="A31" s="22" t="s">
        <v>27</v>
      </c>
      <c r="B31" s="25" t="s">
        <v>28</v>
      </c>
      <c r="C31" s="36" t="s">
        <v>6</v>
      </c>
      <c r="D31" s="216">
        <f>D32+D33</f>
        <v>22482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90" x14ac:dyDescent="0.2">
      <c r="A32" s="37"/>
      <c r="B32" s="28" t="s">
        <v>29</v>
      </c>
      <c r="C32" s="29"/>
      <c r="D32" s="204">
        <v>22482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6" x14ac:dyDescent="0.2">
      <c r="A34" s="37" t="s">
        <v>31</v>
      </c>
      <c r="B34" s="174" t="s">
        <v>32</v>
      </c>
      <c r="C34" s="12" t="s">
        <v>6</v>
      </c>
      <c r="D34" s="216">
        <f>D35+D36+D37</f>
        <v>3160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45" x14ac:dyDescent="0.2">
      <c r="A35" s="33"/>
      <c r="B35" s="40" t="s">
        <v>33</v>
      </c>
      <c r="C35" s="39"/>
      <c r="D35" s="204">
        <v>1820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204">
        <v>1340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8.5" customHeight="1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8.75" customHeight="1" x14ac:dyDescent="0.2">
      <c r="A38" s="31" t="s">
        <v>36</v>
      </c>
      <c r="B38" s="177" t="s">
        <v>37</v>
      </c>
      <c r="C38" s="20" t="s">
        <v>6</v>
      </c>
      <c r="D38" s="216">
        <f>D39+D40+D41+D43+D44+D45+D46</f>
        <v>30107.42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1080.24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2847.75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12842.68</v>
      </c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90</v>
      </c>
      <c r="C43" s="44"/>
      <c r="D43" s="204">
        <v>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642.84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2693.91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42"/>
      <c r="B46" s="47" t="s">
        <v>269</v>
      </c>
      <c r="C46" s="44"/>
      <c r="D46" s="204">
        <v>10000</v>
      </c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36" x14ac:dyDescent="0.2">
      <c r="A47" s="12" t="s">
        <v>46</v>
      </c>
      <c r="B47" s="178" t="s">
        <v>47</v>
      </c>
      <c r="C47" s="49"/>
      <c r="D47" s="204"/>
      <c r="E47" s="6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179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4" x14ac:dyDescent="0.2">
      <c r="A49" s="31"/>
      <c r="B49" s="177" t="s">
        <v>49</v>
      </c>
      <c r="C49" s="20" t="s">
        <v>6</v>
      </c>
      <c r="D49" s="216">
        <f>D50+D51+D52</f>
        <v>37272.36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34758.550000000003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2513.81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180" t="s">
        <v>53</v>
      </c>
      <c r="C53" s="49"/>
      <c r="D53" s="204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181" t="s">
        <v>54</v>
      </c>
      <c r="C54" s="20" t="s">
        <v>6</v>
      </c>
      <c r="D54" s="216">
        <f>D55+D56+D57+D58+D59</f>
        <v>137941.85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55</v>
      </c>
      <c r="C55" s="79"/>
      <c r="D55" s="217">
        <v>21741.08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56</v>
      </c>
      <c r="C56" s="39"/>
      <c r="D56" s="204">
        <v>40129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57</v>
      </c>
      <c r="C57" s="79"/>
      <c r="D57" s="204">
        <v>4900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59</v>
      </c>
      <c r="C58" s="39"/>
      <c r="D58" s="204">
        <v>61099.12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17"/>
      <c r="B59" s="28" t="s">
        <v>97</v>
      </c>
      <c r="C59" s="79"/>
      <c r="D59" s="204">
        <v>10072.65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3" t="s">
        <v>60</v>
      </c>
      <c r="B60" s="210" t="s">
        <v>252</v>
      </c>
      <c r="C60" s="12" t="s">
        <v>6</v>
      </c>
      <c r="D60" s="216">
        <v>6687.75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x14ac:dyDescent="0.2">
      <c r="A61" s="31" t="s">
        <v>62</v>
      </c>
      <c r="B61" s="211" t="s">
        <v>262</v>
      </c>
      <c r="C61" s="20" t="s">
        <v>6</v>
      </c>
      <c r="D61" s="216">
        <v>20026.57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33.75" x14ac:dyDescent="0.2">
      <c r="A62" s="31"/>
      <c r="B62" s="54" t="s">
        <v>63</v>
      </c>
      <c r="C62" s="55"/>
      <c r="D62" s="216"/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48" x14ac:dyDescent="0.2">
      <c r="A63" s="31" t="s">
        <v>64</v>
      </c>
      <c r="B63" s="182" t="s">
        <v>65</v>
      </c>
      <c r="C63" s="55" t="s">
        <v>6</v>
      </c>
      <c r="D63" s="216">
        <v>42920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60" x14ac:dyDescent="0.2">
      <c r="A64" s="31" t="s">
        <v>66</v>
      </c>
      <c r="B64" s="183" t="s">
        <v>98</v>
      </c>
      <c r="C64" s="55" t="s">
        <v>6</v>
      </c>
      <c r="D64" s="216">
        <f>105384.21+2160</f>
        <v>107544.21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 t="s">
        <v>68</v>
      </c>
      <c r="B65" s="184" t="s">
        <v>69</v>
      </c>
      <c r="C65" s="55" t="s">
        <v>6</v>
      </c>
      <c r="D65" s="218">
        <f>D16*6%</f>
        <v>33982.738799999999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x14ac:dyDescent="0.2">
      <c r="A66" s="31"/>
      <c r="B66" s="185" t="s">
        <v>70</v>
      </c>
      <c r="C66" s="55" t="s">
        <v>6</v>
      </c>
      <c r="D66" s="218">
        <f>D65+D64+D63+D61+D60+D54+D49+D38+D34+D31+D28+D24</f>
        <v>562965.44880000001</v>
      </c>
      <c r="E66" s="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/>
      <c r="C67" s="62"/>
      <c r="D67" s="156"/>
      <c r="E67" s="159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243" t="s">
        <v>116</v>
      </c>
      <c r="C68" s="62"/>
      <c r="D68" s="176">
        <f>D6+D16-D66</f>
        <v>141796.42119999998</v>
      </c>
      <c r="E68" s="64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B69" s="61"/>
      <c r="C69" s="62"/>
      <c r="D69" s="175"/>
      <c r="E69" s="64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B70" s="61"/>
      <c r="C70" s="62"/>
      <c r="D70" s="175"/>
      <c r="E70" s="64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B71" s="61"/>
      <c r="C71" s="62"/>
      <c r="D71" s="176"/>
      <c r="E71" s="63"/>
      <c r="F71" s="64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5.75" x14ac:dyDescent="0.25">
      <c r="B72" s="61"/>
      <c r="C72" s="62"/>
      <c r="D72" s="64"/>
      <c r="E72" s="63"/>
      <c r="F72" s="64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5" x14ac:dyDescent="0.25">
      <c r="B73" s="66" t="s">
        <v>72</v>
      </c>
      <c r="C73" s="66"/>
      <c r="D73" s="66" t="s">
        <v>73</v>
      </c>
      <c r="F73" s="64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x14ac:dyDescent="0.2">
      <c r="B74" s="66" t="s">
        <v>74</v>
      </c>
      <c r="C74" s="66"/>
      <c r="D74" s="66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8" workbookViewId="0">
      <selection activeCell="G21" sqref="G21:P62"/>
    </sheetView>
  </sheetViews>
  <sheetFormatPr defaultColWidth="9" defaultRowHeight="14.25" x14ac:dyDescent="0.2"/>
  <cols>
    <col min="1" max="1" width="4.7109375" style="1" customWidth="1"/>
    <col min="2" max="2" width="37.140625" style="1" customWidth="1"/>
    <col min="3" max="3" width="10.85546875" style="1" customWidth="1"/>
    <col min="4" max="4" width="15.85546875" style="1" customWidth="1"/>
    <col min="5" max="5" width="13.42578125" style="1" customWidth="1"/>
    <col min="6" max="6" width="11.140625" style="1" customWidth="1"/>
    <col min="7" max="7" width="12.140625" style="1" customWidth="1"/>
    <col min="8" max="8" width="12.85546875" style="1" customWidth="1"/>
    <col min="9" max="9" width="12.7109375" style="1" customWidth="1"/>
    <col min="10" max="10" width="9.5703125" style="1" customWidth="1"/>
    <col min="11" max="12" width="9.28515625" style="1" customWidth="1"/>
    <col min="13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</v>
      </c>
      <c r="B2" s="298"/>
      <c r="C2" s="298"/>
      <c r="D2" s="298"/>
      <c r="E2" s="298"/>
      <c r="F2" s="298"/>
    </row>
    <row r="3" spans="1:15" ht="15" customHeight="1" x14ac:dyDescent="0.2">
      <c r="A3" s="4"/>
      <c r="B3" s="298" t="s">
        <v>205</v>
      </c>
      <c r="C3" s="298"/>
      <c r="D3" s="298"/>
      <c r="E3" s="298"/>
    </row>
    <row r="4" spans="1:15" x14ac:dyDescent="0.2">
      <c r="A4" s="4"/>
      <c r="B4" s="295"/>
      <c r="C4" s="295"/>
      <c r="D4" s="295"/>
      <c r="E4" s="295"/>
    </row>
    <row r="5" spans="1:15" x14ac:dyDescent="0.2">
      <c r="B5" s="163" t="s">
        <v>182</v>
      </c>
      <c r="C5" s="5"/>
      <c r="D5" s="163">
        <v>272831.98</v>
      </c>
    </row>
    <row r="6" spans="1:15" x14ac:dyDescent="0.2">
      <c r="A6" s="6"/>
      <c r="B6" s="164" t="s">
        <v>116</v>
      </c>
      <c r="C6" s="164" t="s">
        <v>6</v>
      </c>
      <c r="D6" s="170">
        <v>-157371.32</v>
      </c>
      <c r="E6" s="6"/>
    </row>
    <row r="7" spans="1:15" x14ac:dyDescent="0.2">
      <c r="A7" s="6"/>
      <c r="B7" s="164"/>
      <c r="C7" s="164"/>
      <c r="D7" s="170"/>
      <c r="E7" s="6"/>
    </row>
    <row r="8" spans="1:15" x14ac:dyDescent="0.2">
      <c r="A8" s="6"/>
      <c r="B8" s="165" t="s">
        <v>2</v>
      </c>
      <c r="C8" s="167" t="s">
        <v>3</v>
      </c>
      <c r="D8" s="171">
        <v>2706</v>
      </c>
      <c r="E8" s="6"/>
    </row>
    <row r="9" spans="1:15" x14ac:dyDescent="0.2">
      <c r="A9" s="6"/>
      <c r="B9" s="165" t="s">
        <v>4</v>
      </c>
      <c r="C9" s="167" t="s">
        <v>3</v>
      </c>
      <c r="D9" s="171">
        <v>1826.5</v>
      </c>
      <c r="E9" s="6"/>
    </row>
    <row r="10" spans="1:15" x14ac:dyDescent="0.2">
      <c r="A10" s="6"/>
      <c r="B10" s="166" t="s">
        <v>5</v>
      </c>
      <c r="C10" s="164" t="s">
        <v>6</v>
      </c>
      <c r="D10" s="170">
        <v>381091.26</v>
      </c>
      <c r="E10" s="6"/>
    </row>
    <row r="11" spans="1:15" x14ac:dyDescent="0.2">
      <c r="A11" s="6"/>
      <c r="B11" s="164"/>
      <c r="C11" s="164"/>
      <c r="D11" s="171"/>
      <c r="E11" s="6"/>
    </row>
    <row r="12" spans="1:15" x14ac:dyDescent="0.2">
      <c r="A12" s="6"/>
      <c r="B12" s="166" t="s">
        <v>7</v>
      </c>
      <c r="C12" s="164"/>
      <c r="D12" s="171"/>
      <c r="E12" s="6"/>
    </row>
    <row r="13" spans="1:15" x14ac:dyDescent="0.2">
      <c r="A13" s="6">
        <v>1</v>
      </c>
      <c r="B13" s="167" t="s">
        <v>84</v>
      </c>
      <c r="C13" s="167" t="s">
        <v>6</v>
      </c>
      <c r="D13" s="171">
        <v>220802.72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9</v>
      </c>
      <c r="C14" s="167" t="s">
        <v>6</v>
      </c>
      <c r="D14" s="171">
        <f>1800</f>
        <v>1800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166" t="s">
        <v>10</v>
      </c>
      <c r="C15" s="164" t="s">
        <v>6</v>
      </c>
      <c r="D15" s="170">
        <f>D13+D14</f>
        <v>222602.72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4"/>
      <c r="C16" s="164"/>
      <c r="D16" s="170"/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B17" s="5"/>
      <c r="C17" s="5"/>
      <c r="D17" s="16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 t="s">
        <v>11</v>
      </c>
      <c r="D18" s="16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A19" s="13"/>
      <c r="B19" s="14"/>
      <c r="C19" s="14"/>
      <c r="D19" s="186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5" t="s">
        <v>12</v>
      </c>
      <c r="B20" s="16"/>
      <c r="C20" s="17" t="s">
        <v>100</v>
      </c>
      <c r="D20" s="173" t="s">
        <v>150</v>
      </c>
      <c r="E20" s="6" t="s">
        <v>14</v>
      </c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" t="s">
        <v>15</v>
      </c>
      <c r="B21" s="20" t="s">
        <v>16</v>
      </c>
      <c r="C21" s="20" t="s">
        <v>6</v>
      </c>
      <c r="D21" s="173" t="s">
        <v>17</v>
      </c>
      <c r="E21" s="6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25.5" x14ac:dyDescent="0.2">
      <c r="A22" s="22" t="s">
        <v>18</v>
      </c>
      <c r="B22" s="23" t="s">
        <v>88</v>
      </c>
      <c r="C22" s="24"/>
      <c r="D22" s="160"/>
      <c r="E22" s="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51" x14ac:dyDescent="0.2">
      <c r="A23" s="22"/>
      <c r="B23" s="25" t="s">
        <v>20</v>
      </c>
      <c r="C23" s="26" t="s">
        <v>6</v>
      </c>
      <c r="D23" s="216">
        <f>D24</f>
        <v>46912.32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90" customHeight="1" x14ac:dyDescent="0.2">
      <c r="A24" s="22"/>
      <c r="B24" s="28" t="s">
        <v>21</v>
      </c>
      <c r="C24" s="29"/>
      <c r="D24" s="204">
        <v>46912.32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48" customHeight="1" x14ac:dyDescent="0.2">
      <c r="A25" s="22" t="s">
        <v>27</v>
      </c>
      <c r="B25" s="25" t="s">
        <v>28</v>
      </c>
      <c r="C25" s="26" t="s">
        <v>6</v>
      </c>
      <c r="D25" s="216">
        <f>D26+D27</f>
        <v>13902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90" x14ac:dyDescent="0.2">
      <c r="A26" s="37"/>
      <c r="B26" s="28" t="s">
        <v>29</v>
      </c>
      <c r="C26" s="29"/>
      <c r="D26" s="204">
        <v>13902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7"/>
      <c r="B27" s="248" t="s">
        <v>30</v>
      </c>
      <c r="C27" s="39"/>
      <c r="D27" s="204">
        <v>0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56.1" customHeight="1" x14ac:dyDescent="0.2">
      <c r="A28" s="37" t="s">
        <v>31</v>
      </c>
      <c r="B28" s="25" t="s">
        <v>32</v>
      </c>
      <c r="C28" s="26" t="s">
        <v>6</v>
      </c>
      <c r="D28" s="216">
        <f>D29+D30+D31</f>
        <v>3752.4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35.25" customHeight="1" x14ac:dyDescent="0.2">
      <c r="A29" s="33"/>
      <c r="B29" s="250" t="s">
        <v>33</v>
      </c>
      <c r="C29" s="39"/>
      <c r="D29" s="204">
        <v>1876.2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32.25" customHeight="1" x14ac:dyDescent="0.2">
      <c r="A30" s="33"/>
      <c r="B30" s="248" t="s">
        <v>151</v>
      </c>
      <c r="C30" s="39"/>
      <c r="D30" s="204">
        <v>1876.2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24" customHeight="1" x14ac:dyDescent="0.2">
      <c r="A31" s="33"/>
      <c r="B31" s="248" t="s">
        <v>35</v>
      </c>
      <c r="C31" s="39"/>
      <c r="D31" s="204">
        <v>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5.75" x14ac:dyDescent="0.25">
      <c r="A32" s="31" t="s">
        <v>36</v>
      </c>
      <c r="B32" s="41" t="s">
        <v>37</v>
      </c>
      <c r="C32" s="26" t="s">
        <v>6</v>
      </c>
      <c r="D32" s="216">
        <f>D33+D34+D35+D37+D38</f>
        <v>9453.42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x14ac:dyDescent="0.2">
      <c r="A33" s="42"/>
      <c r="B33" s="202" t="s">
        <v>38</v>
      </c>
      <c r="C33" s="44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22.5" x14ac:dyDescent="0.2">
      <c r="A34" s="42"/>
      <c r="B34" s="202" t="s">
        <v>39</v>
      </c>
      <c r="C34" s="44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x14ac:dyDescent="0.2">
      <c r="A35" s="42"/>
      <c r="B35" s="205" t="s">
        <v>40</v>
      </c>
      <c r="C35" s="44"/>
      <c r="D35" s="204">
        <v>8527.83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45" x14ac:dyDescent="0.2">
      <c r="A36" s="31"/>
      <c r="B36" s="207" t="s">
        <v>41</v>
      </c>
      <c r="C36" s="44"/>
      <c r="D36" s="204"/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x14ac:dyDescent="0.2">
      <c r="A37" s="29"/>
      <c r="B37" s="208" t="s">
        <v>92</v>
      </c>
      <c r="C37" s="44"/>
      <c r="D37" s="204">
        <v>925.59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22.5" x14ac:dyDescent="0.2">
      <c r="A38" s="42"/>
      <c r="B38" s="208" t="s">
        <v>45</v>
      </c>
      <c r="C38" s="44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51" x14ac:dyDescent="0.2">
      <c r="A39" s="12" t="s">
        <v>46</v>
      </c>
      <c r="B39" s="48" t="s">
        <v>47</v>
      </c>
      <c r="C39" s="49"/>
      <c r="D39" s="204"/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x14ac:dyDescent="0.2">
      <c r="A40" s="49"/>
      <c r="B40" s="50" t="s">
        <v>48</v>
      </c>
      <c r="C40" s="49"/>
      <c r="D40" s="204"/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25.5" x14ac:dyDescent="0.2">
      <c r="A41" s="31"/>
      <c r="B41" s="51" t="s">
        <v>49</v>
      </c>
      <c r="C41" s="26" t="s">
        <v>6</v>
      </c>
      <c r="D41" s="216">
        <f>D42+D43+D44</f>
        <v>50123.4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22.5" x14ac:dyDescent="0.2">
      <c r="A42" s="33"/>
      <c r="B42" s="28" t="s">
        <v>50</v>
      </c>
      <c r="C42" s="39"/>
      <c r="D42" s="204">
        <v>50123.4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31"/>
      <c r="B43" s="52" t="s">
        <v>51</v>
      </c>
      <c r="C43" s="39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4.75" customHeight="1" x14ac:dyDescent="0.2">
      <c r="A44" s="31"/>
      <c r="B44" s="52" t="s">
        <v>152</v>
      </c>
      <c r="C44" s="39"/>
      <c r="D44" s="204">
        <v>0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33" t="s">
        <v>60</v>
      </c>
      <c r="B45" s="76" t="s">
        <v>53</v>
      </c>
      <c r="C45" s="49"/>
      <c r="D45" s="204"/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x14ac:dyDescent="0.2">
      <c r="A46" s="31"/>
      <c r="B46" s="77" t="s">
        <v>54</v>
      </c>
      <c r="C46" s="26" t="s">
        <v>6</v>
      </c>
      <c r="D46" s="216">
        <f>D47+D48+D49+D50</f>
        <v>144641.04999999999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31"/>
      <c r="B47" s="78" t="s">
        <v>55</v>
      </c>
      <c r="C47" s="79"/>
      <c r="D47" s="204">
        <v>52200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31"/>
      <c r="B48" s="78" t="s">
        <v>56</v>
      </c>
      <c r="C48" s="39"/>
      <c r="D48" s="204">
        <v>89717.68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31"/>
      <c r="B49" s="78" t="s">
        <v>57</v>
      </c>
      <c r="C49" s="79"/>
      <c r="D49" s="204">
        <v>0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x14ac:dyDescent="0.2">
      <c r="A50" s="31"/>
      <c r="B50" s="28" t="s">
        <v>97</v>
      </c>
      <c r="C50" s="39"/>
      <c r="D50" s="204">
        <v>2723.37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 t="s">
        <v>62</v>
      </c>
      <c r="B51" s="210" t="s">
        <v>252</v>
      </c>
      <c r="C51" s="12" t="s">
        <v>6</v>
      </c>
      <c r="D51" s="216">
        <v>4440.82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3"/>
      <c r="B52" s="211" t="s">
        <v>262</v>
      </c>
      <c r="C52" s="20" t="s">
        <v>6</v>
      </c>
      <c r="D52" s="216">
        <v>17719.62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33.75" x14ac:dyDescent="0.2">
      <c r="A53" s="31" t="s">
        <v>64</v>
      </c>
      <c r="B53" s="54" t="s">
        <v>63</v>
      </c>
      <c r="C53" s="55"/>
      <c r="D53" s="216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5" x14ac:dyDescent="0.25">
      <c r="A54" s="31" t="s">
        <v>66</v>
      </c>
      <c r="B54" s="58" t="s">
        <v>154</v>
      </c>
      <c r="C54" s="26" t="s">
        <v>6</v>
      </c>
      <c r="D54" s="216">
        <f>99911.63+14167.61</f>
        <v>114079.24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15" x14ac:dyDescent="0.25">
      <c r="A55" s="31" t="s">
        <v>68</v>
      </c>
      <c r="B55" s="58" t="s">
        <v>69</v>
      </c>
      <c r="C55" s="26" t="s">
        <v>6</v>
      </c>
      <c r="D55" s="218">
        <f>D15*6%</f>
        <v>13356.163199999999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31"/>
      <c r="B56" s="59" t="s">
        <v>70</v>
      </c>
      <c r="C56" s="26" t="s">
        <v>6</v>
      </c>
      <c r="D56" s="218">
        <f>D55+D54+D52+D51+D46+D41+D32+D28+D25+D23</f>
        <v>418380.43320000003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15.75" x14ac:dyDescent="0.25">
      <c r="A57" s="60"/>
      <c r="B57" s="61"/>
      <c r="C57" s="62"/>
      <c r="D57" s="159"/>
      <c r="E57" s="156"/>
      <c r="F57" s="6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5.75" x14ac:dyDescent="0.25">
      <c r="B58" s="61" t="s">
        <v>76</v>
      </c>
      <c r="C58" s="62"/>
      <c r="D58" s="176">
        <f>D6+D15-D56</f>
        <v>-353149.03320000006</v>
      </c>
      <c r="E58" s="63"/>
      <c r="F58" s="6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.75" x14ac:dyDescent="0.25">
      <c r="B59" s="61"/>
      <c r="C59" s="62"/>
      <c r="D59" s="187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B60" s="1" t="s">
        <v>72</v>
      </c>
      <c r="D60" s="168" t="s">
        <v>73</v>
      </c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x14ac:dyDescent="0.2">
      <c r="B61" s="1" t="s">
        <v>74</v>
      </c>
      <c r="D61" s="168" t="s">
        <v>273</v>
      </c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x14ac:dyDescent="0.2">
      <c r="D62" s="168"/>
      <c r="G62" s="153"/>
      <c r="H62" s="153"/>
      <c r="I62" s="153"/>
      <c r="J62" s="153"/>
      <c r="K62" s="153"/>
      <c r="L62" s="153"/>
      <c r="M62" s="153"/>
      <c r="N62" s="153"/>
      <c r="O62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51" workbookViewId="0">
      <selection activeCell="G22" sqref="G22:P74"/>
    </sheetView>
  </sheetViews>
  <sheetFormatPr defaultColWidth="9" defaultRowHeight="14.25" x14ac:dyDescent="0.2"/>
  <cols>
    <col min="1" max="1" width="5.7109375" style="1" customWidth="1"/>
    <col min="2" max="2" width="36.28515625" style="1" customWidth="1"/>
    <col min="3" max="3" width="11" style="1" customWidth="1"/>
    <col min="4" max="4" width="13.140625" style="1" customWidth="1"/>
    <col min="5" max="5" width="12.5703125" style="1" customWidth="1"/>
    <col min="6" max="6" width="11.42578125" style="1" customWidth="1"/>
    <col min="7" max="7" width="13.140625" style="1" customWidth="1"/>
    <col min="8" max="8" width="12.42578125" style="1" customWidth="1"/>
    <col min="9" max="10" width="13.28515625" style="1" customWidth="1"/>
    <col min="11" max="11" width="11.42578125" style="1" customWidth="1"/>
    <col min="12" max="12" width="9.28515625" style="1" customWidth="1"/>
    <col min="13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</v>
      </c>
      <c r="B2" s="298"/>
      <c r="C2" s="298"/>
      <c r="D2" s="298"/>
      <c r="E2" s="298"/>
      <c r="F2" s="298"/>
    </row>
    <row r="3" spans="1:14" ht="15" customHeight="1" x14ac:dyDescent="0.2">
      <c r="A3" s="4"/>
      <c r="B3" s="298" t="s">
        <v>206</v>
      </c>
      <c r="C3" s="298"/>
      <c r="D3" s="298"/>
      <c r="E3" s="298"/>
    </row>
    <row r="4" spans="1:14" x14ac:dyDescent="0.2">
      <c r="A4" s="4"/>
      <c r="B4" s="291"/>
      <c r="C4" s="291"/>
      <c r="D4" s="291"/>
      <c r="E4" s="291"/>
    </row>
    <row r="5" spans="1:14" x14ac:dyDescent="0.2">
      <c r="B5" s="163" t="s">
        <v>182</v>
      </c>
      <c r="C5" s="163"/>
      <c r="D5" s="163">
        <v>181782.91</v>
      </c>
      <c r="E5" s="168"/>
      <c r="F5" s="168"/>
    </row>
    <row r="6" spans="1:14" x14ac:dyDescent="0.2">
      <c r="A6" s="6"/>
      <c r="B6" s="164" t="s">
        <v>76</v>
      </c>
      <c r="C6" s="164" t="s">
        <v>6</v>
      </c>
      <c r="D6" s="170">
        <v>-82417.820000000007</v>
      </c>
      <c r="E6" s="160"/>
      <c r="F6" s="168"/>
    </row>
    <row r="7" spans="1:14" x14ac:dyDescent="0.2">
      <c r="A7" s="6"/>
      <c r="B7" s="164"/>
      <c r="C7" s="164"/>
      <c r="D7" s="170"/>
      <c r="E7" s="160"/>
      <c r="F7" s="168"/>
    </row>
    <row r="8" spans="1:14" x14ac:dyDescent="0.2">
      <c r="A8" s="6"/>
      <c r="B8" s="165"/>
      <c r="C8" s="167"/>
      <c r="D8" s="171"/>
      <c r="E8" s="160"/>
      <c r="F8" s="168"/>
    </row>
    <row r="9" spans="1:14" x14ac:dyDescent="0.2">
      <c r="A9" s="6"/>
      <c r="B9" s="165" t="s">
        <v>4</v>
      </c>
      <c r="C9" s="167" t="s">
        <v>3</v>
      </c>
      <c r="D9" s="171">
        <v>2386.8000000000002</v>
      </c>
      <c r="E9" s="160"/>
      <c r="F9" s="168"/>
      <c r="G9" s="1" t="s">
        <v>148</v>
      </c>
    </row>
    <row r="10" spans="1:14" x14ac:dyDescent="0.2">
      <c r="A10" s="6"/>
      <c r="B10" s="166" t="s">
        <v>5</v>
      </c>
      <c r="C10" s="164" t="s">
        <v>6</v>
      </c>
      <c r="D10" s="170">
        <v>576280.11</v>
      </c>
      <c r="E10" s="160"/>
      <c r="F10" s="168"/>
    </row>
    <row r="11" spans="1:14" x14ac:dyDescent="0.2">
      <c r="A11" s="6"/>
      <c r="B11" s="164"/>
      <c r="C11" s="164"/>
      <c r="D11" s="171"/>
      <c r="E11" s="160"/>
      <c r="F11" s="168"/>
    </row>
    <row r="12" spans="1:14" x14ac:dyDescent="0.2">
      <c r="A12" s="6"/>
      <c r="B12" s="166" t="s">
        <v>7</v>
      </c>
      <c r="C12" s="164"/>
      <c r="D12" s="171"/>
      <c r="E12" s="160"/>
      <c r="F12" s="168"/>
      <c r="G12" s="1" t="s">
        <v>148</v>
      </c>
    </row>
    <row r="13" spans="1:14" x14ac:dyDescent="0.2">
      <c r="A13" s="6">
        <v>1</v>
      </c>
      <c r="B13" s="167" t="s">
        <v>8</v>
      </c>
      <c r="C13" s="167" t="s">
        <v>6</v>
      </c>
      <c r="D13" s="171">
        <v>486199.22</v>
      </c>
      <c r="E13" s="160"/>
      <c r="F13" s="168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167" t="s">
        <v>9</v>
      </c>
      <c r="C14" s="167" t="s">
        <v>6</v>
      </c>
      <c r="D14" s="171">
        <f>1800+6300+3600+4524+230000</f>
        <v>246224</v>
      </c>
      <c r="E14" s="160"/>
      <c r="F14" s="168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/>
      <c r="B15" s="167"/>
      <c r="C15" s="164"/>
      <c r="D15" s="171"/>
      <c r="E15" s="160"/>
      <c r="F15" s="168"/>
      <c r="G15" s="153" t="s">
        <v>148</v>
      </c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166" t="s">
        <v>10</v>
      </c>
      <c r="C16" s="164" t="s">
        <v>6</v>
      </c>
      <c r="D16" s="170">
        <f>D13+D14+D15</f>
        <v>732423.22</v>
      </c>
      <c r="E16" s="160"/>
      <c r="F16" s="168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164"/>
      <c r="C17" s="164"/>
      <c r="D17" s="164"/>
      <c r="E17" s="160"/>
      <c r="F17" s="168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D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5"/>
      <c r="C19" s="5" t="s">
        <v>11</v>
      </c>
      <c r="D19" s="5"/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A20" s="13"/>
      <c r="B20" s="14"/>
      <c r="C20" s="14"/>
      <c r="D20" s="14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12</v>
      </c>
      <c r="B21" s="16"/>
      <c r="C21" s="17" t="s">
        <v>100</v>
      </c>
      <c r="D21" s="18" t="s">
        <v>155</v>
      </c>
      <c r="E21" s="6"/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15</v>
      </c>
      <c r="B22" s="20" t="s">
        <v>16</v>
      </c>
      <c r="C22" s="20" t="s">
        <v>6</v>
      </c>
      <c r="D22" s="18" t="s">
        <v>17</v>
      </c>
      <c r="E22" s="6"/>
      <c r="G22" s="153"/>
      <c r="H22" s="153"/>
      <c r="I22" s="153"/>
      <c r="J22" s="153"/>
      <c r="K22" s="153"/>
      <c r="L22" s="153"/>
      <c r="M22" s="153"/>
      <c r="N22" s="153"/>
    </row>
    <row r="23" spans="1:14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51" x14ac:dyDescent="0.2">
      <c r="A24" s="22"/>
      <c r="B24" s="25" t="s">
        <v>20</v>
      </c>
      <c r="C24" s="26" t="s">
        <v>6</v>
      </c>
      <c r="D24" s="216">
        <f>D25+D26+D27</f>
        <v>147730.62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90" x14ac:dyDescent="0.2">
      <c r="A25" s="22"/>
      <c r="B25" s="28" t="s">
        <v>21</v>
      </c>
      <c r="C25" s="29"/>
      <c r="D25" s="204">
        <v>34510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135" x14ac:dyDescent="0.2">
      <c r="A26" s="30"/>
      <c r="B26" s="28" t="s">
        <v>22</v>
      </c>
      <c r="C26" s="29"/>
      <c r="D26" s="204">
        <v>108623.62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2.5" x14ac:dyDescent="0.2">
      <c r="A27" s="31"/>
      <c r="B27" s="40" t="s">
        <v>23</v>
      </c>
      <c r="C27" s="69"/>
      <c r="D27" s="204">
        <v>4597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ht="25.5" x14ac:dyDescent="0.2">
      <c r="A28" s="22"/>
      <c r="B28" s="25" t="s">
        <v>24</v>
      </c>
      <c r="C28" s="26" t="s">
        <v>6</v>
      </c>
      <c r="D28" s="216">
        <f>D29+D30</f>
        <v>6672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33"/>
      <c r="B29" s="70" t="s">
        <v>25</v>
      </c>
      <c r="C29" s="35"/>
      <c r="D29" s="204">
        <v>6100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x14ac:dyDescent="0.2">
      <c r="A30" s="22"/>
      <c r="B30" s="70" t="s">
        <v>26</v>
      </c>
      <c r="C30" s="35"/>
      <c r="D30" s="204">
        <v>572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51" x14ac:dyDescent="0.2">
      <c r="A31" s="22" t="s">
        <v>27</v>
      </c>
      <c r="B31" s="25" t="s">
        <v>28</v>
      </c>
      <c r="C31" s="26" t="s">
        <v>6</v>
      </c>
      <c r="D31" s="216">
        <f>D32+D33</f>
        <v>21014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90" x14ac:dyDescent="0.2">
      <c r="A32" s="37"/>
      <c r="B32" s="28" t="s">
        <v>29</v>
      </c>
      <c r="C32" s="29"/>
      <c r="D32" s="204">
        <v>21014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51" x14ac:dyDescent="0.2">
      <c r="A34" s="37" t="s">
        <v>31</v>
      </c>
      <c r="B34" s="25" t="s">
        <v>32</v>
      </c>
      <c r="C34" s="26" t="s">
        <v>6</v>
      </c>
      <c r="D34" s="216">
        <f>D35+D36+D37</f>
        <v>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45" x14ac:dyDescent="0.2">
      <c r="A35" s="33"/>
      <c r="B35" s="40" t="s">
        <v>33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2.5" x14ac:dyDescent="0.2">
      <c r="A36" s="33"/>
      <c r="B36" s="38" t="s">
        <v>89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ht="31.5" x14ac:dyDescent="0.25">
      <c r="A38" s="31" t="s">
        <v>36</v>
      </c>
      <c r="B38" s="41" t="s">
        <v>37</v>
      </c>
      <c r="C38" s="26" t="s">
        <v>6</v>
      </c>
      <c r="D38" s="216">
        <f>D39+D40+D41+D43+D44+D45+D46</f>
        <v>17304.02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x14ac:dyDescent="0.2">
      <c r="A39" s="42"/>
      <c r="B39" s="43" t="s">
        <v>38</v>
      </c>
      <c r="C39" s="44"/>
      <c r="D39" s="204">
        <v>1588.51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ht="22.5" x14ac:dyDescent="0.2">
      <c r="A40" s="42"/>
      <c r="B40" s="43" t="s">
        <v>39</v>
      </c>
      <c r="C40" s="44"/>
      <c r="D40" s="204">
        <v>2693.25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x14ac:dyDescent="0.2">
      <c r="A41" s="42"/>
      <c r="B41" s="45" t="s">
        <v>40</v>
      </c>
      <c r="C41" s="44"/>
      <c r="D41" s="204">
        <v>11185.57</v>
      </c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x14ac:dyDescent="0.2">
      <c r="A43" s="42"/>
      <c r="B43" s="47" t="s">
        <v>109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">
      <c r="A44" s="42"/>
      <c r="B44" s="47" t="s">
        <v>91</v>
      </c>
      <c r="C44" s="44"/>
      <c r="D44" s="204">
        <v>627.16999999999996</v>
      </c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">
      <c r="A45" s="29"/>
      <c r="B45" s="47" t="s">
        <v>92</v>
      </c>
      <c r="C45" s="44"/>
      <c r="D45" s="204">
        <v>1209.52</v>
      </c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22.5" x14ac:dyDescent="0.2">
      <c r="A46" s="42"/>
      <c r="B46" s="47" t="s">
        <v>45</v>
      </c>
      <c r="C46" s="44"/>
      <c r="D46" s="204">
        <v>0</v>
      </c>
      <c r="E46" s="6"/>
      <c r="G46" s="153"/>
      <c r="H46" s="153"/>
      <c r="I46" s="153"/>
      <c r="J46" s="153"/>
      <c r="K46" s="153"/>
      <c r="L46" s="153"/>
      <c r="M46" s="153"/>
      <c r="N46" s="153"/>
    </row>
    <row r="47" spans="1:14" ht="5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5.5" x14ac:dyDescent="0.2">
      <c r="A49" s="31"/>
      <c r="B49" s="51" t="s">
        <v>49</v>
      </c>
      <c r="C49" s="26" t="s">
        <v>6</v>
      </c>
      <c r="D49" s="216">
        <f>D50+D51+D52</f>
        <v>83403.72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81689.759999999995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75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75"/>
      <c r="D52" s="204">
        <v>1713.96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49"/>
      <c r="B53" s="76" t="s">
        <v>53</v>
      </c>
      <c r="C53" s="49"/>
      <c r="D53" s="204"/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x14ac:dyDescent="0.2">
      <c r="A54" s="17"/>
      <c r="B54" s="77" t="s">
        <v>54</v>
      </c>
      <c r="C54" s="26" t="s">
        <v>6</v>
      </c>
      <c r="D54" s="216">
        <f>D55+D56+D57+D58</f>
        <v>138665.62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x14ac:dyDescent="0.2">
      <c r="A55" s="17"/>
      <c r="B55" s="78" t="s">
        <v>55</v>
      </c>
      <c r="C55" s="79"/>
      <c r="D55" s="204">
        <v>20146</v>
      </c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x14ac:dyDescent="0.2">
      <c r="A56" s="17"/>
      <c r="B56" s="78" t="s">
        <v>56</v>
      </c>
      <c r="C56" s="39"/>
      <c r="D56" s="204">
        <v>46472.09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x14ac:dyDescent="0.2">
      <c r="A57" s="17"/>
      <c r="B57" s="78" t="s">
        <v>57</v>
      </c>
      <c r="C57" s="79"/>
      <c r="D57" s="204">
        <v>5720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x14ac:dyDescent="0.2">
      <c r="A58" s="17"/>
      <c r="B58" s="78" t="s">
        <v>59</v>
      </c>
      <c r="C58" s="39"/>
      <c r="D58" s="204">
        <v>66327.53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33" t="s">
        <v>60</v>
      </c>
      <c r="B59" s="210" t="s">
        <v>252</v>
      </c>
      <c r="C59" s="12" t="s">
        <v>6</v>
      </c>
      <c r="D59" s="216">
        <v>5803.09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x14ac:dyDescent="0.2">
      <c r="A60" s="31" t="s">
        <v>62</v>
      </c>
      <c r="B60" s="211" t="s">
        <v>262</v>
      </c>
      <c r="C60" s="20" t="s">
        <v>6</v>
      </c>
      <c r="D60" s="216">
        <v>123736.59</v>
      </c>
      <c r="E60" s="6"/>
      <c r="G60" s="153"/>
      <c r="H60" s="153"/>
      <c r="I60" s="153"/>
      <c r="J60" s="153"/>
      <c r="K60" s="153"/>
      <c r="L60" s="153"/>
      <c r="M60" s="153"/>
      <c r="N60" s="153"/>
    </row>
    <row r="61" spans="1:14" ht="33.75" x14ac:dyDescent="0.2">
      <c r="A61" s="31"/>
      <c r="B61" s="54" t="s">
        <v>63</v>
      </c>
      <c r="C61" s="55"/>
      <c r="D61" s="216"/>
      <c r="E61" s="6"/>
      <c r="G61" s="153"/>
      <c r="H61" s="153"/>
      <c r="I61" s="153"/>
      <c r="J61" s="153"/>
      <c r="K61" s="153"/>
      <c r="L61" s="153"/>
      <c r="M61" s="153"/>
      <c r="N61" s="153"/>
    </row>
    <row r="62" spans="1:14" ht="48" x14ac:dyDescent="0.2">
      <c r="A62" s="31" t="s">
        <v>64</v>
      </c>
      <c r="B62" s="56" t="s">
        <v>65</v>
      </c>
      <c r="C62" s="26" t="s">
        <v>6</v>
      </c>
      <c r="D62" s="216">
        <v>36370</v>
      </c>
      <c r="E62" s="6"/>
      <c r="G62" s="153"/>
      <c r="H62" s="153"/>
      <c r="I62" s="153"/>
      <c r="J62" s="153"/>
      <c r="K62" s="153"/>
      <c r="L62" s="153"/>
      <c r="M62" s="153"/>
      <c r="N62" s="153"/>
    </row>
    <row r="63" spans="1:14" ht="60" x14ac:dyDescent="0.2">
      <c r="A63" s="31" t="s">
        <v>66</v>
      </c>
      <c r="B63" s="57" t="s">
        <v>98</v>
      </c>
      <c r="C63" s="26" t="s">
        <v>6</v>
      </c>
      <c r="D63" s="216">
        <v>94190.67</v>
      </c>
      <c r="E63" s="6"/>
      <c r="G63" s="153"/>
      <c r="H63" s="153"/>
      <c r="I63" s="153"/>
      <c r="J63" s="153"/>
      <c r="K63" s="153"/>
      <c r="L63" s="153"/>
      <c r="M63" s="153"/>
      <c r="N63" s="153"/>
    </row>
    <row r="64" spans="1:14" ht="15" x14ac:dyDescent="0.25">
      <c r="A64" s="31" t="s">
        <v>68</v>
      </c>
      <c r="B64" s="58" t="s">
        <v>69</v>
      </c>
      <c r="C64" s="26" t="s">
        <v>6</v>
      </c>
      <c r="D64" s="218">
        <f>D16*6%</f>
        <v>43945.393199999999</v>
      </c>
      <c r="E64" s="6"/>
      <c r="G64" s="153"/>
      <c r="H64" s="153"/>
      <c r="I64" s="153"/>
      <c r="J64" s="153"/>
      <c r="K64" s="153"/>
      <c r="L64" s="153"/>
      <c r="M64" s="153"/>
      <c r="N64" s="153"/>
    </row>
    <row r="65" spans="1:14" x14ac:dyDescent="0.2">
      <c r="A65" s="31"/>
      <c r="B65" s="59" t="s">
        <v>70</v>
      </c>
      <c r="C65" s="26" t="s">
        <v>6</v>
      </c>
      <c r="D65" s="218">
        <f>D64+D63+D62+D60+D59+D54+D49+D38+D34+D31+D28+D24</f>
        <v>718835.72320000001</v>
      </c>
      <c r="E65" s="6"/>
      <c r="G65" s="153"/>
      <c r="H65" s="153"/>
      <c r="I65" s="153"/>
      <c r="J65" s="153"/>
      <c r="K65" s="153"/>
      <c r="L65" s="153"/>
      <c r="M65" s="153"/>
      <c r="N65" s="153"/>
    </row>
    <row r="66" spans="1:14" ht="15.75" x14ac:dyDescent="0.25">
      <c r="A66" s="60"/>
      <c r="B66" s="61"/>
      <c r="C66" s="62"/>
      <c r="D66" s="159"/>
      <c r="E66" s="153"/>
      <c r="G66" s="153"/>
      <c r="H66" s="153"/>
      <c r="I66" s="153"/>
      <c r="J66" s="153"/>
      <c r="K66" s="153"/>
      <c r="L66" s="153"/>
      <c r="M66" s="153"/>
      <c r="N66" s="153"/>
    </row>
    <row r="67" spans="1:14" ht="15.75" x14ac:dyDescent="0.25">
      <c r="A67" s="60"/>
      <c r="B67" s="61" t="s">
        <v>76</v>
      </c>
      <c r="C67" s="62"/>
      <c r="D67" s="159">
        <f>D6+D16-D65</f>
        <v>-68830.323200000101</v>
      </c>
      <c r="E67" s="153"/>
      <c r="G67" s="153"/>
      <c r="H67" s="153"/>
      <c r="I67" s="153"/>
      <c r="J67" s="153"/>
      <c r="K67" s="153"/>
      <c r="L67" s="153"/>
      <c r="M67" s="153"/>
      <c r="N67" s="153"/>
    </row>
    <row r="68" spans="1:14" ht="15.75" x14ac:dyDescent="0.25">
      <c r="A68" s="60"/>
      <c r="B68" s="61"/>
      <c r="C68" s="62"/>
      <c r="D68" s="64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A69" s="60"/>
      <c r="B69" s="61"/>
      <c r="C69" s="62"/>
      <c r="D69" s="65"/>
      <c r="G69" s="153"/>
      <c r="H69" s="153"/>
      <c r="I69" s="153"/>
      <c r="J69" s="153"/>
      <c r="K69" s="153"/>
      <c r="L69" s="153"/>
      <c r="M69" s="153"/>
      <c r="N69" s="153"/>
    </row>
    <row r="70" spans="1:14" x14ac:dyDescent="0.2">
      <c r="A70" s="60"/>
      <c r="B70" s="66" t="s">
        <v>72</v>
      </c>
      <c r="C70" s="66"/>
      <c r="D70" s="66" t="s">
        <v>73</v>
      </c>
      <c r="G70" s="153"/>
      <c r="H70" s="153"/>
      <c r="I70" s="153"/>
      <c r="J70" s="153"/>
      <c r="K70" s="153"/>
      <c r="L70" s="153"/>
      <c r="M70" s="153"/>
      <c r="N70" s="153"/>
    </row>
    <row r="71" spans="1:14" x14ac:dyDescent="0.2">
      <c r="B71" s="66" t="s">
        <v>74</v>
      </c>
      <c r="C71" s="66"/>
      <c r="D71" s="189" t="s">
        <v>273</v>
      </c>
      <c r="G71" s="153"/>
      <c r="H71" s="153"/>
      <c r="I71" s="153"/>
      <c r="J71" s="153"/>
      <c r="K71" s="153"/>
      <c r="L71" s="153"/>
      <c r="M71" s="153"/>
      <c r="N71" s="153"/>
    </row>
    <row r="72" spans="1:14" x14ac:dyDescent="0.2">
      <c r="G72" s="153"/>
      <c r="H72" s="153"/>
      <c r="I72" s="153"/>
      <c r="J72" s="153"/>
      <c r="K72" s="153"/>
      <c r="L72" s="153"/>
      <c r="M72" s="153"/>
      <c r="N72" s="153"/>
    </row>
    <row r="73" spans="1:14" x14ac:dyDescent="0.2">
      <c r="G73" s="153"/>
      <c r="H73" s="153"/>
      <c r="I73" s="153"/>
      <c r="J73" s="153"/>
      <c r="K73" s="153"/>
      <c r="L73" s="153"/>
      <c r="M73" s="153"/>
      <c r="N73" s="153"/>
    </row>
    <row r="74" spans="1:14" x14ac:dyDescent="0.2">
      <c r="G74" s="153"/>
      <c r="H74" s="153"/>
      <c r="I74" s="153"/>
      <c r="J74" s="153"/>
      <c r="K74" s="153"/>
      <c r="L74" s="153"/>
      <c r="M74" s="153"/>
      <c r="N74" s="153"/>
    </row>
    <row r="75" spans="1:14" x14ac:dyDescent="0.2">
      <c r="I75" s="104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5" workbookViewId="0">
      <selection activeCell="P60" sqref="P60"/>
    </sheetView>
  </sheetViews>
  <sheetFormatPr defaultColWidth="9" defaultRowHeight="14.25" x14ac:dyDescent="0.2"/>
  <cols>
    <col min="1" max="1" width="5.85546875" style="1" customWidth="1"/>
    <col min="2" max="2" width="35.42578125" style="1" customWidth="1"/>
    <col min="3" max="3" width="9" style="1"/>
    <col min="4" max="4" width="13.5703125" style="1" customWidth="1"/>
    <col min="5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111</v>
      </c>
      <c r="B2" s="298"/>
      <c r="C2" s="298"/>
      <c r="D2" s="298"/>
      <c r="E2" s="298"/>
      <c r="F2" s="298"/>
    </row>
    <row r="3" spans="1:14" ht="15" customHeight="1" x14ac:dyDescent="0.2">
      <c r="A3" s="4"/>
      <c r="B3" s="298" t="s">
        <v>207</v>
      </c>
      <c r="C3" s="298"/>
      <c r="D3" s="298"/>
      <c r="E3" s="298"/>
    </row>
    <row r="4" spans="1:14" x14ac:dyDescent="0.2">
      <c r="A4" s="4"/>
      <c r="B4" s="291"/>
      <c r="C4" s="291"/>
      <c r="D4" s="291"/>
      <c r="E4" s="291"/>
    </row>
    <row r="5" spans="1:14" x14ac:dyDescent="0.2">
      <c r="A5" s="168"/>
      <c r="B5" s="163" t="s">
        <v>182</v>
      </c>
      <c r="C5" s="163"/>
      <c r="D5" s="163">
        <v>227883.27</v>
      </c>
      <c r="E5" s="168"/>
    </row>
    <row r="6" spans="1:14" x14ac:dyDescent="0.2">
      <c r="A6" s="160"/>
      <c r="B6" s="164" t="s">
        <v>211</v>
      </c>
      <c r="C6" s="167" t="s">
        <v>6</v>
      </c>
      <c r="D6" s="170">
        <v>-170300.37</v>
      </c>
      <c r="E6" s="160"/>
    </row>
    <row r="7" spans="1:14" x14ac:dyDescent="0.2">
      <c r="A7" s="160"/>
      <c r="B7" s="164"/>
      <c r="C7" s="167"/>
      <c r="D7" s="170"/>
      <c r="E7" s="160"/>
    </row>
    <row r="8" spans="1:14" x14ac:dyDescent="0.2">
      <c r="A8" s="160"/>
      <c r="B8" s="165" t="s">
        <v>2</v>
      </c>
      <c r="C8" s="167" t="s">
        <v>3</v>
      </c>
      <c r="D8" s="171">
        <v>5024</v>
      </c>
      <c r="E8" s="160"/>
    </row>
    <row r="9" spans="1:14" x14ac:dyDescent="0.2">
      <c r="A9" s="160"/>
      <c r="B9" s="165" t="s">
        <v>4</v>
      </c>
      <c r="C9" s="167" t="s">
        <v>3</v>
      </c>
      <c r="D9" s="171">
        <v>2765.5</v>
      </c>
      <c r="E9" s="160"/>
    </row>
    <row r="10" spans="1:14" x14ac:dyDescent="0.2">
      <c r="A10" s="160"/>
      <c r="B10" s="166" t="s">
        <v>5</v>
      </c>
      <c r="C10" s="164" t="s">
        <v>6</v>
      </c>
      <c r="D10" s="170">
        <v>474171.91</v>
      </c>
      <c r="E10" s="160"/>
    </row>
    <row r="11" spans="1:14" x14ac:dyDescent="0.2">
      <c r="A11" s="160"/>
      <c r="B11" s="164"/>
      <c r="C11" s="164"/>
      <c r="D11" s="171"/>
      <c r="E11" s="160"/>
    </row>
    <row r="12" spans="1:14" x14ac:dyDescent="0.2">
      <c r="A12" s="160"/>
      <c r="B12" s="166" t="s">
        <v>7</v>
      </c>
      <c r="C12" s="164"/>
      <c r="D12" s="171"/>
      <c r="E12" s="160"/>
    </row>
    <row r="13" spans="1:14" x14ac:dyDescent="0.2">
      <c r="A13" s="160">
        <v>1</v>
      </c>
      <c r="B13" s="167" t="s">
        <v>216</v>
      </c>
      <c r="C13" s="167" t="s">
        <v>6</v>
      </c>
      <c r="D13" s="171">
        <v>413236.39</v>
      </c>
      <c r="E13" s="160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160">
        <v>2</v>
      </c>
      <c r="B14" s="167" t="s">
        <v>9</v>
      </c>
      <c r="C14" s="167" t="s">
        <v>6</v>
      </c>
      <c r="D14" s="171">
        <f>3000+9000</f>
        <v>12000</v>
      </c>
      <c r="E14" s="160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160"/>
      <c r="B15" s="166" t="s">
        <v>10</v>
      </c>
      <c r="C15" s="164" t="s">
        <v>6</v>
      </c>
      <c r="D15" s="170">
        <f>D13+D14</f>
        <v>425236.39</v>
      </c>
      <c r="E15" s="160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</row>
    <row r="20" spans="1:14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</row>
    <row r="22" spans="1:14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</row>
    <row r="23" spans="1:14" ht="54.75" customHeight="1" x14ac:dyDescent="0.2">
      <c r="A23" s="22"/>
      <c r="B23" s="25" t="s">
        <v>20</v>
      </c>
      <c r="C23" s="26" t="s">
        <v>6</v>
      </c>
      <c r="D23" s="216">
        <f>D24+D25+D26</f>
        <v>162883.69</v>
      </c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92.1" customHeight="1" x14ac:dyDescent="0.2">
      <c r="A24" s="22"/>
      <c r="B24" s="28" t="s">
        <v>21</v>
      </c>
      <c r="C24" s="29"/>
      <c r="D24" s="204">
        <f>74801.76+1891.93</f>
        <v>76693.689999999988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136.5" customHeight="1" x14ac:dyDescent="0.2">
      <c r="A25" s="30"/>
      <c r="B25" s="28" t="s">
        <v>22</v>
      </c>
      <c r="C25" s="29"/>
      <c r="D25" s="204">
        <f>79544+2000</f>
        <v>81544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22.5" x14ac:dyDescent="0.2">
      <c r="A26" s="31"/>
      <c r="B26" s="40" t="s">
        <v>23</v>
      </c>
      <c r="C26" s="29"/>
      <c r="D26" s="204">
        <v>4646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5.5" x14ac:dyDescent="0.2">
      <c r="A27" s="22"/>
      <c r="B27" s="25" t="s">
        <v>24</v>
      </c>
      <c r="C27" s="26" t="s">
        <v>6</v>
      </c>
      <c r="D27" s="216">
        <f>D28+D29</f>
        <v>6271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x14ac:dyDescent="0.2">
      <c r="A28" s="33"/>
      <c r="B28" s="70" t="s">
        <v>25</v>
      </c>
      <c r="C28" s="35"/>
      <c r="D28" s="204">
        <v>4944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22"/>
      <c r="B29" s="70" t="s">
        <v>26</v>
      </c>
      <c r="C29" s="35"/>
      <c r="D29" s="204">
        <v>1327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ht="51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20000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90" customHeight="1" x14ac:dyDescent="0.2">
      <c r="A31" s="37"/>
      <c r="B31" s="28" t="s">
        <v>29</v>
      </c>
      <c r="C31" s="29"/>
      <c r="D31" s="204">
        <v>20000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26.1" customHeight="1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51" x14ac:dyDescent="0.2">
      <c r="A33" s="37" t="s">
        <v>31</v>
      </c>
      <c r="B33" s="25" t="s">
        <v>32</v>
      </c>
      <c r="C33" s="12" t="s">
        <v>6</v>
      </c>
      <c r="D33" s="216">
        <f>D34+D35+D36</f>
        <v>2420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45" x14ac:dyDescent="0.2">
      <c r="A34" s="33"/>
      <c r="B34" s="40" t="s">
        <v>33</v>
      </c>
      <c r="C34" s="39"/>
      <c r="D34" s="204">
        <v>720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33.75" x14ac:dyDescent="0.2">
      <c r="A35" s="33"/>
      <c r="B35" s="38" t="s">
        <v>151</v>
      </c>
      <c r="C35" s="39"/>
      <c r="D35" s="204">
        <v>1700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2.5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31.5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71659.710000000006</v>
      </c>
      <c r="E37" s="6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x14ac:dyDescent="0.2">
      <c r="A38" s="42"/>
      <c r="B38" s="43" t="s">
        <v>38</v>
      </c>
      <c r="C38" s="44"/>
      <c r="D38" s="204">
        <v>2000.88</v>
      </c>
      <c r="E38" s="6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ht="22.5" x14ac:dyDescent="0.2">
      <c r="A39" s="42"/>
      <c r="B39" s="43" t="s">
        <v>39</v>
      </c>
      <c r="C39" s="44"/>
      <c r="D39" s="204">
        <v>30217.75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4" x14ac:dyDescent="0.2">
      <c r="A40" s="42"/>
      <c r="B40" s="45" t="s">
        <v>40</v>
      </c>
      <c r="C40" s="44"/>
      <c r="D40" s="204">
        <v>12911.97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45" x14ac:dyDescent="0.2">
      <c r="A41" s="31"/>
      <c r="B41" s="46" t="s">
        <v>41</v>
      </c>
      <c r="C41" s="44"/>
      <c r="D41" s="204"/>
      <c r="E41" s="6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4" x14ac:dyDescent="0.2">
      <c r="A42" s="42"/>
      <c r="B42" s="47" t="s">
        <v>90</v>
      </c>
      <c r="C42" s="44"/>
      <c r="D42" s="204">
        <v>0</v>
      </c>
      <c r="E42" s="6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x14ac:dyDescent="0.2">
      <c r="A43" s="42"/>
      <c r="B43" s="47" t="s">
        <v>91</v>
      </c>
      <c r="C43" s="44"/>
      <c r="D43" s="204">
        <v>643.48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">
      <c r="A44" s="29"/>
      <c r="B44" s="47" t="s">
        <v>92</v>
      </c>
      <c r="C44" s="44"/>
      <c r="D44" s="204">
        <v>4001.43</v>
      </c>
      <c r="E44" s="6"/>
      <c r="F44" s="153" t="s">
        <v>248</v>
      </c>
      <c r="G44" s="153"/>
      <c r="H44" s="153"/>
      <c r="I44" s="153"/>
      <c r="J44" s="153"/>
      <c r="K44" s="153"/>
      <c r="L44" s="153"/>
      <c r="M44" s="153"/>
      <c r="N44" s="153"/>
    </row>
    <row r="45" spans="1:14" ht="22.5" x14ac:dyDescent="0.2">
      <c r="A45" s="42"/>
      <c r="B45" s="47" t="s">
        <v>45</v>
      </c>
      <c r="C45" s="44"/>
      <c r="D45" s="204">
        <v>21884.2</v>
      </c>
      <c r="E45" s="6"/>
      <c r="F45" s="153" t="s">
        <v>247</v>
      </c>
      <c r="G45" s="153"/>
      <c r="H45" s="153"/>
      <c r="I45" s="153"/>
      <c r="J45" s="153"/>
      <c r="K45" s="153"/>
      <c r="L45" s="153"/>
      <c r="M45" s="153"/>
      <c r="N45" s="153"/>
    </row>
    <row r="46" spans="1:14" ht="5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</row>
    <row r="47" spans="1:14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ht="25.5" x14ac:dyDescent="0.2">
      <c r="A48" s="31"/>
      <c r="B48" s="51" t="s">
        <v>49</v>
      </c>
      <c r="C48" s="20" t="s">
        <v>6</v>
      </c>
      <c r="D48" s="216">
        <f>D49+D50+D51</f>
        <v>107669.34</v>
      </c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2.5" x14ac:dyDescent="0.2">
      <c r="A49" s="33"/>
      <c r="B49" s="28" t="s">
        <v>50</v>
      </c>
      <c r="C49" s="39"/>
      <c r="D49" s="204">
        <v>107669.34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x14ac:dyDescent="0.2">
      <c r="A50" s="31"/>
      <c r="B50" s="52" t="s">
        <v>51</v>
      </c>
      <c r="C50" s="39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ht="33.75" x14ac:dyDescent="0.2">
      <c r="A51" s="31"/>
      <c r="B51" s="52" t="s">
        <v>152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x14ac:dyDescent="0.2">
      <c r="A52" s="33" t="s">
        <v>60</v>
      </c>
      <c r="B52" s="210" t="s">
        <v>252</v>
      </c>
      <c r="C52" s="12" t="s">
        <v>6</v>
      </c>
      <c r="D52" s="216">
        <v>6723.83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31" t="s">
        <v>62</v>
      </c>
      <c r="B53" s="211" t="s">
        <v>262</v>
      </c>
      <c r="C53" s="20" t="s">
        <v>6</v>
      </c>
      <c r="D53" s="216">
        <v>76264.97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ht="33.75" x14ac:dyDescent="0.2">
      <c r="A54" s="31"/>
      <c r="B54" s="54" t="s">
        <v>63</v>
      </c>
      <c r="C54" s="55"/>
      <c r="D54" s="216"/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ht="48" x14ac:dyDescent="0.2">
      <c r="A55" s="31" t="s">
        <v>64</v>
      </c>
      <c r="B55" s="56" t="s">
        <v>65</v>
      </c>
      <c r="C55" s="55" t="s">
        <v>6</v>
      </c>
      <c r="D55" s="216">
        <v>35458</v>
      </c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ht="60" x14ac:dyDescent="0.2">
      <c r="A56" s="31" t="s">
        <v>66</v>
      </c>
      <c r="B56" s="57" t="s">
        <v>98</v>
      </c>
      <c r="C56" s="55" t="s">
        <v>6</v>
      </c>
      <c r="D56" s="216">
        <f>113399.73+2418.25</f>
        <v>115817.98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ht="15" x14ac:dyDescent="0.25">
      <c r="A57" s="31" t="s">
        <v>68</v>
      </c>
      <c r="B57" s="58" t="s">
        <v>69</v>
      </c>
      <c r="C57" s="55" t="s">
        <v>6</v>
      </c>
      <c r="D57" s="218">
        <f>D15*6%</f>
        <v>25514.183400000002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ht="15.75" x14ac:dyDescent="0.25">
      <c r="A58" s="31"/>
      <c r="B58" s="59" t="s">
        <v>70</v>
      </c>
      <c r="C58" s="106" t="s">
        <v>6</v>
      </c>
      <c r="D58" s="218">
        <f>D57+D56+D55+D53+D52+D48+D37+D33+D30+D27+D23</f>
        <v>630682.7034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ht="15.75" x14ac:dyDescent="0.25">
      <c r="A59" s="60"/>
      <c r="B59" s="61"/>
      <c r="C59" s="62"/>
      <c r="D59" s="156"/>
      <c r="E59" s="156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0"/>
      <c r="B60" s="61" t="s">
        <v>76</v>
      </c>
      <c r="C60" s="62"/>
      <c r="D60" s="159">
        <f>D6+D15-D58</f>
        <v>-375746.68339999998</v>
      </c>
      <c r="E60" s="156"/>
      <c r="G60" s="153"/>
      <c r="H60" s="153"/>
      <c r="I60" s="153"/>
      <c r="J60" s="153"/>
      <c r="K60" s="153"/>
      <c r="L60" s="153"/>
      <c r="M60" s="153"/>
      <c r="N60" s="153"/>
    </row>
    <row r="61" spans="1:14" ht="15.75" x14ac:dyDescent="0.25">
      <c r="A61" s="60"/>
      <c r="B61" s="61"/>
      <c r="C61" s="62"/>
      <c r="D61" s="156"/>
      <c r="E61" s="156"/>
      <c r="G61" s="153"/>
      <c r="H61" s="153"/>
      <c r="I61" s="153"/>
      <c r="J61" s="153"/>
      <c r="K61" s="153"/>
      <c r="L61" s="153"/>
      <c r="M61" s="153"/>
      <c r="N61" s="153"/>
    </row>
    <row r="62" spans="1:14" ht="15.75" x14ac:dyDescent="0.25">
      <c r="A62" s="60"/>
      <c r="B62" s="61"/>
      <c r="C62" s="62"/>
      <c r="D62" s="156"/>
      <c r="E62" s="156"/>
      <c r="F62" s="63"/>
      <c r="G62" s="153"/>
      <c r="H62" s="153"/>
      <c r="I62" s="153"/>
      <c r="J62" s="153"/>
      <c r="K62" s="153"/>
      <c r="L62" s="153"/>
      <c r="M62" s="153"/>
      <c r="N62" s="153"/>
    </row>
    <row r="63" spans="1:14" ht="15.75" x14ac:dyDescent="0.25">
      <c r="A63" s="60"/>
      <c r="B63" s="61"/>
      <c r="C63" s="62"/>
      <c r="D63" s="64"/>
      <c r="E63" s="63"/>
      <c r="G63" s="153"/>
      <c r="H63" s="153"/>
      <c r="I63" s="153"/>
      <c r="J63" s="153"/>
      <c r="K63" s="153"/>
      <c r="L63" s="153"/>
      <c r="M63" s="153"/>
      <c r="N63" s="153"/>
    </row>
    <row r="64" spans="1:14" ht="15.75" x14ac:dyDescent="0.25">
      <c r="A64" s="60"/>
      <c r="B64" s="61"/>
      <c r="C64" s="62"/>
      <c r="D64" s="64"/>
      <c r="E64" s="2"/>
      <c r="G64" s="153"/>
      <c r="H64" s="153"/>
      <c r="I64" s="153"/>
      <c r="J64" s="153"/>
      <c r="K64" s="153"/>
      <c r="L64" s="153"/>
      <c r="M64" s="153"/>
      <c r="N64" s="153"/>
    </row>
    <row r="65" spans="1:14" ht="15.75" x14ac:dyDescent="0.25">
      <c r="A65" s="60"/>
      <c r="B65" s="61"/>
      <c r="C65" s="62"/>
      <c r="D65" s="64"/>
      <c r="E65" s="2"/>
      <c r="G65" s="153"/>
      <c r="H65" s="153"/>
      <c r="I65" s="153"/>
      <c r="J65" s="153"/>
      <c r="K65" s="153"/>
      <c r="L65" s="153"/>
      <c r="M65" s="153"/>
      <c r="N65" s="153"/>
    </row>
    <row r="66" spans="1:14" ht="15.75" x14ac:dyDescent="0.25">
      <c r="A66" s="60"/>
      <c r="B66" s="61"/>
      <c r="C66" s="62"/>
      <c r="D66" s="65"/>
      <c r="E66" s="104"/>
      <c r="G66" s="153"/>
      <c r="H66" s="153"/>
      <c r="I66" s="153"/>
      <c r="J66" s="153"/>
      <c r="K66" s="153"/>
      <c r="L66" s="153"/>
      <c r="M66" s="153"/>
      <c r="N66" s="153"/>
    </row>
    <row r="67" spans="1:14" ht="15" x14ac:dyDescent="0.25">
      <c r="A67" s="60"/>
      <c r="B67" s="2" t="s">
        <v>72</v>
      </c>
      <c r="C67" s="2"/>
      <c r="D67" s="2" t="s">
        <v>73</v>
      </c>
      <c r="G67" s="153"/>
      <c r="H67" s="153"/>
      <c r="I67" s="153"/>
      <c r="J67" s="153"/>
      <c r="K67" s="153"/>
      <c r="L67" s="153"/>
      <c r="M67" s="153"/>
      <c r="N67" s="153"/>
    </row>
    <row r="68" spans="1:14" ht="15" x14ac:dyDescent="0.25">
      <c r="B68" s="2" t="s">
        <v>74</v>
      </c>
      <c r="C68" s="2"/>
      <c r="D68" s="198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50" workbookViewId="0">
      <selection activeCell="G22" sqref="G22:R72"/>
    </sheetView>
  </sheetViews>
  <sheetFormatPr defaultColWidth="9" defaultRowHeight="14.25" x14ac:dyDescent="0.2"/>
  <cols>
    <col min="1" max="1" width="5.42578125" style="1" customWidth="1"/>
    <col min="2" max="2" width="38.7109375" style="1" customWidth="1"/>
    <col min="3" max="3" width="9" style="1"/>
    <col min="4" max="4" width="13" style="1" customWidth="1"/>
    <col min="5" max="5" width="11.140625" style="1" customWidth="1"/>
    <col min="6" max="6" width="9" style="1"/>
    <col min="7" max="7" width="10.7109375" style="1" customWidth="1"/>
    <col min="8" max="8" width="10.42578125" style="1" customWidth="1"/>
    <col min="9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9" t="s">
        <v>218</v>
      </c>
      <c r="C3" s="298"/>
      <c r="D3" s="298"/>
      <c r="E3" s="298"/>
    </row>
    <row r="4" spans="1:15" x14ac:dyDescent="0.2">
      <c r="A4" s="4"/>
      <c r="B4" s="291"/>
      <c r="C4" s="291"/>
      <c r="D4" s="291"/>
      <c r="E4" s="291"/>
    </row>
    <row r="5" spans="1:15" x14ac:dyDescent="0.2">
      <c r="B5" s="163" t="s">
        <v>182</v>
      </c>
      <c r="C5" s="163"/>
      <c r="D5" s="163">
        <v>248117.56</v>
      </c>
    </row>
    <row r="6" spans="1:15" x14ac:dyDescent="0.2">
      <c r="A6" s="6"/>
      <c r="B6" s="164" t="s">
        <v>80</v>
      </c>
      <c r="C6" s="167" t="s">
        <v>6</v>
      </c>
      <c r="D6" s="170">
        <v>-594229.48</v>
      </c>
      <c r="E6" s="6"/>
    </row>
    <row r="7" spans="1:15" x14ac:dyDescent="0.2">
      <c r="A7" s="6"/>
      <c r="B7" s="164" t="s">
        <v>81</v>
      </c>
      <c r="C7" s="167" t="s">
        <v>6</v>
      </c>
      <c r="D7" s="170"/>
      <c r="E7" s="6"/>
    </row>
    <row r="8" spans="1:15" x14ac:dyDescent="0.2">
      <c r="A8" s="6"/>
      <c r="B8" s="165" t="s">
        <v>2</v>
      </c>
      <c r="C8" s="167" t="s">
        <v>3</v>
      </c>
      <c r="D8" s="171">
        <v>5435.7</v>
      </c>
      <c r="E8" s="6"/>
    </row>
    <row r="9" spans="1:15" x14ac:dyDescent="0.2">
      <c r="A9" s="6"/>
      <c r="B9" s="165" t="s">
        <v>4</v>
      </c>
      <c r="C9" s="167" t="s">
        <v>3</v>
      </c>
      <c r="D9" s="171">
        <v>3358.35</v>
      </c>
      <c r="E9" s="6"/>
      <c r="I9" s="1" t="s">
        <v>148</v>
      </c>
    </row>
    <row r="10" spans="1:15" x14ac:dyDescent="0.2">
      <c r="A10" s="6"/>
      <c r="B10" s="166" t="s">
        <v>5</v>
      </c>
      <c r="C10" s="164" t="s">
        <v>6</v>
      </c>
      <c r="D10" s="170">
        <v>916619.72</v>
      </c>
      <c r="E10" s="6"/>
    </row>
    <row r="11" spans="1:15" x14ac:dyDescent="0.2">
      <c r="A11" s="6"/>
      <c r="B11" s="164"/>
      <c r="C11" s="164"/>
      <c r="D11" s="171"/>
      <c r="E11" s="6"/>
    </row>
    <row r="12" spans="1:15" x14ac:dyDescent="0.2">
      <c r="A12" s="6"/>
      <c r="B12" s="166" t="s">
        <v>7</v>
      </c>
      <c r="C12" s="164"/>
      <c r="D12" s="171"/>
      <c r="E12" s="6"/>
    </row>
    <row r="13" spans="1:15" x14ac:dyDescent="0.2">
      <c r="A13" s="6">
        <v>1</v>
      </c>
      <c r="B13" s="167" t="s">
        <v>8</v>
      </c>
      <c r="C13" s="167" t="s">
        <v>6</v>
      </c>
      <c r="D13" s="171">
        <v>790389.21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9</v>
      </c>
      <c r="C14" s="167" t="s">
        <v>6</v>
      </c>
      <c r="D14" s="171">
        <f>6000+3600+9000</f>
        <v>18600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>
        <v>3</v>
      </c>
      <c r="B15" s="167" t="s">
        <v>270</v>
      </c>
      <c r="C15" s="167" t="s">
        <v>6</v>
      </c>
      <c r="D15" s="171">
        <v>169205.65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978194.86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164"/>
      <c r="C17" s="164"/>
      <c r="D17" s="160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6.5" customHeight="1" x14ac:dyDescent="0.2">
      <c r="A21" s="15" t="s">
        <v>12</v>
      </c>
      <c r="B21" s="16"/>
      <c r="C21" s="17" t="s">
        <v>85</v>
      </c>
      <c r="D21" s="19" t="s">
        <v>13</v>
      </c>
      <c r="E21" s="19" t="s">
        <v>136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31.5" customHeight="1" x14ac:dyDescent="0.2">
      <c r="A22" s="15" t="s">
        <v>15</v>
      </c>
      <c r="B22" s="20" t="s">
        <v>16</v>
      </c>
      <c r="C22" s="20" t="s">
        <v>87</v>
      </c>
      <c r="D22" s="19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26" t="s">
        <v>6</v>
      </c>
      <c r="D24" s="216">
        <f>D25+D26+D27</f>
        <v>150251.65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90" x14ac:dyDescent="0.2">
      <c r="A25" s="22"/>
      <c r="B25" s="28" t="s">
        <v>21</v>
      </c>
      <c r="C25" s="29"/>
      <c r="D25" s="204">
        <f>82486.68+1800</f>
        <v>84286.68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f>59869+2070.27</f>
        <v>61939.27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5.5" x14ac:dyDescent="0.2">
      <c r="A27" s="31"/>
      <c r="B27" s="119" t="s">
        <v>23</v>
      </c>
      <c r="C27" s="69"/>
      <c r="D27" s="204">
        <v>4025.7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8086.28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6476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/>
      <c r="D30" s="204">
        <v>1610.28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36" t="s">
        <v>6</v>
      </c>
      <c r="D31" s="216">
        <f>D32+D33</f>
        <v>18650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29"/>
      <c r="D32" s="204">
        <v>18650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2.5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1" x14ac:dyDescent="0.2">
      <c r="A34" s="37" t="s">
        <v>31</v>
      </c>
      <c r="B34" s="25" t="s">
        <v>32</v>
      </c>
      <c r="C34" s="12" t="s">
        <v>6</v>
      </c>
      <c r="D34" s="216">
        <f>D35+D36+D37</f>
        <v>3800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39"/>
      <c r="D35" s="204">
        <v>1900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204">
        <v>1900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30068.300000000003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2450.2800000000002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8693.5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15687.83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109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1193.52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1701.86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42"/>
      <c r="B46" s="47" t="s">
        <v>45</v>
      </c>
      <c r="C46" s="44"/>
      <c r="D46" s="204">
        <v>341.31</v>
      </c>
      <c r="E46" s="6"/>
      <c r="F46" s="154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6"/>
      <c r="F48" s="104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20" t="s">
        <v>6</v>
      </c>
      <c r="D49" s="216">
        <f>D50+D51+D52</f>
        <v>151842.56000000003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149908.64000000001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1933.92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76" t="s">
        <v>53</v>
      </c>
      <c r="C53" s="49"/>
      <c r="D53" s="204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7" t="s">
        <v>54</v>
      </c>
      <c r="C54" s="20" t="s">
        <v>6</v>
      </c>
      <c r="D54" s="216">
        <f>D55+D56+D57+D58</f>
        <v>259980.24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55</v>
      </c>
      <c r="C55" s="79"/>
      <c r="D55" s="204">
        <v>48541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56</v>
      </c>
      <c r="C56" s="39"/>
      <c r="D56" s="204">
        <v>112639.31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57</v>
      </c>
      <c r="C57" s="39"/>
      <c r="D57" s="204">
        <v>7364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78" t="s">
        <v>59</v>
      </c>
      <c r="C58" s="79"/>
      <c r="D58" s="204">
        <v>91435.93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3" t="s">
        <v>60</v>
      </c>
      <c r="B59" s="210" t="s">
        <v>252</v>
      </c>
      <c r="C59" s="12" t="s">
        <v>6</v>
      </c>
      <c r="D59" s="216">
        <v>8165.24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1" t="s">
        <v>62</v>
      </c>
      <c r="B60" s="211" t="s">
        <v>262</v>
      </c>
      <c r="C60" s="20" t="s">
        <v>6</v>
      </c>
      <c r="D60" s="216">
        <v>56884.18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33.75" x14ac:dyDescent="0.2">
      <c r="A61" s="31"/>
      <c r="B61" s="54" t="s">
        <v>63</v>
      </c>
      <c r="C61" s="55"/>
      <c r="D61" s="216"/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48" x14ac:dyDescent="0.2">
      <c r="A62" s="31" t="s">
        <v>64</v>
      </c>
      <c r="B62" s="56" t="s">
        <v>65</v>
      </c>
      <c r="C62" s="55" t="s">
        <v>6</v>
      </c>
      <c r="D62" s="216">
        <v>52800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60" x14ac:dyDescent="0.2">
      <c r="A63" s="31" t="s">
        <v>66</v>
      </c>
      <c r="B63" s="57" t="s">
        <v>98</v>
      </c>
      <c r="C63" s="55" t="s">
        <v>6</v>
      </c>
      <c r="D63" s="216">
        <f>124717.42+6188.12</f>
        <v>130905.54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" x14ac:dyDescent="0.25">
      <c r="A64" s="31" t="s">
        <v>68</v>
      </c>
      <c r="B64" s="58" t="s">
        <v>69</v>
      </c>
      <c r="C64" s="55" t="s">
        <v>6</v>
      </c>
      <c r="D64" s="218">
        <f>D16*6%</f>
        <v>58691.691599999998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/>
      <c r="B65" s="59" t="s">
        <v>70</v>
      </c>
      <c r="C65" s="55" t="s">
        <v>6</v>
      </c>
      <c r="D65" s="218">
        <f>D64+D63+D62+D60+D59+D54+D49+D38+D34+D31+D28+D24</f>
        <v>930125.68160000013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/>
      <c r="C66" s="62"/>
      <c r="D66" s="156"/>
      <c r="E66" s="15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 t="s">
        <v>76</v>
      </c>
      <c r="C67" s="62"/>
      <c r="D67" s="159">
        <f>D6+D16-D65</f>
        <v>-546160.30160000012</v>
      </c>
      <c r="E67" s="15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/>
      <c r="C68" s="62"/>
      <c r="D68" s="63"/>
      <c r="E68" s="2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60"/>
      <c r="B69" s="61"/>
      <c r="C69" s="62"/>
      <c r="D69" s="63"/>
      <c r="E69" s="2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A70" s="60"/>
      <c r="B70" s="61"/>
      <c r="C70" s="62"/>
      <c r="D70" s="65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x14ac:dyDescent="0.2">
      <c r="A71" s="60"/>
      <c r="B71" s="66" t="s">
        <v>72</v>
      </c>
      <c r="C71" s="66"/>
      <c r="D71" s="66" t="s">
        <v>73</v>
      </c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B72" s="66" t="s">
        <v>74</v>
      </c>
      <c r="C72" s="66"/>
      <c r="D72" s="189" t="s">
        <v>273</v>
      </c>
      <c r="G72" s="153"/>
      <c r="H72" s="153"/>
      <c r="I72" s="153"/>
      <c r="J72" s="153"/>
      <c r="K72" s="153"/>
      <c r="L72" s="153"/>
      <c r="M72" s="153"/>
      <c r="N72" s="153"/>
      <c r="O72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54" workbookViewId="0">
      <selection activeCell="F24" sqref="F24:R77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8.140625" style="1" customWidth="1"/>
    <col min="4" max="4" width="13.140625" style="1" customWidth="1"/>
    <col min="5" max="5" width="13.7109375" style="1" customWidth="1"/>
    <col min="6" max="6" width="12" style="1" customWidth="1"/>
    <col min="7" max="7" width="11" style="1" customWidth="1"/>
    <col min="8" max="8" width="11.140625" style="1" customWidth="1"/>
    <col min="9" max="9" width="8.5703125" style="1" customWidth="1"/>
    <col min="10" max="10" width="12" style="1" customWidth="1"/>
    <col min="11" max="11" width="12.7109375" style="1" customWidth="1"/>
    <col min="12" max="12" width="10.28515625" style="1" customWidth="1"/>
    <col min="13" max="16384" width="9" style="1"/>
  </cols>
  <sheetData>
    <row r="1" spans="1:8" ht="15" x14ac:dyDescent="0.25">
      <c r="D1" s="3"/>
      <c r="H1" s="2"/>
    </row>
    <row r="2" spans="1:8" ht="15" x14ac:dyDescent="0.25">
      <c r="C2" s="2" t="s">
        <v>0</v>
      </c>
      <c r="D2" s="3"/>
      <c r="H2" s="2"/>
    </row>
    <row r="3" spans="1:8" ht="15" customHeight="1" x14ac:dyDescent="0.25">
      <c r="A3" s="298" t="s">
        <v>1</v>
      </c>
      <c r="B3" s="298"/>
      <c r="C3" s="298"/>
      <c r="D3" s="298"/>
      <c r="E3" s="298"/>
      <c r="F3" s="298"/>
      <c r="H3" s="2"/>
    </row>
    <row r="4" spans="1:8" ht="15" customHeight="1" x14ac:dyDescent="0.25">
      <c r="A4" s="4"/>
      <c r="B4" s="298" t="s">
        <v>184</v>
      </c>
      <c r="C4" s="298"/>
      <c r="D4" s="298"/>
      <c r="E4" s="298"/>
      <c r="H4" s="2"/>
    </row>
    <row r="5" spans="1:8" ht="15" x14ac:dyDescent="0.25">
      <c r="B5" s="5"/>
      <c r="C5" s="5"/>
      <c r="D5" s="5"/>
      <c r="H5" s="2"/>
    </row>
    <row r="6" spans="1:8" ht="15" x14ac:dyDescent="0.25">
      <c r="B6" s="5" t="s">
        <v>182</v>
      </c>
      <c r="C6" s="5"/>
      <c r="D6" s="163">
        <v>2385587.75</v>
      </c>
      <c r="H6" s="2"/>
    </row>
    <row r="7" spans="1:8" ht="15" x14ac:dyDescent="0.25">
      <c r="A7" s="6"/>
      <c r="B7" s="7" t="s">
        <v>76</v>
      </c>
      <c r="C7" s="8" t="s">
        <v>6</v>
      </c>
      <c r="D7" s="161">
        <v>-346392.99</v>
      </c>
      <c r="E7" s="6"/>
      <c r="G7" s="2"/>
    </row>
    <row r="8" spans="1:8" ht="15" x14ac:dyDescent="0.25">
      <c r="A8" s="6"/>
      <c r="B8" s="7" t="s">
        <v>82</v>
      </c>
      <c r="C8" s="8"/>
      <c r="D8" s="161">
        <v>-2103994.71</v>
      </c>
      <c r="E8" s="6"/>
      <c r="G8" s="2"/>
    </row>
    <row r="9" spans="1:8" x14ac:dyDescent="0.2">
      <c r="A9" s="6"/>
      <c r="B9" s="7" t="s">
        <v>83</v>
      </c>
      <c r="C9" s="8"/>
      <c r="D9" s="161">
        <f>D7+D8</f>
        <v>-2450387.7000000002</v>
      </c>
      <c r="E9" s="6"/>
    </row>
    <row r="10" spans="1:8" x14ac:dyDescent="0.2">
      <c r="A10" s="6"/>
      <c r="B10" s="7"/>
      <c r="C10" s="8"/>
      <c r="D10" s="161"/>
      <c r="E10" s="6"/>
    </row>
    <row r="11" spans="1:8" x14ac:dyDescent="0.2">
      <c r="A11" s="6"/>
      <c r="B11" s="10" t="s">
        <v>2</v>
      </c>
      <c r="C11" s="8" t="s">
        <v>3</v>
      </c>
      <c r="D11" s="160">
        <v>15712.8</v>
      </c>
      <c r="E11" s="6"/>
    </row>
    <row r="12" spans="1:8" x14ac:dyDescent="0.2">
      <c r="A12" s="6"/>
      <c r="B12" s="10" t="s">
        <v>4</v>
      </c>
      <c r="C12" s="8" t="s">
        <v>3</v>
      </c>
      <c r="D12" s="160">
        <v>12857.9</v>
      </c>
      <c r="E12" s="6"/>
    </row>
    <row r="13" spans="1:8" x14ac:dyDescent="0.2">
      <c r="A13" s="6"/>
      <c r="B13" s="12" t="s">
        <v>5</v>
      </c>
      <c r="C13" s="8" t="s">
        <v>6</v>
      </c>
      <c r="D13" s="161">
        <v>2741070.82</v>
      </c>
      <c r="E13" s="6"/>
    </row>
    <row r="14" spans="1:8" x14ac:dyDescent="0.2">
      <c r="A14" s="6"/>
      <c r="B14" s="7"/>
      <c r="C14" s="7"/>
      <c r="D14" s="160"/>
      <c r="E14" s="6"/>
    </row>
    <row r="15" spans="1:8" x14ac:dyDescent="0.2">
      <c r="A15" s="6"/>
      <c r="B15" s="12" t="s">
        <v>7</v>
      </c>
      <c r="C15" s="7"/>
      <c r="D15" s="160"/>
      <c r="E15" s="6"/>
    </row>
    <row r="16" spans="1:8" x14ac:dyDescent="0.2">
      <c r="A16" s="6">
        <v>1</v>
      </c>
      <c r="B16" s="162" t="s">
        <v>208</v>
      </c>
      <c r="C16" s="8" t="s">
        <v>6</v>
      </c>
      <c r="D16" s="160">
        <v>2310830.04</v>
      </c>
      <c r="E16" s="6"/>
    </row>
    <row r="17" spans="1:5" x14ac:dyDescent="0.2">
      <c r="A17" s="6">
        <v>2</v>
      </c>
      <c r="B17" s="162" t="s">
        <v>210</v>
      </c>
      <c r="C17" s="8" t="s">
        <v>6</v>
      </c>
      <c r="D17" s="160">
        <v>72782.75</v>
      </c>
      <c r="E17" s="6"/>
    </row>
    <row r="18" spans="1:5" x14ac:dyDescent="0.2">
      <c r="A18" s="6">
        <v>3</v>
      </c>
      <c r="B18" s="8" t="s">
        <v>9</v>
      </c>
      <c r="C18" s="8" t="s">
        <v>6</v>
      </c>
      <c r="D18" s="160">
        <f>4200</f>
        <v>4200</v>
      </c>
      <c r="E18" s="6"/>
    </row>
    <row r="19" spans="1:5" x14ac:dyDescent="0.2">
      <c r="A19" s="6"/>
      <c r="B19" s="12" t="s">
        <v>10</v>
      </c>
      <c r="C19" s="7" t="s">
        <v>6</v>
      </c>
      <c r="D19" s="161">
        <f>D16+D17+D18</f>
        <v>2387812.79</v>
      </c>
      <c r="E19" s="6"/>
    </row>
    <row r="20" spans="1:5" x14ac:dyDescent="0.2">
      <c r="A20" s="6"/>
      <c r="B20" s="7"/>
      <c r="C20" s="7"/>
      <c r="D20" s="160"/>
      <c r="E20" s="6"/>
    </row>
    <row r="21" spans="1:5" ht="15.75" customHeight="1" x14ac:dyDescent="0.2">
      <c r="B21" s="5"/>
      <c r="C21" s="5"/>
    </row>
    <row r="22" spans="1:5" x14ac:dyDescent="0.2">
      <c r="B22" s="87" t="s">
        <v>11</v>
      </c>
      <c r="C22" s="5"/>
    </row>
    <row r="23" spans="1:5" x14ac:dyDescent="0.2">
      <c r="B23" s="5"/>
      <c r="C23" s="5"/>
    </row>
    <row r="24" spans="1:5" x14ac:dyDescent="0.2">
      <c r="A24" s="50"/>
      <c r="B24" s="50"/>
      <c r="C24" s="50"/>
      <c r="D24" s="139"/>
      <c r="E24" s="139"/>
    </row>
    <row r="25" spans="1:5" ht="15" x14ac:dyDescent="0.25">
      <c r="A25" s="15" t="s">
        <v>12</v>
      </c>
      <c r="B25" s="16"/>
      <c r="C25" s="17" t="s">
        <v>85</v>
      </c>
      <c r="D25" s="140" t="s">
        <v>13</v>
      </c>
      <c r="E25" s="137" t="s">
        <v>86</v>
      </c>
    </row>
    <row r="26" spans="1:5" ht="15" x14ac:dyDescent="0.25">
      <c r="A26" s="15" t="s">
        <v>15</v>
      </c>
      <c r="B26" s="20" t="s">
        <v>16</v>
      </c>
      <c r="C26" s="20" t="s">
        <v>87</v>
      </c>
      <c r="D26" s="137" t="s">
        <v>17</v>
      </c>
      <c r="E26" s="125"/>
    </row>
    <row r="27" spans="1:5" ht="36" customHeight="1" x14ac:dyDescent="0.2">
      <c r="A27" s="22" t="s">
        <v>18</v>
      </c>
      <c r="B27" s="23" t="s">
        <v>88</v>
      </c>
      <c r="C27" s="24"/>
      <c r="D27" s="6"/>
      <c r="E27" s="6"/>
    </row>
    <row r="28" spans="1:5" ht="51" x14ac:dyDescent="0.2">
      <c r="A28" s="22"/>
      <c r="B28" s="25" t="s">
        <v>20</v>
      </c>
      <c r="C28" s="26" t="s">
        <v>6</v>
      </c>
      <c r="D28" s="216">
        <f>D29+D30+D31</f>
        <v>451967.38</v>
      </c>
      <c r="E28" s="6"/>
    </row>
    <row r="29" spans="1:5" ht="90" x14ac:dyDescent="0.2">
      <c r="A29" s="22"/>
      <c r="B29" s="28" t="s">
        <v>21</v>
      </c>
      <c r="C29" s="29"/>
      <c r="D29" s="204">
        <v>201047.43</v>
      </c>
      <c r="E29" s="6"/>
    </row>
    <row r="30" spans="1:5" ht="113.1" customHeight="1" x14ac:dyDescent="0.2">
      <c r="A30" s="30"/>
      <c r="B30" s="28" t="s">
        <v>22</v>
      </c>
      <c r="C30" s="29"/>
      <c r="D30" s="204">
        <v>204631.51</v>
      </c>
      <c r="E30" s="6"/>
    </row>
    <row r="31" spans="1:5" ht="22.5" x14ac:dyDescent="0.2">
      <c r="A31" s="31"/>
      <c r="B31" s="40" t="s">
        <v>23</v>
      </c>
      <c r="C31" s="29"/>
      <c r="D31" s="204">
        <v>46288.44</v>
      </c>
      <c r="E31" s="6"/>
    </row>
    <row r="32" spans="1:5" ht="25.5" x14ac:dyDescent="0.2">
      <c r="A32" s="22"/>
      <c r="B32" s="25" t="s">
        <v>24</v>
      </c>
      <c r="C32" s="26" t="s">
        <v>6</v>
      </c>
      <c r="D32" s="216">
        <f>D33+D34</f>
        <v>17296</v>
      </c>
      <c r="E32" s="6"/>
    </row>
    <row r="33" spans="1:5" x14ac:dyDescent="0.2">
      <c r="A33" s="33"/>
      <c r="B33" s="70" t="s">
        <v>25</v>
      </c>
      <c r="C33" s="35"/>
      <c r="D33" s="204">
        <v>11124</v>
      </c>
      <c r="E33" s="6"/>
    </row>
    <row r="34" spans="1:5" x14ac:dyDescent="0.2">
      <c r="A34" s="22"/>
      <c r="B34" s="70" t="s">
        <v>26</v>
      </c>
      <c r="C34" s="35"/>
      <c r="D34" s="204">
        <v>6172</v>
      </c>
      <c r="E34" s="6"/>
    </row>
    <row r="35" spans="1:5" ht="38.25" x14ac:dyDescent="0.2">
      <c r="A35" s="22" t="s">
        <v>27</v>
      </c>
      <c r="B35" s="25" t="s">
        <v>28</v>
      </c>
      <c r="C35" s="36" t="s">
        <v>6</v>
      </c>
      <c r="D35" s="216">
        <f>D36+D37</f>
        <v>84520</v>
      </c>
      <c r="E35" s="6"/>
    </row>
    <row r="36" spans="1:5" ht="78.75" x14ac:dyDescent="0.2">
      <c r="A36" s="37"/>
      <c r="B36" s="28" t="s">
        <v>29</v>
      </c>
      <c r="C36" s="29"/>
      <c r="D36" s="204">
        <v>84520</v>
      </c>
      <c r="E36" s="6"/>
    </row>
    <row r="37" spans="1:5" ht="22.5" x14ac:dyDescent="0.2">
      <c r="A37" s="37"/>
      <c r="B37" s="38" t="s">
        <v>30</v>
      </c>
      <c r="C37" s="39"/>
      <c r="D37" s="204">
        <v>0</v>
      </c>
      <c r="E37" s="6"/>
    </row>
    <row r="38" spans="1:5" ht="51" x14ac:dyDescent="0.2">
      <c r="A38" s="37" t="s">
        <v>31</v>
      </c>
      <c r="B38" s="25" t="s">
        <v>32</v>
      </c>
      <c r="C38" s="12" t="s">
        <v>6</v>
      </c>
      <c r="D38" s="216">
        <f>D39+D40+D41</f>
        <v>34700</v>
      </c>
      <c r="E38" s="6"/>
    </row>
    <row r="39" spans="1:5" ht="33.75" x14ac:dyDescent="0.2">
      <c r="A39" s="33"/>
      <c r="B39" s="40" t="s">
        <v>33</v>
      </c>
      <c r="C39" s="39"/>
      <c r="D39" s="204">
        <v>10350</v>
      </c>
      <c r="E39" s="6"/>
    </row>
    <row r="40" spans="1:5" ht="22.5" x14ac:dyDescent="0.2">
      <c r="A40" s="33"/>
      <c r="B40" s="38" t="s">
        <v>89</v>
      </c>
      <c r="C40" s="39"/>
      <c r="D40" s="204">
        <v>24350</v>
      </c>
      <c r="E40" s="6"/>
    </row>
    <row r="41" spans="1:5" ht="22.5" x14ac:dyDescent="0.2">
      <c r="A41" s="33"/>
      <c r="B41" s="38" t="s">
        <v>35</v>
      </c>
      <c r="C41" s="39">
        <v>0</v>
      </c>
      <c r="D41" s="204">
        <v>0</v>
      </c>
      <c r="E41" s="6"/>
    </row>
    <row r="42" spans="1:5" ht="15.75" x14ac:dyDescent="0.25">
      <c r="A42" s="31" t="s">
        <v>36</v>
      </c>
      <c r="B42" s="41" t="s">
        <v>37</v>
      </c>
      <c r="C42" s="20" t="s">
        <v>6</v>
      </c>
      <c r="D42" s="216">
        <f>D43+D44+D45+D47+D48+D49+D50</f>
        <v>100554.68000000001</v>
      </c>
      <c r="E42" s="6"/>
    </row>
    <row r="43" spans="1:5" x14ac:dyDescent="0.2">
      <c r="A43" s="42"/>
      <c r="B43" s="43" t="s">
        <v>38</v>
      </c>
      <c r="C43" s="44"/>
      <c r="D43" s="204">
        <v>994.56</v>
      </c>
      <c r="E43" s="6"/>
    </row>
    <row r="44" spans="1:5" ht="22.5" x14ac:dyDescent="0.2">
      <c r="A44" s="42"/>
      <c r="B44" s="43" t="s">
        <v>39</v>
      </c>
      <c r="C44" s="44"/>
      <c r="D44" s="204">
        <v>4650</v>
      </c>
      <c r="E44" s="6"/>
    </row>
    <row r="45" spans="1:5" x14ac:dyDescent="0.2">
      <c r="A45" s="42"/>
      <c r="B45" s="45" t="s">
        <v>40</v>
      </c>
      <c r="C45" s="44"/>
      <c r="D45" s="204">
        <v>60032.85</v>
      </c>
      <c r="E45" s="6"/>
    </row>
    <row r="46" spans="1:5" ht="45" x14ac:dyDescent="0.2">
      <c r="A46" s="31"/>
      <c r="B46" s="46" t="s">
        <v>41</v>
      </c>
      <c r="C46" s="44"/>
      <c r="D46" s="204"/>
      <c r="E46" s="6"/>
    </row>
    <row r="47" spans="1:5" x14ac:dyDescent="0.2">
      <c r="A47" s="42"/>
      <c r="B47" s="47" t="s">
        <v>90</v>
      </c>
      <c r="C47" s="44"/>
      <c r="D47" s="204">
        <v>0</v>
      </c>
      <c r="E47" s="6"/>
    </row>
    <row r="48" spans="1:5" x14ac:dyDescent="0.2">
      <c r="A48" s="42"/>
      <c r="B48" s="47" t="s">
        <v>91</v>
      </c>
      <c r="C48" s="44"/>
      <c r="D48" s="204">
        <v>28361.49</v>
      </c>
      <c r="E48" s="6"/>
    </row>
    <row r="49" spans="1:5" x14ac:dyDescent="0.2">
      <c r="A49" s="29"/>
      <c r="B49" s="47" t="s">
        <v>92</v>
      </c>
      <c r="C49" s="44"/>
      <c r="D49" s="204">
        <v>6515.78</v>
      </c>
      <c r="E49" s="6"/>
    </row>
    <row r="50" spans="1:5" ht="22.5" x14ac:dyDescent="0.2">
      <c r="A50" s="42"/>
      <c r="B50" s="47" t="s">
        <v>93</v>
      </c>
      <c r="C50" s="44"/>
      <c r="D50" s="204">
        <v>0</v>
      </c>
      <c r="E50" s="6"/>
    </row>
    <row r="51" spans="1:5" ht="51" x14ac:dyDescent="0.2">
      <c r="A51" s="31" t="s">
        <v>46</v>
      </c>
      <c r="B51" s="48" t="s">
        <v>47</v>
      </c>
      <c r="C51" s="49"/>
      <c r="D51" s="204"/>
      <c r="E51" s="6"/>
    </row>
    <row r="52" spans="1:5" x14ac:dyDescent="0.2">
      <c r="A52" s="49"/>
      <c r="B52" s="50" t="s">
        <v>48</v>
      </c>
      <c r="C52" s="49"/>
      <c r="D52" s="204"/>
      <c r="E52" s="6"/>
    </row>
    <row r="53" spans="1:5" ht="25.5" x14ac:dyDescent="0.2">
      <c r="A53" s="31"/>
      <c r="B53" s="51" t="s">
        <v>49</v>
      </c>
      <c r="C53" s="20" t="s">
        <v>6</v>
      </c>
      <c r="D53" s="216">
        <f>D54+D55+D56</f>
        <v>175745.96</v>
      </c>
      <c r="E53" s="6"/>
    </row>
    <row r="54" spans="1:5" ht="22.5" x14ac:dyDescent="0.2">
      <c r="A54" s="33"/>
      <c r="B54" s="28" t="s">
        <v>50</v>
      </c>
      <c r="C54" s="39"/>
      <c r="D54" s="204">
        <v>171111.4</v>
      </c>
      <c r="E54" s="6"/>
    </row>
    <row r="55" spans="1:5" x14ac:dyDescent="0.2">
      <c r="A55" s="31"/>
      <c r="B55" s="52" t="s">
        <v>51</v>
      </c>
      <c r="C55" s="39"/>
      <c r="D55" s="204">
        <v>0</v>
      </c>
      <c r="E55" s="6"/>
    </row>
    <row r="56" spans="1:5" ht="22.5" x14ac:dyDescent="0.2">
      <c r="A56" s="31"/>
      <c r="B56" s="52" t="s">
        <v>52</v>
      </c>
      <c r="C56" s="39"/>
      <c r="D56" s="204">
        <v>4634.5600000000004</v>
      </c>
      <c r="E56" s="6"/>
    </row>
    <row r="57" spans="1:5" x14ac:dyDescent="0.2">
      <c r="A57" s="31"/>
      <c r="B57" s="51" t="s">
        <v>94</v>
      </c>
      <c r="C57" s="20" t="s">
        <v>6</v>
      </c>
      <c r="D57" s="216">
        <v>0</v>
      </c>
      <c r="E57" s="6"/>
    </row>
    <row r="58" spans="1:5" x14ac:dyDescent="0.2">
      <c r="A58" s="49"/>
      <c r="B58" s="76" t="s">
        <v>95</v>
      </c>
      <c r="C58" s="49"/>
      <c r="D58" s="204"/>
      <c r="E58" s="6"/>
    </row>
    <row r="59" spans="1:5" x14ac:dyDescent="0.2">
      <c r="A59" s="17"/>
      <c r="B59" s="77" t="s">
        <v>54</v>
      </c>
      <c r="C59" s="20" t="s">
        <v>6</v>
      </c>
      <c r="D59" s="218">
        <f>D60+D61+D63+D62+D64</f>
        <v>428635.16</v>
      </c>
      <c r="E59" s="6"/>
    </row>
    <row r="60" spans="1:5" x14ac:dyDescent="0.2">
      <c r="A60" s="17"/>
      <c r="B60" s="78" t="s">
        <v>55</v>
      </c>
      <c r="C60" s="79"/>
      <c r="D60" s="204">
        <v>121315.38</v>
      </c>
      <c r="E60" s="6"/>
    </row>
    <row r="61" spans="1:5" x14ac:dyDescent="0.2">
      <c r="A61" s="17"/>
      <c r="B61" s="78" t="s">
        <v>56</v>
      </c>
      <c r="C61" s="79"/>
      <c r="D61" s="204">
        <v>91248</v>
      </c>
      <c r="E61" s="6"/>
    </row>
    <row r="62" spans="1:5" x14ac:dyDescent="0.2">
      <c r="A62" s="17"/>
      <c r="B62" s="78" t="s">
        <v>96</v>
      </c>
      <c r="C62" s="79"/>
      <c r="D62" s="204">
        <v>180199</v>
      </c>
      <c r="E62" s="6"/>
    </row>
    <row r="63" spans="1:5" x14ac:dyDescent="0.2">
      <c r="A63" s="17"/>
      <c r="B63" s="78" t="s">
        <v>57</v>
      </c>
      <c r="C63" s="79"/>
      <c r="D63" s="204">
        <v>22056.1</v>
      </c>
      <c r="E63" s="6"/>
    </row>
    <row r="64" spans="1:5" x14ac:dyDescent="0.2">
      <c r="A64" s="17"/>
      <c r="B64" s="28" t="s">
        <v>97</v>
      </c>
      <c r="C64" s="79"/>
      <c r="D64" s="204">
        <v>13816.68</v>
      </c>
      <c r="E64" s="6"/>
    </row>
    <row r="65" spans="1:5" x14ac:dyDescent="0.2">
      <c r="A65" s="33" t="s">
        <v>60</v>
      </c>
      <c r="B65" s="210" t="s">
        <v>252</v>
      </c>
      <c r="C65" s="212" t="s">
        <v>6</v>
      </c>
      <c r="D65" s="216">
        <v>31261.75</v>
      </c>
      <c r="E65" s="6"/>
    </row>
    <row r="66" spans="1:5" x14ac:dyDescent="0.2">
      <c r="A66" s="31" t="s">
        <v>62</v>
      </c>
      <c r="B66" s="211" t="s">
        <v>262</v>
      </c>
      <c r="C66" s="142" t="s">
        <v>6</v>
      </c>
      <c r="D66" s="219">
        <v>264181.17</v>
      </c>
      <c r="E66" s="6"/>
    </row>
    <row r="67" spans="1:5" ht="33.75" x14ac:dyDescent="0.2">
      <c r="A67" s="31"/>
      <c r="B67" s="54" t="s">
        <v>63</v>
      </c>
      <c r="C67" s="55"/>
      <c r="D67" s="220"/>
      <c r="E67" s="6"/>
    </row>
    <row r="68" spans="1:5" ht="48" x14ac:dyDescent="0.2">
      <c r="A68" s="31" t="s">
        <v>64</v>
      </c>
      <c r="B68" s="56" t="s">
        <v>65</v>
      </c>
      <c r="C68" s="55" t="s">
        <v>6</v>
      </c>
      <c r="D68" s="219">
        <v>205323.18</v>
      </c>
      <c r="E68" s="6"/>
    </row>
    <row r="69" spans="1:5" ht="60" x14ac:dyDescent="0.2">
      <c r="A69" s="31" t="s">
        <v>66</v>
      </c>
      <c r="B69" s="57" t="s">
        <v>98</v>
      </c>
      <c r="C69" s="55" t="s">
        <v>6</v>
      </c>
      <c r="D69" s="219">
        <v>498018.5</v>
      </c>
      <c r="E69" s="6"/>
    </row>
    <row r="70" spans="1:5" ht="15" x14ac:dyDescent="0.25">
      <c r="A70" s="31" t="s">
        <v>68</v>
      </c>
      <c r="B70" s="58" t="s">
        <v>69</v>
      </c>
      <c r="C70" s="55" t="s">
        <v>6</v>
      </c>
      <c r="D70" s="224">
        <f>D19*6%</f>
        <v>143268.76739999998</v>
      </c>
      <c r="E70" s="6"/>
    </row>
    <row r="71" spans="1:5" x14ac:dyDescent="0.2">
      <c r="A71" s="152" t="s">
        <v>251</v>
      </c>
      <c r="B71" s="59" t="s">
        <v>70</v>
      </c>
      <c r="C71" s="55" t="s">
        <v>6</v>
      </c>
      <c r="D71" s="224">
        <f>D70+D69+D68+D66+D65+D59+D53+D42+D38+D35+D32+D28</f>
        <v>2435472.5473999996</v>
      </c>
      <c r="E71" s="6"/>
    </row>
    <row r="72" spans="1:5" ht="15.75" x14ac:dyDescent="0.25">
      <c r="A72" s="60"/>
      <c r="B72" s="61"/>
      <c r="C72" s="62"/>
      <c r="D72" s="156"/>
      <c r="E72" s="153"/>
    </row>
    <row r="73" spans="1:5" ht="15.75" x14ac:dyDescent="0.25">
      <c r="A73" s="60"/>
      <c r="B73" s="61"/>
      <c r="C73" s="62"/>
      <c r="D73" s="156"/>
      <c r="E73" s="153"/>
    </row>
    <row r="74" spans="1:5" ht="15.75" x14ac:dyDescent="0.25">
      <c r="A74" s="60"/>
      <c r="B74" s="233" t="s">
        <v>256</v>
      </c>
      <c r="C74" s="62"/>
      <c r="D74" s="159">
        <f>D7+D19-D71</f>
        <v>-394052.74739999953</v>
      </c>
      <c r="E74" s="153"/>
    </row>
    <row r="75" spans="1:5" ht="15.75" x14ac:dyDescent="0.25">
      <c r="A75" s="60"/>
      <c r="B75" s="61"/>
      <c r="C75" s="62"/>
      <c r="D75" s="156"/>
      <c r="E75" s="153"/>
    </row>
    <row r="76" spans="1:5" ht="15.75" x14ac:dyDescent="0.25">
      <c r="A76" s="60"/>
      <c r="B76" s="61"/>
      <c r="C76" s="62"/>
      <c r="D76" s="65"/>
    </row>
    <row r="77" spans="1:5" x14ac:dyDescent="0.2">
      <c r="A77" s="60"/>
      <c r="B77" s="1" t="s">
        <v>72</v>
      </c>
      <c r="D77" s="1" t="s">
        <v>73</v>
      </c>
    </row>
    <row r="78" spans="1:5" x14ac:dyDescent="0.2">
      <c r="A78" s="60"/>
      <c r="B78" s="1" t="s">
        <v>74</v>
      </c>
      <c r="D78" s="1" t="s">
        <v>273</v>
      </c>
    </row>
    <row r="79" spans="1:5" x14ac:dyDescent="0.2">
      <c r="A79" s="60"/>
    </row>
  </sheetData>
  <mergeCells count="2">
    <mergeCell ref="A3:F3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50" workbookViewId="0">
      <selection activeCell="G21" sqref="G21:R72"/>
    </sheetView>
  </sheetViews>
  <sheetFormatPr defaultColWidth="9" defaultRowHeight="14.25" x14ac:dyDescent="0.2"/>
  <cols>
    <col min="1" max="1" width="5.28515625" style="1" customWidth="1"/>
    <col min="2" max="2" width="36.85546875" style="1" customWidth="1"/>
    <col min="3" max="3" width="9" style="1"/>
    <col min="4" max="4" width="11.28515625" style="1" customWidth="1"/>
    <col min="5" max="5" width="10.5703125" style="1" customWidth="1"/>
    <col min="6" max="6" width="9" style="1"/>
    <col min="7" max="7" width="11.28515625" style="1" customWidth="1"/>
    <col min="8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217</v>
      </c>
      <c r="C3" s="298"/>
      <c r="D3" s="298"/>
      <c r="E3" s="298"/>
    </row>
    <row r="4" spans="1:16" x14ac:dyDescent="0.2">
      <c r="A4" s="4"/>
      <c r="B4" s="291"/>
      <c r="C4" s="291"/>
      <c r="D4" s="291"/>
      <c r="E4" s="291"/>
    </row>
    <row r="5" spans="1:16" x14ac:dyDescent="0.2">
      <c r="B5" s="163" t="s">
        <v>182</v>
      </c>
      <c r="C5" s="163"/>
      <c r="D5" s="163">
        <v>631582.71</v>
      </c>
      <c r="E5" s="168"/>
    </row>
    <row r="6" spans="1:16" x14ac:dyDescent="0.2">
      <c r="A6" s="6"/>
      <c r="B6" s="164" t="s">
        <v>211</v>
      </c>
      <c r="C6" s="167" t="s">
        <v>6</v>
      </c>
      <c r="D6" s="170">
        <v>-351517.7</v>
      </c>
      <c r="E6" s="160"/>
    </row>
    <row r="7" spans="1:16" x14ac:dyDescent="0.2">
      <c r="A7" s="6"/>
      <c r="B7" s="164"/>
      <c r="C7" s="167"/>
      <c r="D7" s="170"/>
      <c r="E7" s="160"/>
    </row>
    <row r="8" spans="1:16" x14ac:dyDescent="0.2">
      <c r="A8" s="6"/>
      <c r="B8" s="165" t="s">
        <v>2</v>
      </c>
      <c r="C8" s="167" t="s">
        <v>3</v>
      </c>
      <c r="D8" s="171">
        <v>7341.82</v>
      </c>
      <c r="E8" s="160"/>
    </row>
    <row r="9" spans="1:16" x14ac:dyDescent="0.2">
      <c r="A9" s="6"/>
      <c r="B9" s="165" t="s">
        <v>4</v>
      </c>
      <c r="C9" s="167" t="s">
        <v>3</v>
      </c>
      <c r="D9" s="171">
        <v>4983.22</v>
      </c>
      <c r="E9" s="160"/>
    </row>
    <row r="10" spans="1:16" x14ac:dyDescent="0.2">
      <c r="A10" s="6"/>
      <c r="B10" s="166" t="s">
        <v>5</v>
      </c>
      <c r="C10" s="164" t="s">
        <v>6</v>
      </c>
      <c r="D10" s="170">
        <v>1251588.8700000001</v>
      </c>
      <c r="E10" s="160"/>
    </row>
    <row r="11" spans="1:16" x14ac:dyDescent="0.2">
      <c r="A11" s="6"/>
      <c r="B11" s="164"/>
      <c r="C11" s="164"/>
      <c r="D11" s="171"/>
      <c r="E11" s="160"/>
    </row>
    <row r="12" spans="1:16" x14ac:dyDescent="0.2">
      <c r="A12" s="6"/>
      <c r="B12" s="166" t="s">
        <v>7</v>
      </c>
      <c r="C12" s="164"/>
      <c r="D12" s="171"/>
      <c r="E12" s="160"/>
    </row>
    <row r="13" spans="1:16" x14ac:dyDescent="0.2">
      <c r="A13" s="6">
        <v>1</v>
      </c>
      <c r="B13" s="167" t="s">
        <v>208</v>
      </c>
      <c r="C13" s="167" t="s">
        <v>6</v>
      </c>
      <c r="D13" s="171">
        <v>1092222.97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6">
        <v>2</v>
      </c>
      <c r="B14" s="167" t="s">
        <v>9</v>
      </c>
      <c r="C14" s="167" t="s">
        <v>6</v>
      </c>
      <c r="D14" s="171">
        <f>9000+3150+5400+18000</f>
        <v>35550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"/>
      <c r="B15" s="166" t="s">
        <v>10</v>
      </c>
      <c r="C15" s="164" t="s">
        <v>6</v>
      </c>
      <c r="D15" s="170">
        <f>D13+D14</f>
        <v>1127772.97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6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B17" s="163"/>
      <c r="C17" s="163"/>
      <c r="D17" s="168"/>
      <c r="E17" s="168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5" t="s">
        <v>12</v>
      </c>
      <c r="B20" s="16"/>
      <c r="C20" s="17" t="s">
        <v>117</v>
      </c>
      <c r="D20" s="173" t="s">
        <v>13</v>
      </c>
      <c r="E20" s="242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2">
      <c r="A21" s="15" t="s">
        <v>15</v>
      </c>
      <c r="B21" s="20" t="s">
        <v>16</v>
      </c>
      <c r="C21" s="20" t="s">
        <v>118</v>
      </c>
      <c r="D21" s="173" t="s">
        <v>17</v>
      </c>
      <c r="E21" s="226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5.5" x14ac:dyDescent="0.2">
      <c r="A22" s="22" t="s">
        <v>18</v>
      </c>
      <c r="B22" s="23" t="s">
        <v>88</v>
      </c>
      <c r="C22" s="24"/>
      <c r="D22" s="204"/>
      <c r="E22" s="204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51" x14ac:dyDescent="0.2">
      <c r="A23" s="22"/>
      <c r="B23" s="25" t="s">
        <v>20</v>
      </c>
      <c r="C23" s="26" t="s">
        <v>6</v>
      </c>
      <c r="D23" s="216">
        <f>D24+D25+D26</f>
        <v>206469.22000000003</v>
      </c>
      <c r="E23" s="204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93" customHeight="1" x14ac:dyDescent="0.2">
      <c r="A24" s="22"/>
      <c r="B24" s="28" t="s">
        <v>21</v>
      </c>
      <c r="C24" s="29"/>
      <c r="D24" s="204">
        <v>86209.17</v>
      </c>
      <c r="E24" s="204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29.75" customHeight="1" x14ac:dyDescent="0.2">
      <c r="A25" s="30"/>
      <c r="B25" s="28" t="s">
        <v>22</v>
      </c>
      <c r="C25" s="29"/>
      <c r="D25" s="204">
        <v>117864.6</v>
      </c>
      <c r="E25" s="204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2.5" x14ac:dyDescent="0.2">
      <c r="A26" s="31"/>
      <c r="B26" s="40" t="s">
        <v>23</v>
      </c>
      <c r="C26" s="69"/>
      <c r="D26" s="204">
        <v>2395.4499999999998</v>
      </c>
      <c r="E26" s="204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 x14ac:dyDescent="0.2">
      <c r="A27" s="22"/>
      <c r="B27" s="25" t="s">
        <v>24</v>
      </c>
      <c r="C27" s="26" t="s">
        <v>6</v>
      </c>
      <c r="D27" s="216">
        <f>D28+D29</f>
        <v>7447.72</v>
      </c>
      <c r="E27" s="204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">
      <c r="A28" s="33"/>
      <c r="B28" s="70" t="s">
        <v>25</v>
      </c>
      <c r="C28" s="35"/>
      <c r="D28" s="204">
        <v>6250</v>
      </c>
      <c r="E28" s="204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22"/>
      <c r="B29" s="70" t="s">
        <v>26</v>
      </c>
      <c r="C29" s="35"/>
      <c r="D29" s="204">
        <v>1197.72</v>
      </c>
      <c r="E29" s="204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58.5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38988</v>
      </c>
      <c r="E30" s="204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80.25" customHeight="1" x14ac:dyDescent="0.2">
      <c r="A31" s="37"/>
      <c r="B31" s="28" t="s">
        <v>29</v>
      </c>
      <c r="C31" s="29"/>
      <c r="D31" s="204">
        <v>38988</v>
      </c>
      <c r="E31" s="204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38.25" x14ac:dyDescent="0.2">
      <c r="A32" s="37"/>
      <c r="B32" s="91" t="s">
        <v>30</v>
      </c>
      <c r="C32" s="39"/>
      <c r="D32" s="204">
        <v>0</v>
      </c>
      <c r="E32" s="204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51" x14ac:dyDescent="0.2">
      <c r="A33" s="37" t="s">
        <v>31</v>
      </c>
      <c r="B33" s="25" t="s">
        <v>32</v>
      </c>
      <c r="C33" s="12" t="s">
        <v>6</v>
      </c>
      <c r="D33" s="216">
        <f>D34+D35+D36</f>
        <v>3995</v>
      </c>
      <c r="E33" s="204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45" x14ac:dyDescent="0.2">
      <c r="A34" s="33"/>
      <c r="B34" s="40" t="s">
        <v>33</v>
      </c>
      <c r="C34" s="39"/>
      <c r="D34" s="204">
        <v>3995</v>
      </c>
      <c r="E34" s="204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2.5" x14ac:dyDescent="0.2">
      <c r="A35" s="33"/>
      <c r="B35" s="38" t="s">
        <v>89</v>
      </c>
      <c r="C35" s="39"/>
      <c r="D35" s="204">
        <v>0</v>
      </c>
      <c r="E35" s="204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35</v>
      </c>
      <c r="C36" s="39"/>
      <c r="D36" s="204">
        <v>0</v>
      </c>
      <c r="E36" s="204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15.75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67325.02</v>
      </c>
      <c r="E37" s="204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">
      <c r="A38" s="42"/>
      <c r="B38" s="43" t="s">
        <v>38</v>
      </c>
      <c r="C38" s="44"/>
      <c r="D38" s="204">
        <v>4149.6000000000004</v>
      </c>
      <c r="E38" s="204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2.5" x14ac:dyDescent="0.2">
      <c r="A39" s="42"/>
      <c r="B39" s="43" t="s">
        <v>39</v>
      </c>
      <c r="C39" s="44"/>
      <c r="D39" s="204">
        <v>6417.75</v>
      </c>
      <c r="E39" s="204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5" t="s">
        <v>40</v>
      </c>
      <c r="C40" s="44"/>
      <c r="D40" s="153">
        <v>23241.06</v>
      </c>
      <c r="E40" s="204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45" x14ac:dyDescent="0.2">
      <c r="A41" s="31"/>
      <c r="B41" s="46" t="s">
        <v>41</v>
      </c>
      <c r="C41" s="44"/>
      <c r="D41" s="204"/>
      <c r="E41" s="204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7" t="s">
        <v>109</v>
      </c>
      <c r="C42" s="44"/>
      <c r="D42" s="204">
        <v>0</v>
      </c>
      <c r="E42" s="204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91</v>
      </c>
      <c r="C43" s="44"/>
      <c r="D43" s="204">
        <v>739.02</v>
      </c>
      <c r="E43" s="204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29"/>
      <c r="B44" s="47" t="s">
        <v>92</v>
      </c>
      <c r="C44" s="44"/>
      <c r="D44" s="204">
        <v>2525.2600000000002</v>
      </c>
      <c r="E44" s="204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t="22.5" x14ac:dyDescent="0.2">
      <c r="A45" s="42"/>
      <c r="B45" s="47" t="s">
        <v>45</v>
      </c>
      <c r="C45" s="44"/>
      <c r="D45" s="204">
        <v>30252.33</v>
      </c>
      <c r="E45" s="204"/>
      <c r="F45" s="154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51" x14ac:dyDescent="0.2">
      <c r="A46" s="12" t="s">
        <v>46</v>
      </c>
      <c r="B46" s="48" t="s">
        <v>47</v>
      </c>
      <c r="C46" s="49"/>
      <c r="D46" s="204"/>
      <c r="E46" s="204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x14ac:dyDescent="0.2">
      <c r="A47" s="49"/>
      <c r="B47" s="50" t="s">
        <v>48</v>
      </c>
      <c r="C47" s="49"/>
      <c r="D47" s="204"/>
      <c r="E47" s="204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5.5" x14ac:dyDescent="0.2">
      <c r="A48" s="31"/>
      <c r="B48" s="51" t="s">
        <v>49</v>
      </c>
      <c r="C48" s="20" t="s">
        <v>6</v>
      </c>
      <c r="D48" s="216">
        <f>D49+D50+D51</f>
        <v>99956.810000000012</v>
      </c>
      <c r="E48" s="204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2.5" x14ac:dyDescent="0.2">
      <c r="A49" s="33"/>
      <c r="B49" s="28" t="s">
        <v>50</v>
      </c>
      <c r="C49" s="39"/>
      <c r="D49" s="204">
        <v>94243.6</v>
      </c>
      <c r="E49" s="204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x14ac:dyDescent="0.2">
      <c r="A50" s="31"/>
      <c r="B50" s="52" t="s">
        <v>51</v>
      </c>
      <c r="C50" s="39"/>
      <c r="D50" s="204">
        <v>0</v>
      </c>
      <c r="E50" s="204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2.5" x14ac:dyDescent="0.2">
      <c r="A51" s="31"/>
      <c r="B51" s="52" t="s">
        <v>52</v>
      </c>
      <c r="C51" s="39"/>
      <c r="D51" s="204">
        <v>5713.21</v>
      </c>
      <c r="E51" s="204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49"/>
      <c r="B52" s="76" t="s">
        <v>53</v>
      </c>
      <c r="C52" s="49"/>
      <c r="D52" s="204"/>
      <c r="E52" s="204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17"/>
      <c r="B53" s="77" t="s">
        <v>54</v>
      </c>
      <c r="C53" s="20" t="s">
        <v>6</v>
      </c>
      <c r="D53" s="216">
        <f>D54+D55+D56+D57+D58</f>
        <v>300109.55</v>
      </c>
      <c r="E53" s="204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17"/>
      <c r="B54" s="78" t="s">
        <v>55</v>
      </c>
      <c r="C54" s="79"/>
      <c r="D54" s="204">
        <v>48899</v>
      </c>
      <c r="E54" s="204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17"/>
      <c r="B55" s="78" t="s">
        <v>56</v>
      </c>
      <c r="C55" s="39"/>
      <c r="D55" s="204">
        <v>96772.34</v>
      </c>
      <c r="E55" s="204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2">
      <c r="A56" s="17"/>
      <c r="B56" s="78" t="s">
        <v>57</v>
      </c>
      <c r="C56" s="79"/>
      <c r="D56" s="204">
        <v>14949</v>
      </c>
      <c r="E56" s="204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">
      <c r="A57" s="17"/>
      <c r="B57" s="78" t="s">
        <v>59</v>
      </c>
      <c r="C57" s="39"/>
      <c r="D57" s="204">
        <v>124093.29</v>
      </c>
      <c r="E57" s="204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17"/>
      <c r="B58" s="28" t="s">
        <v>97</v>
      </c>
      <c r="C58" s="79"/>
      <c r="D58" s="204">
        <v>15395.92</v>
      </c>
      <c r="E58" s="204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3" t="s">
        <v>60</v>
      </c>
      <c r="B59" s="210" t="s">
        <v>252</v>
      </c>
      <c r="C59" s="12" t="s">
        <v>6</v>
      </c>
      <c r="D59" s="216">
        <v>12115.83</v>
      </c>
      <c r="E59" s="204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x14ac:dyDescent="0.2">
      <c r="A60" s="31" t="s">
        <v>62</v>
      </c>
      <c r="B60" s="211" t="s">
        <v>262</v>
      </c>
      <c r="C60" s="20" t="s">
        <v>6</v>
      </c>
      <c r="D60" s="216">
        <v>62664.91</v>
      </c>
      <c r="E60" s="204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33.75" x14ac:dyDescent="0.2">
      <c r="A61" s="31"/>
      <c r="B61" s="54" t="s">
        <v>63</v>
      </c>
      <c r="C61" s="55"/>
      <c r="D61" s="216"/>
      <c r="E61" s="204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48" x14ac:dyDescent="0.2">
      <c r="A62" s="31" t="s">
        <v>64</v>
      </c>
      <c r="B62" s="56" t="s">
        <v>65</v>
      </c>
      <c r="C62" s="55" t="s">
        <v>6</v>
      </c>
      <c r="D62" s="216">
        <v>70945</v>
      </c>
      <c r="E62" s="20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60" x14ac:dyDescent="0.2">
      <c r="A63" s="31" t="s">
        <v>66</v>
      </c>
      <c r="B63" s="57" t="s">
        <v>98</v>
      </c>
      <c r="C63" s="55" t="s">
        <v>6</v>
      </c>
      <c r="D63" s="216">
        <v>201642.78</v>
      </c>
      <c r="E63" s="204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" x14ac:dyDescent="0.25">
      <c r="A64" s="31" t="s">
        <v>68</v>
      </c>
      <c r="B64" s="58" t="s">
        <v>69</v>
      </c>
      <c r="C64" s="55" t="s">
        <v>6</v>
      </c>
      <c r="D64" s="218">
        <f>D15*6%</f>
        <v>67666.378199999992</v>
      </c>
      <c r="E64" s="204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">
      <c r="A65" s="31"/>
      <c r="B65" s="59" t="s">
        <v>70</v>
      </c>
      <c r="C65" s="55" t="s">
        <v>6</v>
      </c>
      <c r="D65" s="218">
        <f>D64+D63+D62+D60+D59+D53+D48+D37+D33+D30+D27+D23</f>
        <v>1139326.2182</v>
      </c>
      <c r="E65" s="204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5.75" x14ac:dyDescent="0.25">
      <c r="A66" s="60"/>
      <c r="B66" s="61"/>
      <c r="C66" s="62"/>
      <c r="D66" s="156"/>
      <c r="E66" s="156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5.75" x14ac:dyDescent="0.25">
      <c r="B67" s="243" t="s">
        <v>116</v>
      </c>
      <c r="C67" s="62"/>
      <c r="D67" s="159">
        <f>D6+D15-D65</f>
        <v>-363070.94819999998</v>
      </c>
      <c r="E67" s="156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5.75" x14ac:dyDescent="0.25">
      <c r="B68" s="61"/>
      <c r="C68" s="62"/>
      <c r="D68" s="156"/>
      <c r="E68" s="156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.75" x14ac:dyDescent="0.25">
      <c r="B69" s="61"/>
      <c r="C69" s="62"/>
      <c r="D69" s="63"/>
      <c r="E69" s="6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5.75" x14ac:dyDescent="0.25">
      <c r="B70" s="61"/>
      <c r="C70" s="62"/>
      <c r="D70" s="64"/>
      <c r="E70" s="6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5" x14ac:dyDescent="0.25">
      <c r="F71" s="6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x14ac:dyDescent="0.2">
      <c r="B72" s="66" t="s">
        <v>72</v>
      </c>
      <c r="C72" s="66"/>
      <c r="D72" s="66" t="s">
        <v>73</v>
      </c>
      <c r="E72" s="66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x14ac:dyDescent="0.2">
      <c r="B73" s="66" t="s">
        <v>74</v>
      </c>
      <c r="C73" s="66"/>
      <c r="D73" s="189" t="s">
        <v>273</v>
      </c>
      <c r="E73" s="66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topLeftCell="A51" workbookViewId="0">
      <selection activeCell="G22" sqref="G22:S72"/>
    </sheetView>
  </sheetViews>
  <sheetFormatPr defaultColWidth="9" defaultRowHeight="15" x14ac:dyDescent="0.25"/>
  <cols>
    <col min="1" max="1" width="5.140625" style="1" customWidth="1"/>
    <col min="2" max="2" width="34.42578125" style="1" customWidth="1"/>
    <col min="3" max="3" width="9" style="1"/>
    <col min="4" max="4" width="11.28515625" style="1" customWidth="1"/>
    <col min="5" max="5" width="11.42578125" style="1" customWidth="1"/>
    <col min="6" max="6" width="9" style="1"/>
    <col min="7" max="7" width="10.42578125" style="1" customWidth="1"/>
    <col min="8" max="16383" width="9" style="1"/>
  </cols>
  <sheetData>
    <row r="1" spans="1:15" x14ac:dyDescent="0.25">
      <c r="A1" s="168"/>
      <c r="B1" s="168"/>
      <c r="C1" s="189" t="s">
        <v>0</v>
      </c>
      <c r="D1" s="190"/>
      <c r="E1" s="168"/>
      <c r="F1" s="168"/>
    </row>
    <row r="2" spans="1:15" ht="15" customHeight="1" x14ac:dyDescent="0.25">
      <c r="A2" s="300" t="s">
        <v>111</v>
      </c>
      <c r="B2" s="300"/>
      <c r="C2" s="300"/>
      <c r="D2" s="300"/>
      <c r="E2" s="300"/>
      <c r="F2" s="300"/>
    </row>
    <row r="3" spans="1:15" ht="15" customHeight="1" x14ac:dyDescent="0.25">
      <c r="A3" s="191"/>
      <c r="B3" s="300" t="s">
        <v>219</v>
      </c>
      <c r="C3" s="300"/>
      <c r="D3" s="300"/>
      <c r="E3" s="300"/>
      <c r="F3" s="168"/>
    </row>
    <row r="4" spans="1:15" x14ac:dyDescent="0.25">
      <c r="A4" s="191"/>
      <c r="B4" s="292"/>
      <c r="C4" s="292"/>
      <c r="D4" s="292"/>
      <c r="E4" s="292"/>
      <c r="F4" s="168"/>
    </row>
    <row r="5" spans="1:15" x14ac:dyDescent="0.25">
      <c r="A5" s="168"/>
      <c r="B5" s="163" t="s">
        <v>182</v>
      </c>
      <c r="C5" s="163"/>
      <c r="D5" s="163">
        <v>558654.11</v>
      </c>
      <c r="E5" s="168"/>
      <c r="F5" s="168"/>
    </row>
    <row r="6" spans="1:15" x14ac:dyDescent="0.25">
      <c r="A6" s="160"/>
      <c r="B6" s="164" t="s">
        <v>116</v>
      </c>
      <c r="C6" s="167" t="s">
        <v>6</v>
      </c>
      <c r="D6" s="161">
        <v>-267771.57</v>
      </c>
      <c r="E6" s="160"/>
      <c r="F6" s="168"/>
    </row>
    <row r="7" spans="1:15" x14ac:dyDescent="0.25">
      <c r="A7" s="160"/>
      <c r="B7" s="164"/>
      <c r="C7" s="167" t="s">
        <v>6</v>
      </c>
      <c r="D7" s="160"/>
      <c r="E7" s="160"/>
      <c r="F7" s="168"/>
    </row>
    <row r="8" spans="1:15" x14ac:dyDescent="0.25">
      <c r="A8" s="160"/>
      <c r="B8" s="165" t="s">
        <v>2</v>
      </c>
      <c r="C8" s="167" t="s">
        <v>3</v>
      </c>
      <c r="D8" s="171">
        <v>8960.6</v>
      </c>
      <c r="E8" s="160"/>
      <c r="F8" s="168"/>
    </row>
    <row r="9" spans="1:15" x14ac:dyDescent="0.25">
      <c r="A9" s="160"/>
      <c r="B9" s="165" t="s">
        <v>4</v>
      </c>
      <c r="C9" s="167" t="s">
        <v>3</v>
      </c>
      <c r="D9" s="171">
        <v>5714.2</v>
      </c>
      <c r="E9" s="160"/>
      <c r="F9" s="168"/>
    </row>
    <row r="10" spans="1:15" x14ac:dyDescent="0.25">
      <c r="A10" s="160"/>
      <c r="B10" s="166" t="s">
        <v>5</v>
      </c>
      <c r="C10" s="164" t="s">
        <v>6</v>
      </c>
      <c r="D10" s="170">
        <v>1343646.92</v>
      </c>
      <c r="E10" s="160"/>
      <c r="F10" s="168"/>
    </row>
    <row r="11" spans="1:15" x14ac:dyDescent="0.25">
      <c r="A11" s="160"/>
      <c r="B11" s="164"/>
      <c r="C11" s="164"/>
      <c r="D11" s="160"/>
      <c r="E11" s="160"/>
      <c r="F11" s="168"/>
    </row>
    <row r="12" spans="1:15" x14ac:dyDescent="0.25">
      <c r="A12" s="160"/>
      <c r="B12" s="166" t="s">
        <v>7</v>
      </c>
      <c r="C12" s="164"/>
      <c r="D12" s="160"/>
      <c r="E12" s="160"/>
      <c r="F12" s="168"/>
    </row>
    <row r="13" spans="1:15" x14ac:dyDescent="0.25">
      <c r="A13" s="160">
        <v>1</v>
      </c>
      <c r="B13" s="167" t="s">
        <v>8</v>
      </c>
      <c r="C13" s="167" t="s">
        <v>6</v>
      </c>
      <c r="D13" s="171">
        <v>1168134.6200000001</v>
      </c>
      <c r="E13" s="160"/>
      <c r="F13" s="168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5">
      <c r="A14" s="160">
        <v>2</v>
      </c>
      <c r="B14" s="167" t="s">
        <v>9</v>
      </c>
      <c r="C14" s="167" t="s">
        <v>6</v>
      </c>
      <c r="D14" s="171">
        <f>3150+4500</f>
        <v>7650</v>
      </c>
      <c r="E14" s="160"/>
      <c r="F14" s="168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5">
      <c r="A15" s="160"/>
      <c r="B15" s="167"/>
      <c r="C15" s="164"/>
      <c r="D15" s="161"/>
      <c r="E15" s="160"/>
      <c r="F15" s="168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5">
      <c r="A16" s="160"/>
      <c r="B16" s="166" t="s">
        <v>10</v>
      </c>
      <c r="C16" s="164" t="s">
        <v>6</v>
      </c>
      <c r="D16" s="161">
        <f>D13+D14+D15</f>
        <v>1175784.6200000001</v>
      </c>
      <c r="E16" s="160"/>
      <c r="F16" s="168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5">
      <c r="A17" s="160"/>
      <c r="B17" s="164"/>
      <c r="C17" s="164"/>
      <c r="D17" s="160"/>
      <c r="E17" s="160"/>
      <c r="F17" s="168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5">
      <c r="A18" s="168"/>
      <c r="B18" s="163"/>
      <c r="C18" s="163"/>
      <c r="D18" s="168"/>
      <c r="E18" s="168"/>
      <c r="F18" s="168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5">
      <c r="A19" s="168"/>
      <c r="B19" s="163"/>
      <c r="C19" s="163" t="s">
        <v>11</v>
      </c>
      <c r="D19" s="168"/>
      <c r="E19" s="168"/>
      <c r="F19" s="168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5">
      <c r="A20" s="192"/>
      <c r="B20" s="186"/>
      <c r="C20" s="186"/>
      <c r="D20" s="192"/>
      <c r="E20" s="192"/>
      <c r="F20" s="168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31.5" customHeight="1" x14ac:dyDescent="0.25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7" customHeight="1" x14ac:dyDescent="0.25">
      <c r="A24" s="22"/>
      <c r="B24" s="25" t="s">
        <v>20</v>
      </c>
      <c r="C24" s="26" t="s">
        <v>6</v>
      </c>
      <c r="D24" s="216">
        <f>D25+D26+D27</f>
        <v>231853.56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02.95" customHeight="1" x14ac:dyDescent="0.25">
      <c r="A25" s="22"/>
      <c r="B25" s="28" t="s">
        <v>21</v>
      </c>
      <c r="C25" s="29"/>
      <c r="D25" s="204">
        <f>98986.8+1668.76</f>
        <v>100655.56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35" customHeight="1" x14ac:dyDescent="0.25">
      <c r="A26" s="30"/>
      <c r="B26" s="28" t="s">
        <v>22</v>
      </c>
      <c r="C26" s="29"/>
      <c r="D26" s="204">
        <f>117658+4980</f>
        <v>122638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3.25" x14ac:dyDescent="0.25">
      <c r="A27" s="31"/>
      <c r="B27" s="40" t="s">
        <v>23</v>
      </c>
      <c r="C27" s="29"/>
      <c r="D27" s="204">
        <v>8560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6.25" x14ac:dyDescent="0.25">
      <c r="A28" s="22"/>
      <c r="B28" s="25" t="s">
        <v>24</v>
      </c>
      <c r="C28" s="26" t="s">
        <v>6</v>
      </c>
      <c r="D28" s="216">
        <f>D29+D30</f>
        <v>8991.41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5">
      <c r="A29" s="33"/>
      <c r="B29" s="70" t="s">
        <v>25</v>
      </c>
      <c r="C29" s="35"/>
      <c r="D29" s="204">
        <v>7620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7.25" customHeight="1" x14ac:dyDescent="0.25">
      <c r="A30" s="22"/>
      <c r="B30" s="70" t="s">
        <v>26</v>
      </c>
      <c r="C30" s="35"/>
      <c r="D30" s="204">
        <v>1371.41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9" customHeight="1" x14ac:dyDescent="0.25">
      <c r="A31" s="22" t="s">
        <v>27</v>
      </c>
      <c r="B31" s="245" t="s">
        <v>28</v>
      </c>
      <c r="C31" s="246" t="s">
        <v>6</v>
      </c>
      <c r="D31" s="216">
        <f>D32+D33</f>
        <v>35912.949999999997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94.5" customHeight="1" x14ac:dyDescent="0.25">
      <c r="A32" s="37"/>
      <c r="B32" s="247" t="s">
        <v>29</v>
      </c>
      <c r="C32" s="209"/>
      <c r="D32" s="204">
        <v>35912.949999999997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7.75" customHeight="1" x14ac:dyDescent="0.25">
      <c r="A33" s="37"/>
      <c r="B33" s="248" t="s">
        <v>30</v>
      </c>
      <c r="C33" s="20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4.5" x14ac:dyDescent="0.25">
      <c r="A34" s="37" t="s">
        <v>31</v>
      </c>
      <c r="B34" s="245" t="s">
        <v>32</v>
      </c>
      <c r="C34" s="249" t="s">
        <v>6</v>
      </c>
      <c r="D34" s="216">
        <f>D35+D36+D37</f>
        <v>6362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48" customHeight="1" x14ac:dyDescent="0.25">
      <c r="A35" s="33"/>
      <c r="B35" s="250" t="s">
        <v>33</v>
      </c>
      <c r="C35" s="209"/>
      <c r="D35" s="204">
        <v>3620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5.5" customHeight="1" x14ac:dyDescent="0.25">
      <c r="A36" s="33"/>
      <c r="B36" s="248" t="s">
        <v>89</v>
      </c>
      <c r="C36" s="209"/>
      <c r="D36" s="204">
        <v>2742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3.25" x14ac:dyDescent="0.25">
      <c r="A37" s="33"/>
      <c r="B37" s="248" t="s">
        <v>35</v>
      </c>
      <c r="C37" s="20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5">
      <c r="A38" s="31" t="s">
        <v>36</v>
      </c>
      <c r="B38" s="251" t="s">
        <v>37</v>
      </c>
      <c r="C38" s="206" t="s">
        <v>6</v>
      </c>
      <c r="D38" s="216">
        <f>D39+D40+D41+D43+D44+D45+D46</f>
        <v>82436.740000000005</v>
      </c>
      <c r="E38" s="6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5">
      <c r="A39" s="42"/>
      <c r="B39" s="202" t="s">
        <v>38</v>
      </c>
      <c r="C39" s="203"/>
      <c r="D39" s="204">
        <v>5706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3.25" x14ac:dyDescent="0.25">
      <c r="A40" s="42"/>
      <c r="B40" s="202" t="s">
        <v>39</v>
      </c>
      <c r="C40" s="203"/>
      <c r="D40" s="204">
        <v>7477.5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5">
      <c r="A41" s="42"/>
      <c r="B41" s="205" t="s">
        <v>40</v>
      </c>
      <c r="C41" s="203"/>
      <c r="D41" s="204">
        <v>26647.360000000001</v>
      </c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.75" x14ac:dyDescent="0.25">
      <c r="A42" s="31"/>
      <c r="B42" s="207" t="s">
        <v>41</v>
      </c>
      <c r="C42" s="203"/>
      <c r="D42" s="204"/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5">
      <c r="A43" s="42"/>
      <c r="B43" s="208" t="s">
        <v>109</v>
      </c>
      <c r="C43" s="203"/>
      <c r="D43" s="204">
        <v>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5">
      <c r="A44" s="42"/>
      <c r="B44" s="208" t="s">
        <v>91</v>
      </c>
      <c r="C44" s="203"/>
      <c r="D44" s="204">
        <v>770.5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5">
      <c r="A45" s="29"/>
      <c r="B45" s="208" t="s">
        <v>92</v>
      </c>
      <c r="C45" s="203"/>
      <c r="D45" s="204">
        <v>4195.6899999999996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8.5" customHeight="1" x14ac:dyDescent="0.25">
      <c r="A46" s="42"/>
      <c r="B46" s="208" t="s">
        <v>266</v>
      </c>
      <c r="C46" s="203"/>
      <c r="D46" s="204">
        <v>37639.69</v>
      </c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55.5" customHeight="1" x14ac:dyDescent="0.25">
      <c r="A47" s="12" t="s">
        <v>46</v>
      </c>
      <c r="B47" s="252" t="s">
        <v>47</v>
      </c>
      <c r="C47" s="253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5">
      <c r="A48" s="49"/>
      <c r="B48" s="254" t="s">
        <v>48</v>
      </c>
      <c r="C48" s="253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6.25" customHeight="1" x14ac:dyDescent="0.25">
      <c r="A49" s="31"/>
      <c r="B49" s="251" t="s">
        <v>49</v>
      </c>
      <c r="C49" s="206" t="s">
        <v>6</v>
      </c>
      <c r="D49" s="216">
        <f>D50+D51+D52</f>
        <v>92313.93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7" customHeight="1" x14ac:dyDescent="0.25">
      <c r="A50" s="33"/>
      <c r="B50" s="247" t="s">
        <v>50</v>
      </c>
      <c r="C50" s="209"/>
      <c r="D50" s="204">
        <v>89139.67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18.75" customHeight="1" x14ac:dyDescent="0.25">
      <c r="A51" s="31"/>
      <c r="B51" s="255" t="s">
        <v>51</v>
      </c>
      <c r="C51" s="20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7" customHeight="1" x14ac:dyDescent="0.25">
      <c r="A52" s="31"/>
      <c r="B52" s="255" t="s">
        <v>52</v>
      </c>
      <c r="C52" s="209"/>
      <c r="D52" s="204">
        <v>3174.26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5">
      <c r="A53" s="49"/>
      <c r="B53" s="256" t="s">
        <v>53</v>
      </c>
      <c r="C53" s="253"/>
      <c r="D53" s="204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5.75" customHeight="1" x14ac:dyDescent="0.25">
      <c r="A54" s="17"/>
      <c r="B54" s="257" t="s">
        <v>54</v>
      </c>
      <c r="C54" s="206" t="s">
        <v>6</v>
      </c>
      <c r="D54" s="216">
        <f>D55+D56+D57+D58+D59</f>
        <v>332798.65000000002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18.75" customHeight="1" x14ac:dyDescent="0.25">
      <c r="A55" s="17"/>
      <c r="B55" s="258" t="s">
        <v>55</v>
      </c>
      <c r="C55" s="259"/>
      <c r="D55" s="204">
        <v>71999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5">
      <c r="A56" s="17"/>
      <c r="B56" s="258" t="s">
        <v>56</v>
      </c>
      <c r="C56" s="209"/>
      <c r="D56" s="204">
        <v>109086.26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5">
      <c r="A57" s="17"/>
      <c r="B57" s="258" t="s">
        <v>57</v>
      </c>
      <c r="C57" s="259"/>
      <c r="D57" s="204">
        <v>10990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5">
      <c r="A58" s="17"/>
      <c r="B58" s="258" t="s">
        <v>59</v>
      </c>
      <c r="C58" s="209"/>
      <c r="D58" s="204">
        <f>129970.61+210</f>
        <v>130180.61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5">
      <c r="A59" s="17"/>
      <c r="B59" s="247" t="s">
        <v>97</v>
      </c>
      <c r="C59" s="259"/>
      <c r="D59" s="204">
        <v>10542.78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5">
      <c r="A60" s="33" t="s">
        <v>60</v>
      </c>
      <c r="B60" s="260" t="s">
        <v>252</v>
      </c>
      <c r="C60" s="249" t="s">
        <v>6</v>
      </c>
      <c r="D60" s="216">
        <v>13893.07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20.25" customHeight="1" x14ac:dyDescent="0.25">
      <c r="A61" s="31" t="s">
        <v>62</v>
      </c>
      <c r="B61" s="261" t="s">
        <v>262</v>
      </c>
      <c r="C61" s="206" t="s">
        <v>6</v>
      </c>
      <c r="D61" s="216">
        <v>16163.16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41.25" customHeight="1" x14ac:dyDescent="0.25">
      <c r="A62" s="31"/>
      <c r="B62" s="262" t="s">
        <v>63</v>
      </c>
      <c r="C62" s="263"/>
      <c r="D62" s="216"/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45.75" x14ac:dyDescent="0.25">
      <c r="A63" s="31" t="s">
        <v>64</v>
      </c>
      <c r="B63" s="264" t="s">
        <v>65</v>
      </c>
      <c r="C63" s="263" t="s">
        <v>6</v>
      </c>
      <c r="D63" s="216">
        <v>78600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57" x14ac:dyDescent="0.25">
      <c r="A64" s="31" t="s">
        <v>66</v>
      </c>
      <c r="B64" s="265" t="s">
        <v>98</v>
      </c>
      <c r="C64" s="263" t="s">
        <v>6</v>
      </c>
      <c r="D64" s="216">
        <f>231614.66+2358.55</f>
        <v>233973.21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5">
      <c r="A65" s="31" t="s">
        <v>68</v>
      </c>
      <c r="B65" s="266" t="s">
        <v>69</v>
      </c>
      <c r="C65" s="263" t="s">
        <v>6</v>
      </c>
      <c r="D65" s="218">
        <f>D16*6%</f>
        <v>70547.0772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x14ac:dyDescent="0.25">
      <c r="A66" s="31"/>
      <c r="B66" s="267" t="s">
        <v>70</v>
      </c>
      <c r="C66" s="263" t="s">
        <v>6</v>
      </c>
      <c r="D66" s="218">
        <f>D65+D64+D63+D61+D60+D54+D49+D38+D34+D31+D28+D24</f>
        <v>1203845.7571999999</v>
      </c>
      <c r="E66" s="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/>
      <c r="C67" s="62"/>
      <c r="D67" s="156"/>
      <c r="E67" s="156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 t="s">
        <v>76</v>
      </c>
      <c r="C68" s="62"/>
      <c r="D68" s="159">
        <f>D6+D16-D66</f>
        <v>-295832.70719999983</v>
      </c>
      <c r="E68" s="156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118"/>
      <c r="B69" s="61"/>
      <c r="C69" s="62"/>
      <c r="D69" s="156"/>
      <c r="E69" s="155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A70" s="118"/>
      <c r="B70" s="61"/>
      <c r="C70" s="62"/>
      <c r="D70" s="156"/>
      <c r="E70" s="155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B71" s="61"/>
      <c r="C71" s="62"/>
      <c r="D71" s="65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5">
      <c r="B72" s="66" t="s">
        <v>72</v>
      </c>
      <c r="C72" s="66"/>
      <c r="D72" s="66" t="s">
        <v>73</v>
      </c>
      <c r="E72" s="66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5">
      <c r="B73" s="66" t="s">
        <v>74</v>
      </c>
      <c r="C73" s="66"/>
      <c r="D73" s="275" t="s">
        <v>273</v>
      </c>
      <c r="E73" s="66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6"/>
  <sheetViews>
    <sheetView topLeftCell="A43" workbookViewId="0">
      <selection activeCell="G22" sqref="G22:S65"/>
    </sheetView>
  </sheetViews>
  <sheetFormatPr defaultColWidth="9" defaultRowHeight="15" x14ac:dyDescent="0.25"/>
  <cols>
    <col min="1" max="1" width="5.140625" style="1" customWidth="1"/>
    <col min="2" max="2" width="34.42578125" style="1" customWidth="1"/>
    <col min="3" max="3" width="9" style="1"/>
    <col min="4" max="4" width="11.28515625" style="1" customWidth="1"/>
    <col min="5" max="5" width="11.42578125" style="1" customWidth="1"/>
    <col min="6" max="6" width="9" style="1"/>
    <col min="7" max="7" width="10.42578125" style="1" customWidth="1"/>
    <col min="8" max="16383" width="9" style="1"/>
  </cols>
  <sheetData>
    <row r="1" spans="1:15" x14ac:dyDescent="0.25">
      <c r="C1" s="2" t="s">
        <v>0</v>
      </c>
      <c r="D1" s="3"/>
    </row>
    <row r="2" spans="1:15" ht="15" customHeight="1" x14ac:dyDescent="0.25">
      <c r="A2" s="298" t="s">
        <v>111</v>
      </c>
      <c r="B2" s="298"/>
      <c r="C2" s="298"/>
      <c r="D2" s="298"/>
      <c r="E2" s="298"/>
      <c r="F2" s="298"/>
    </row>
    <row r="3" spans="1:15" ht="15" customHeight="1" x14ac:dyDescent="0.25">
      <c r="A3" s="4"/>
      <c r="B3" s="299" t="s">
        <v>179</v>
      </c>
      <c r="C3" s="298"/>
      <c r="D3" s="298"/>
      <c r="E3" s="298"/>
    </row>
    <row r="4" spans="1:15" x14ac:dyDescent="0.25">
      <c r="A4" s="4"/>
      <c r="B4" s="278"/>
      <c r="C4" s="278"/>
      <c r="D4" s="278"/>
      <c r="E4" s="278"/>
    </row>
    <row r="5" spans="1:15" x14ac:dyDescent="0.25">
      <c r="B5" s="5" t="s">
        <v>75</v>
      </c>
      <c r="C5" s="5"/>
      <c r="D5" s="5">
        <v>107465.98</v>
      </c>
    </row>
    <row r="6" spans="1:15" x14ac:dyDescent="0.25">
      <c r="A6" s="6"/>
      <c r="B6" s="7" t="s">
        <v>116</v>
      </c>
      <c r="C6" s="8" t="s">
        <v>6</v>
      </c>
      <c r="D6" s="67">
        <v>0</v>
      </c>
      <c r="E6" s="6"/>
    </row>
    <row r="7" spans="1:15" x14ac:dyDescent="0.25">
      <c r="A7" s="6"/>
      <c r="B7" s="7"/>
      <c r="C7" s="8" t="s">
        <v>6</v>
      </c>
      <c r="D7" s="68"/>
      <c r="E7" s="6"/>
    </row>
    <row r="8" spans="1:15" x14ac:dyDescent="0.25">
      <c r="A8" s="6"/>
      <c r="B8" s="10" t="s">
        <v>2</v>
      </c>
      <c r="C8" s="8" t="s">
        <v>3</v>
      </c>
      <c r="D8" s="114">
        <v>1930.6</v>
      </c>
      <c r="E8" s="6"/>
    </row>
    <row r="9" spans="1:15" x14ac:dyDescent="0.25">
      <c r="A9" s="6"/>
      <c r="B9" s="10" t="s">
        <v>4</v>
      </c>
      <c r="C9" s="8" t="s">
        <v>3</v>
      </c>
      <c r="D9" s="114">
        <v>1638.2</v>
      </c>
      <c r="E9" s="6"/>
    </row>
    <row r="10" spans="1:15" x14ac:dyDescent="0.25">
      <c r="A10" s="6"/>
      <c r="B10" s="12" t="s">
        <v>5</v>
      </c>
      <c r="C10" s="7" t="s">
        <v>6</v>
      </c>
      <c r="D10" s="115">
        <v>213299.61</v>
      </c>
      <c r="E10" s="6"/>
    </row>
    <row r="11" spans="1:15" x14ac:dyDescent="0.25">
      <c r="A11" s="6"/>
      <c r="B11" s="7"/>
      <c r="C11" s="7"/>
      <c r="D11" s="116"/>
      <c r="E11" s="6"/>
    </row>
    <row r="12" spans="1:15" x14ac:dyDescent="0.25">
      <c r="A12" s="6"/>
      <c r="B12" s="12" t="s">
        <v>7</v>
      </c>
      <c r="C12" s="7"/>
      <c r="D12" s="116"/>
      <c r="E12" s="6"/>
    </row>
    <row r="13" spans="1:15" x14ac:dyDescent="0.25">
      <c r="A13" s="6">
        <v>1</v>
      </c>
      <c r="B13" s="8" t="s">
        <v>8</v>
      </c>
      <c r="C13" s="8" t="s">
        <v>6</v>
      </c>
      <c r="D13" s="114">
        <v>121854.02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5">
      <c r="A14" s="6">
        <v>2</v>
      </c>
      <c r="B14" s="8" t="s">
        <v>9</v>
      </c>
      <c r="C14" s="8" t="s">
        <v>6</v>
      </c>
      <c r="D14" s="114">
        <v>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5">
      <c r="A15" s="6"/>
      <c r="B15" s="8"/>
      <c r="C15" s="7"/>
      <c r="D15" s="117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5">
      <c r="A16" s="6"/>
      <c r="B16" s="12" t="s">
        <v>10</v>
      </c>
      <c r="C16" s="7" t="s">
        <v>6</v>
      </c>
      <c r="D16" s="117">
        <f>D13+D14+D15</f>
        <v>121854.02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5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5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5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5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31.5" customHeight="1" x14ac:dyDescent="0.25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.75" customHeight="1" x14ac:dyDescent="0.25">
      <c r="A24" s="22"/>
      <c r="B24" s="25" t="s">
        <v>20</v>
      </c>
      <c r="C24" s="26" t="s">
        <v>6</v>
      </c>
      <c r="D24" s="216">
        <f>D25</f>
        <v>59744.75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02.95" customHeight="1" x14ac:dyDescent="0.25">
      <c r="A25" s="22"/>
      <c r="B25" s="28" t="s">
        <v>21</v>
      </c>
      <c r="C25" s="29"/>
      <c r="D25" s="204">
        <v>59744.75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53.1" customHeight="1" x14ac:dyDescent="0.25">
      <c r="A26" s="22" t="s">
        <v>27</v>
      </c>
      <c r="B26" s="25" t="s">
        <v>28</v>
      </c>
      <c r="C26" s="36" t="s">
        <v>6</v>
      </c>
      <c r="D26" s="216">
        <f>D27+D28</f>
        <v>5540.82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90.95" customHeight="1" x14ac:dyDescent="0.25">
      <c r="A27" s="37"/>
      <c r="B27" s="28" t="s">
        <v>29</v>
      </c>
      <c r="C27" s="29"/>
      <c r="D27" s="204">
        <v>5540.82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3.25" x14ac:dyDescent="0.25">
      <c r="A28" s="37"/>
      <c r="B28" s="38" t="s">
        <v>30</v>
      </c>
      <c r="C28" s="39"/>
      <c r="D28" s="204">
        <v>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51.75" x14ac:dyDescent="0.25">
      <c r="A29" s="37" t="s">
        <v>31</v>
      </c>
      <c r="B29" s="25" t="s">
        <v>32</v>
      </c>
      <c r="C29" s="12" t="s">
        <v>6</v>
      </c>
      <c r="D29" s="216">
        <f>D30+D31+D32</f>
        <v>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45.75" x14ac:dyDescent="0.25">
      <c r="A30" s="33"/>
      <c r="B30" s="40" t="s">
        <v>33</v>
      </c>
      <c r="C30" s="39"/>
      <c r="D30" s="204">
        <v>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23.25" x14ac:dyDescent="0.25">
      <c r="A31" s="33"/>
      <c r="B31" s="38" t="s">
        <v>89</v>
      </c>
      <c r="C31" s="39"/>
      <c r="D31" s="204">
        <v>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23.25" x14ac:dyDescent="0.25">
      <c r="A32" s="33"/>
      <c r="B32" s="38" t="s">
        <v>35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31.5" x14ac:dyDescent="0.25">
      <c r="A33" s="31" t="s">
        <v>36</v>
      </c>
      <c r="B33" s="41" t="s">
        <v>37</v>
      </c>
      <c r="C33" s="20" t="s">
        <v>6</v>
      </c>
      <c r="D33" s="216">
        <f>D34+D35+D36+D38+D39+D40+D41</f>
        <v>3912.75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x14ac:dyDescent="0.25">
      <c r="A34" s="42"/>
      <c r="B34" s="43" t="s">
        <v>38</v>
      </c>
      <c r="C34" s="44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3.25" x14ac:dyDescent="0.25">
      <c r="A35" s="42"/>
      <c r="B35" s="43" t="s">
        <v>39</v>
      </c>
      <c r="C35" s="44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x14ac:dyDescent="0.25">
      <c r="A36" s="42"/>
      <c r="B36" s="45" t="s">
        <v>40</v>
      </c>
      <c r="C36" s="44"/>
      <c r="D36" s="204">
        <v>3513.69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45.75" x14ac:dyDescent="0.25">
      <c r="A37" s="31"/>
      <c r="B37" s="46" t="s">
        <v>41</v>
      </c>
      <c r="C37" s="44"/>
      <c r="D37" s="204"/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5">
      <c r="A38" s="42"/>
      <c r="B38" s="47" t="s">
        <v>109</v>
      </c>
      <c r="C38" s="44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5">
      <c r="A39" s="42"/>
      <c r="B39" s="47" t="s">
        <v>91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x14ac:dyDescent="0.25">
      <c r="A40" s="29"/>
      <c r="B40" s="47" t="s">
        <v>92</v>
      </c>
      <c r="C40" s="44"/>
      <c r="D40" s="204">
        <v>393.06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28.5" customHeight="1" x14ac:dyDescent="0.25">
      <c r="A41" s="42"/>
      <c r="B41" s="47" t="s">
        <v>45</v>
      </c>
      <c r="C41" s="44"/>
      <c r="D41" s="204">
        <v>6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55.5" customHeight="1" x14ac:dyDescent="0.25">
      <c r="A42" s="12" t="s">
        <v>46</v>
      </c>
      <c r="B42" s="48" t="s">
        <v>47</v>
      </c>
      <c r="C42" s="49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5">
      <c r="A43" s="49"/>
      <c r="B43" s="50" t="s">
        <v>48</v>
      </c>
      <c r="C43" s="49"/>
      <c r="D43" s="204"/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6.25" customHeight="1" x14ac:dyDescent="0.25">
      <c r="A44" s="31"/>
      <c r="B44" s="51" t="s">
        <v>49</v>
      </c>
      <c r="C44" s="20" t="s">
        <v>6</v>
      </c>
      <c r="D44" s="216">
        <f>D45+D46+D47</f>
        <v>30456.91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23.25" customHeight="1" x14ac:dyDescent="0.25">
      <c r="A45" s="33"/>
      <c r="B45" s="28" t="s">
        <v>50</v>
      </c>
      <c r="C45" s="39"/>
      <c r="D45" s="204">
        <v>30456.91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8.75" customHeight="1" x14ac:dyDescent="0.25">
      <c r="A46" s="31"/>
      <c r="B46" s="52" t="s">
        <v>51</v>
      </c>
      <c r="C46" s="39"/>
      <c r="D46" s="204">
        <v>0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3.25" customHeight="1" x14ac:dyDescent="0.25">
      <c r="A47" s="31"/>
      <c r="B47" s="52" t="s">
        <v>52</v>
      </c>
      <c r="C47" s="39"/>
      <c r="D47" s="204">
        <v>0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5">
      <c r="A48" s="49"/>
      <c r="B48" s="76" t="s">
        <v>53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15.75" customHeight="1" x14ac:dyDescent="0.25">
      <c r="A49" s="17"/>
      <c r="B49" s="77" t="s">
        <v>54</v>
      </c>
      <c r="C49" s="20" t="s">
        <v>6</v>
      </c>
      <c r="D49" s="216">
        <f>D50+D51+D52+D53</f>
        <v>94886.709999999992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18.75" customHeight="1" x14ac:dyDescent="0.25">
      <c r="A50" s="17"/>
      <c r="B50" s="78" t="s">
        <v>55</v>
      </c>
      <c r="C50" s="79"/>
      <c r="D50" s="204">
        <v>25028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5">
      <c r="A51" s="17"/>
      <c r="B51" s="78" t="s">
        <v>56</v>
      </c>
      <c r="C51" s="39"/>
      <c r="D51" s="204">
        <v>61622.64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5">
      <c r="A52" s="17"/>
      <c r="B52" s="78" t="s">
        <v>57</v>
      </c>
      <c r="C52" s="7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5">
      <c r="A53" s="17"/>
      <c r="B53" s="28" t="s">
        <v>97</v>
      </c>
      <c r="C53" s="79"/>
      <c r="D53" s="204">
        <v>8236.07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20.25" customHeight="1" x14ac:dyDescent="0.25">
      <c r="A54" s="31" t="s">
        <v>60</v>
      </c>
      <c r="B54" s="211" t="s">
        <v>262</v>
      </c>
      <c r="C54" s="20" t="s">
        <v>6</v>
      </c>
      <c r="D54" s="216">
        <v>0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6.75" customHeight="1" x14ac:dyDescent="0.25">
      <c r="A55" s="31"/>
      <c r="B55" s="54" t="s">
        <v>63</v>
      </c>
      <c r="C55" s="55"/>
      <c r="D55" s="216"/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24.75" x14ac:dyDescent="0.25">
      <c r="A56" s="31" t="s">
        <v>62</v>
      </c>
      <c r="B56" s="182" t="s">
        <v>271</v>
      </c>
      <c r="C56" s="55" t="s">
        <v>6</v>
      </c>
      <c r="D56" s="216">
        <v>0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5">
      <c r="A57" s="31" t="s">
        <v>64</v>
      </c>
      <c r="B57" s="183" t="s">
        <v>272</v>
      </c>
      <c r="C57" s="55" t="s">
        <v>6</v>
      </c>
      <c r="D57" s="216">
        <v>38794.85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5">
      <c r="A58" s="31" t="s">
        <v>66</v>
      </c>
      <c r="B58" s="58" t="s">
        <v>69</v>
      </c>
      <c r="C58" s="55" t="s">
        <v>6</v>
      </c>
      <c r="D58" s="218">
        <f>D16*6%</f>
        <v>7311.2412000000004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5">
      <c r="A59" s="31"/>
      <c r="B59" s="59" t="s">
        <v>70</v>
      </c>
      <c r="C59" s="55" t="s">
        <v>6</v>
      </c>
      <c r="D59" s="218">
        <f>D58+D57+D56+D54+D49+D44+D33+D29+D26+D24</f>
        <v>240648.0312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A60" s="60"/>
      <c r="B60" s="61" t="s">
        <v>76</v>
      </c>
      <c r="C60" s="62"/>
      <c r="D60" s="159">
        <f>D16-D59</f>
        <v>-118794.01119999999</v>
      </c>
      <c r="E60" s="15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A61" s="60"/>
      <c r="B61" s="61"/>
      <c r="C61" s="62"/>
      <c r="D61" s="159"/>
      <c r="E61" s="15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x14ac:dyDescent="0.25">
      <c r="A62" s="118"/>
      <c r="B62" s="66" t="s">
        <v>72</v>
      </c>
      <c r="C62" s="66"/>
      <c r="D62" s="66" t="s">
        <v>73</v>
      </c>
      <c r="E62" s="155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x14ac:dyDescent="0.25">
      <c r="A63" s="118"/>
      <c r="B63" s="66" t="s">
        <v>74</v>
      </c>
      <c r="C63" s="66"/>
      <c r="D63" s="189" t="s">
        <v>273</v>
      </c>
      <c r="E63" s="155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B64" s="61"/>
      <c r="C64" s="62"/>
      <c r="D64" s="65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x14ac:dyDescent="0.25">
      <c r="B65" s="66"/>
      <c r="C65" s="66"/>
      <c r="D65" s="66"/>
      <c r="E65" s="6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x14ac:dyDescent="0.25">
      <c r="B66" s="66"/>
      <c r="C66" s="66"/>
      <c r="D66" s="189"/>
      <c r="E66" s="66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0" workbookViewId="0">
      <selection activeCell="O68" sqref="O68"/>
    </sheetView>
  </sheetViews>
  <sheetFormatPr defaultColWidth="9" defaultRowHeight="14.25" x14ac:dyDescent="0.2"/>
  <cols>
    <col min="1" max="1" width="4.7109375" style="1" customWidth="1"/>
    <col min="2" max="2" width="36.5703125" style="1" customWidth="1"/>
    <col min="3" max="3" width="9" style="1"/>
    <col min="4" max="4" width="12.42578125" style="1" customWidth="1"/>
    <col min="5" max="5" width="11" style="1" customWidth="1"/>
    <col min="6" max="6" width="11.5703125" style="1" customWidth="1"/>
    <col min="7" max="7" width="12.7109375" style="1" customWidth="1"/>
    <col min="8" max="8" width="12.28515625" style="1" customWidth="1"/>
    <col min="9" max="9" width="15.42578125" style="1" customWidth="1"/>
    <col min="10" max="16384" width="9" style="1"/>
  </cols>
  <sheetData>
    <row r="1" spans="1:14" ht="15" x14ac:dyDescent="0.25">
      <c r="A1" s="168"/>
      <c r="B1" s="168"/>
      <c r="C1" s="189" t="s">
        <v>0</v>
      </c>
      <c r="D1" s="190"/>
      <c r="E1" s="168"/>
      <c r="F1" s="168"/>
      <c r="G1" s="2"/>
    </row>
    <row r="2" spans="1:14" ht="15" customHeight="1" x14ac:dyDescent="0.25">
      <c r="A2" s="300" t="s">
        <v>111</v>
      </c>
      <c r="B2" s="300"/>
      <c r="C2" s="300"/>
      <c r="D2" s="300"/>
      <c r="E2" s="300"/>
      <c r="F2" s="300"/>
      <c r="G2" s="2"/>
    </row>
    <row r="3" spans="1:14" ht="14.25" customHeight="1" x14ac:dyDescent="0.25">
      <c r="A3" s="191"/>
      <c r="B3" s="300" t="s">
        <v>220</v>
      </c>
      <c r="C3" s="300"/>
      <c r="D3" s="300"/>
      <c r="E3" s="300"/>
      <c r="F3" s="168"/>
      <c r="G3" s="2"/>
    </row>
    <row r="4" spans="1:14" ht="15" x14ac:dyDescent="0.25">
      <c r="A4" s="191"/>
      <c r="B4" s="292"/>
      <c r="C4" s="292"/>
      <c r="D4" s="292"/>
      <c r="E4" s="292"/>
      <c r="F4" s="168"/>
      <c r="G4" s="2"/>
    </row>
    <row r="5" spans="1:14" ht="15" x14ac:dyDescent="0.25">
      <c r="A5" s="168"/>
      <c r="B5" s="163" t="s">
        <v>182</v>
      </c>
      <c r="C5" s="163"/>
      <c r="D5" s="163">
        <v>711631.79</v>
      </c>
      <c r="E5" s="168"/>
      <c r="F5" s="168"/>
      <c r="G5" s="2"/>
    </row>
    <row r="6" spans="1:14" x14ac:dyDescent="0.2">
      <c r="A6" s="160"/>
      <c r="B6" s="164" t="s">
        <v>116</v>
      </c>
      <c r="C6" s="167" t="s">
        <v>6</v>
      </c>
      <c r="D6" s="161">
        <v>-370811.51</v>
      </c>
      <c r="E6" s="160"/>
      <c r="F6" s="189"/>
    </row>
    <row r="7" spans="1:14" x14ac:dyDescent="0.2">
      <c r="A7" s="160"/>
      <c r="B7" s="164" t="s">
        <v>156</v>
      </c>
      <c r="C7" s="167" t="s">
        <v>6</v>
      </c>
      <c r="D7" s="161">
        <v>1225000</v>
      </c>
      <c r="E7" s="160"/>
      <c r="F7" s="189"/>
    </row>
    <row r="8" spans="1:14" x14ac:dyDescent="0.2">
      <c r="A8" s="160"/>
      <c r="B8" s="164"/>
      <c r="C8" s="167"/>
      <c r="D8" s="160"/>
      <c r="E8" s="160"/>
      <c r="F8" s="189"/>
    </row>
    <row r="9" spans="1:14" ht="14.25" customHeight="1" x14ac:dyDescent="0.2">
      <c r="A9" s="160"/>
      <c r="B9" s="165" t="s">
        <v>4</v>
      </c>
      <c r="C9" s="167" t="s">
        <v>3</v>
      </c>
      <c r="D9" s="160">
        <v>5589.4</v>
      </c>
      <c r="E9" s="160"/>
      <c r="F9" s="189"/>
    </row>
    <row r="10" spans="1:14" ht="15" customHeight="1" x14ac:dyDescent="0.2">
      <c r="A10" s="160"/>
      <c r="B10" s="166" t="s">
        <v>5</v>
      </c>
      <c r="C10" s="164" t="s">
        <v>6</v>
      </c>
      <c r="D10" s="161">
        <v>1555626.97</v>
      </c>
      <c r="E10" s="160"/>
      <c r="F10" s="189"/>
    </row>
    <row r="11" spans="1:14" ht="14.25" customHeight="1" x14ac:dyDescent="0.2">
      <c r="A11" s="160"/>
      <c r="B11" s="164"/>
      <c r="C11" s="164"/>
      <c r="D11" s="160"/>
      <c r="E11" s="160"/>
      <c r="F11" s="189"/>
    </row>
    <row r="12" spans="1:14" ht="15" customHeight="1" x14ac:dyDescent="0.2">
      <c r="A12" s="160"/>
      <c r="B12" s="166" t="s">
        <v>7</v>
      </c>
      <c r="C12" s="164"/>
      <c r="D12" s="160"/>
      <c r="E12" s="160"/>
      <c r="F12" s="189"/>
    </row>
    <row r="13" spans="1:14" ht="16.5" customHeight="1" x14ac:dyDescent="0.2">
      <c r="A13" s="160">
        <v>1</v>
      </c>
      <c r="B13" s="167" t="s">
        <v>84</v>
      </c>
      <c r="C13" s="167" t="s">
        <v>6</v>
      </c>
      <c r="D13" s="171">
        <v>1268762.44</v>
      </c>
      <c r="E13" s="160"/>
      <c r="F13" s="189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">
      <c r="A14" s="160">
        <v>2</v>
      </c>
      <c r="B14" s="167" t="s">
        <v>9</v>
      </c>
      <c r="C14" s="167" t="s">
        <v>6</v>
      </c>
      <c r="D14" s="171">
        <v>9000</v>
      </c>
      <c r="E14" s="160"/>
      <c r="F14" s="189"/>
      <c r="G14" s="153"/>
      <c r="H14" s="153"/>
      <c r="I14" s="153"/>
      <c r="J14" s="153"/>
      <c r="K14" s="153"/>
      <c r="L14" s="153"/>
      <c r="M14" s="153"/>
      <c r="N14" s="153"/>
    </row>
    <row r="15" spans="1:14" ht="16.5" customHeight="1" x14ac:dyDescent="0.2">
      <c r="A15" s="160">
        <v>3</v>
      </c>
      <c r="B15" s="167" t="s">
        <v>157</v>
      </c>
      <c r="C15" s="164"/>
      <c r="D15" s="171">
        <v>420000</v>
      </c>
      <c r="E15" s="160"/>
      <c r="F15" s="189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160"/>
      <c r="B16" s="166" t="s">
        <v>10</v>
      </c>
      <c r="C16" s="164" t="s">
        <v>6</v>
      </c>
      <c r="D16" s="161">
        <f>D13+D14+D15</f>
        <v>1697762.44</v>
      </c>
      <c r="E16" s="160"/>
      <c r="F16" s="189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160"/>
      <c r="B17" s="164"/>
      <c r="C17" s="164"/>
      <c r="D17" s="160"/>
      <c r="E17" s="160"/>
      <c r="F17" s="189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A18" s="168"/>
      <c r="B18" s="163"/>
      <c r="C18" s="163"/>
      <c r="D18" s="168"/>
      <c r="E18" s="168"/>
      <c r="F18" s="189"/>
      <c r="G18" s="153"/>
      <c r="H18" s="153"/>
      <c r="I18" s="153"/>
      <c r="J18" s="153"/>
      <c r="K18" s="153"/>
      <c r="L18" s="153"/>
      <c r="M18" s="153"/>
      <c r="N18" s="153"/>
    </row>
    <row r="19" spans="1:14" ht="15.75" customHeight="1" x14ac:dyDescent="0.25">
      <c r="B19" s="5"/>
      <c r="C19" s="5" t="s">
        <v>11</v>
      </c>
      <c r="F19" s="2"/>
      <c r="G19" s="153"/>
      <c r="H19" s="153"/>
      <c r="I19" s="153"/>
      <c r="J19" s="153"/>
      <c r="K19" s="153"/>
      <c r="L19" s="153"/>
      <c r="M19" s="153"/>
      <c r="N19" s="153"/>
    </row>
    <row r="20" spans="1:14" ht="15" x14ac:dyDescent="0.25">
      <c r="A20" s="13"/>
      <c r="B20" s="14"/>
      <c r="C20" s="14"/>
      <c r="D20" s="13"/>
      <c r="E20" s="13"/>
      <c r="F20" s="2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12</v>
      </c>
      <c r="B21" s="16"/>
      <c r="C21" s="17" t="s">
        <v>85</v>
      </c>
      <c r="D21" s="18" t="s">
        <v>13</v>
      </c>
      <c r="E21" s="19"/>
      <c r="F21" s="2"/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F22" s="2"/>
      <c r="G22" s="153"/>
      <c r="H22" s="153"/>
      <c r="I22" s="153"/>
      <c r="J22" s="153"/>
      <c r="K22" s="153"/>
      <c r="L22" s="153"/>
      <c r="M22" s="153"/>
      <c r="N22" s="153"/>
    </row>
    <row r="23" spans="1:14" ht="26.25" x14ac:dyDescent="0.25">
      <c r="A23" s="15" t="s">
        <v>15</v>
      </c>
      <c r="B23" s="23" t="s">
        <v>88</v>
      </c>
      <c r="C23" s="24"/>
      <c r="D23" s="6"/>
      <c r="E23" s="6"/>
      <c r="F23" s="2"/>
      <c r="G23" s="153"/>
      <c r="H23" s="153"/>
      <c r="I23" s="153"/>
      <c r="J23" s="153"/>
      <c r="K23" s="153"/>
      <c r="L23" s="153"/>
      <c r="M23" s="153"/>
      <c r="N23" s="153"/>
    </row>
    <row r="24" spans="1:14" ht="54" customHeight="1" x14ac:dyDescent="0.25">
      <c r="A24" s="22" t="s">
        <v>18</v>
      </c>
      <c r="B24" s="25" t="s">
        <v>20</v>
      </c>
      <c r="C24" s="26" t="s">
        <v>6</v>
      </c>
      <c r="D24" s="216">
        <f>D25+D26+D27</f>
        <v>242961.77</v>
      </c>
      <c r="E24" s="6"/>
      <c r="F24" s="2"/>
      <c r="G24" s="153"/>
      <c r="H24" s="153"/>
      <c r="I24" s="153"/>
      <c r="J24" s="153"/>
      <c r="K24" s="153"/>
      <c r="L24" s="153"/>
      <c r="M24" s="153"/>
      <c r="N24" s="153"/>
    </row>
    <row r="25" spans="1:14" ht="94.5" customHeight="1" x14ac:dyDescent="0.25">
      <c r="A25" s="22"/>
      <c r="B25" s="28" t="s">
        <v>21</v>
      </c>
      <c r="C25" s="29"/>
      <c r="D25" s="204">
        <f>103222+10000</f>
        <v>113222</v>
      </c>
      <c r="E25" s="6"/>
      <c r="F25" s="2"/>
      <c r="G25" s="153"/>
      <c r="H25" s="153"/>
      <c r="I25" s="153"/>
      <c r="J25" s="153"/>
      <c r="K25" s="153"/>
      <c r="L25" s="153"/>
      <c r="M25" s="153"/>
      <c r="N25" s="153"/>
    </row>
    <row r="26" spans="1:14" ht="130.5" customHeight="1" x14ac:dyDescent="0.25">
      <c r="A26" s="22"/>
      <c r="B26" s="28" t="s">
        <v>22</v>
      </c>
      <c r="C26" s="29"/>
      <c r="D26" s="204">
        <f>106411.66+12582.45</f>
        <v>118994.11</v>
      </c>
      <c r="E26" s="6"/>
      <c r="F26" s="2"/>
      <c r="G26" s="153"/>
      <c r="H26" s="153"/>
      <c r="I26" s="153"/>
      <c r="J26" s="153"/>
      <c r="K26" s="153"/>
      <c r="L26" s="153"/>
      <c r="M26" s="153"/>
      <c r="N26" s="153"/>
    </row>
    <row r="27" spans="1:14" ht="23.25" x14ac:dyDescent="0.25">
      <c r="A27" s="30"/>
      <c r="B27" s="40" t="s">
        <v>23</v>
      </c>
      <c r="C27" s="69"/>
      <c r="D27" s="204">
        <v>10745.66</v>
      </c>
      <c r="E27" s="6"/>
      <c r="F27" s="2"/>
      <c r="G27" s="153"/>
      <c r="H27" s="153"/>
      <c r="I27" s="153"/>
      <c r="J27" s="153"/>
      <c r="K27" s="153"/>
      <c r="L27" s="153"/>
      <c r="M27" s="153"/>
      <c r="N27" s="153"/>
    </row>
    <row r="28" spans="1:14" ht="27.75" customHeight="1" x14ac:dyDescent="0.25">
      <c r="A28" s="31"/>
      <c r="B28" s="25" t="s">
        <v>24</v>
      </c>
      <c r="C28" s="26" t="s">
        <v>6</v>
      </c>
      <c r="D28" s="216">
        <f>D29+D30</f>
        <v>1343.21</v>
      </c>
      <c r="E28" s="6"/>
      <c r="F28" s="2"/>
      <c r="G28" s="153"/>
      <c r="H28" s="153"/>
      <c r="I28" s="153"/>
      <c r="J28" s="153"/>
      <c r="K28" s="153"/>
      <c r="L28" s="153"/>
      <c r="M28" s="153"/>
      <c r="N28" s="153"/>
    </row>
    <row r="29" spans="1:14" ht="15" x14ac:dyDescent="0.25">
      <c r="A29" s="22"/>
      <c r="B29" s="70" t="s">
        <v>25</v>
      </c>
      <c r="C29" s="35"/>
      <c r="D29" s="204">
        <v>0</v>
      </c>
      <c r="E29" s="6"/>
      <c r="F29" s="2"/>
      <c r="G29" s="153"/>
      <c r="H29" s="153"/>
      <c r="I29" s="153"/>
      <c r="J29" s="153"/>
      <c r="K29" s="153"/>
      <c r="L29" s="153"/>
      <c r="M29" s="153"/>
      <c r="N29" s="153"/>
    </row>
    <row r="30" spans="1:14" ht="21" customHeight="1" x14ac:dyDescent="0.25">
      <c r="A30" s="33"/>
      <c r="B30" s="70" t="s">
        <v>26</v>
      </c>
      <c r="C30" s="35"/>
      <c r="D30" s="204">
        <v>1343.21</v>
      </c>
      <c r="E30" s="6"/>
      <c r="F30" s="2"/>
      <c r="G30" s="153"/>
      <c r="H30" s="153"/>
      <c r="I30" s="153"/>
      <c r="J30" s="153"/>
      <c r="K30" s="153"/>
      <c r="L30" s="153"/>
      <c r="M30" s="153"/>
      <c r="N30" s="153"/>
    </row>
    <row r="31" spans="1:14" ht="55.5" customHeight="1" x14ac:dyDescent="0.25">
      <c r="A31" s="22" t="s">
        <v>27</v>
      </c>
      <c r="B31" s="25" t="s">
        <v>28</v>
      </c>
      <c r="C31" s="36" t="s">
        <v>6</v>
      </c>
      <c r="D31" s="216">
        <f>D32+D33</f>
        <v>39624.639999999999</v>
      </c>
      <c r="E31" s="6"/>
      <c r="F31" s="2"/>
      <c r="G31" s="153"/>
      <c r="H31" s="153"/>
      <c r="I31" s="153"/>
      <c r="J31" s="153"/>
      <c r="K31" s="153"/>
      <c r="L31" s="153"/>
      <c r="M31" s="153"/>
      <c r="N31" s="153"/>
    </row>
    <row r="32" spans="1:14" ht="80.25" customHeight="1" x14ac:dyDescent="0.25">
      <c r="A32" s="22"/>
      <c r="B32" s="28" t="s">
        <v>29</v>
      </c>
      <c r="C32" s="29"/>
      <c r="D32" s="204">
        <v>39624.639999999999</v>
      </c>
      <c r="E32" s="6"/>
      <c r="F32" s="2"/>
      <c r="G32" s="153"/>
      <c r="H32" s="153"/>
      <c r="I32" s="153"/>
      <c r="J32" s="153"/>
      <c r="K32" s="153"/>
      <c r="L32" s="153"/>
      <c r="M32" s="153"/>
      <c r="N32" s="153"/>
    </row>
    <row r="33" spans="1:14" ht="24.75" x14ac:dyDescent="0.25">
      <c r="A33" s="37"/>
      <c r="B33" s="112" t="s">
        <v>30</v>
      </c>
      <c r="C33" s="39"/>
      <c r="D33" s="204">
        <v>0</v>
      </c>
      <c r="E33" s="6"/>
      <c r="F33" s="2"/>
      <c r="G33" s="153"/>
      <c r="H33" s="153"/>
      <c r="I33" s="153"/>
      <c r="J33" s="153"/>
      <c r="K33" s="153"/>
      <c r="L33" s="153"/>
      <c r="M33" s="153"/>
      <c r="N33" s="153"/>
    </row>
    <row r="34" spans="1:14" ht="51.75" x14ac:dyDescent="0.25">
      <c r="A34" s="37" t="s">
        <v>31</v>
      </c>
      <c r="B34" s="25" t="s">
        <v>32</v>
      </c>
      <c r="C34" s="12" t="s">
        <v>6</v>
      </c>
      <c r="D34" s="216">
        <f>D35+D36+D37</f>
        <v>2320</v>
      </c>
      <c r="E34" s="6"/>
      <c r="F34" s="2"/>
      <c r="G34" s="153"/>
      <c r="H34" s="153"/>
      <c r="I34" s="153"/>
      <c r="J34" s="153"/>
      <c r="K34" s="153"/>
      <c r="L34" s="153"/>
      <c r="M34" s="153"/>
      <c r="N34" s="153"/>
    </row>
    <row r="35" spans="1:14" ht="45.75" x14ac:dyDescent="0.25">
      <c r="A35" s="37"/>
      <c r="B35" s="40" t="s">
        <v>33</v>
      </c>
      <c r="C35" s="39"/>
      <c r="D35" s="204">
        <v>2320</v>
      </c>
      <c r="E35" s="6"/>
      <c r="F35" s="2"/>
      <c r="G35" s="153"/>
      <c r="H35" s="153"/>
      <c r="I35" s="153"/>
      <c r="J35" s="153"/>
      <c r="K35" s="153"/>
      <c r="L35" s="153"/>
      <c r="M35" s="153"/>
      <c r="N35" s="153"/>
    </row>
    <row r="36" spans="1:14" ht="24" customHeight="1" x14ac:dyDescent="0.25">
      <c r="A36" s="33"/>
      <c r="B36" s="38" t="s">
        <v>89</v>
      </c>
      <c r="C36" s="39"/>
      <c r="D36" s="204">
        <v>0</v>
      </c>
      <c r="E36" s="6"/>
      <c r="F36" s="2"/>
      <c r="G36" s="153"/>
      <c r="H36" s="153"/>
      <c r="I36" s="153"/>
      <c r="J36" s="153"/>
      <c r="K36" s="153"/>
      <c r="L36" s="153"/>
      <c r="M36" s="153"/>
      <c r="N36" s="153"/>
    </row>
    <row r="37" spans="1:14" ht="23.25" x14ac:dyDescent="0.25">
      <c r="A37" s="33"/>
      <c r="B37" s="38" t="s">
        <v>35</v>
      </c>
      <c r="C37" s="39"/>
      <c r="D37" s="204">
        <v>0</v>
      </c>
      <c r="E37" s="6"/>
      <c r="F37" s="2"/>
      <c r="G37" s="153"/>
      <c r="H37" s="153"/>
      <c r="I37" s="153"/>
      <c r="J37" s="153"/>
      <c r="K37" s="153"/>
      <c r="L37" s="153"/>
      <c r="M37" s="153"/>
      <c r="N37" s="153"/>
    </row>
    <row r="38" spans="1:14" ht="22.5" customHeight="1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103008.35</v>
      </c>
      <c r="E38" s="6"/>
      <c r="F38" s="2"/>
      <c r="G38" s="153"/>
      <c r="H38" s="153"/>
      <c r="I38" s="153"/>
      <c r="J38" s="153"/>
      <c r="K38" s="153"/>
      <c r="L38" s="153"/>
      <c r="M38" s="153"/>
      <c r="N38" s="153"/>
    </row>
    <row r="39" spans="1:14" ht="15" x14ac:dyDescent="0.25">
      <c r="A39" s="31"/>
      <c r="B39" s="43" t="s">
        <v>38</v>
      </c>
      <c r="C39" s="44"/>
      <c r="D39" s="204">
        <v>5712.84</v>
      </c>
      <c r="E39" s="6"/>
      <c r="F39" s="2"/>
      <c r="G39" s="153"/>
      <c r="H39" s="153"/>
      <c r="I39" s="153"/>
      <c r="J39" s="153"/>
      <c r="K39" s="153"/>
      <c r="L39" s="153"/>
      <c r="M39" s="153"/>
      <c r="N39" s="153"/>
    </row>
    <row r="40" spans="1:14" ht="23.25" x14ac:dyDescent="0.25">
      <c r="A40" s="42"/>
      <c r="B40" s="43" t="s">
        <v>39</v>
      </c>
      <c r="C40" s="44"/>
      <c r="D40" s="204">
        <v>32582.75</v>
      </c>
      <c r="E40" s="6"/>
      <c r="F40" s="2"/>
      <c r="G40" s="153"/>
      <c r="H40" s="153"/>
      <c r="I40" s="153"/>
      <c r="J40" s="153"/>
      <c r="K40" s="153"/>
      <c r="L40" s="153"/>
      <c r="M40" s="153"/>
      <c r="N40" s="153"/>
    </row>
    <row r="41" spans="1:14" ht="15" x14ac:dyDescent="0.25">
      <c r="A41" s="42"/>
      <c r="B41" s="45" t="s">
        <v>40</v>
      </c>
      <c r="C41" s="44"/>
      <c r="D41" s="153">
        <v>23475.5</v>
      </c>
      <c r="E41" s="6"/>
      <c r="F41" s="2"/>
      <c r="G41" s="153"/>
      <c r="H41" s="153"/>
      <c r="I41" s="153"/>
      <c r="J41" s="153"/>
      <c r="K41" s="153"/>
      <c r="L41" s="153"/>
      <c r="M41" s="153"/>
      <c r="N41" s="153"/>
    </row>
    <row r="42" spans="1:14" ht="45.75" x14ac:dyDescent="0.25">
      <c r="A42" s="42"/>
      <c r="B42" s="46" t="s">
        <v>41</v>
      </c>
      <c r="C42" s="44"/>
      <c r="D42" s="204"/>
      <c r="E42" s="6"/>
      <c r="F42" s="2"/>
      <c r="G42" s="153"/>
      <c r="H42" s="153"/>
      <c r="I42" s="153"/>
      <c r="J42" s="153"/>
      <c r="K42" s="153"/>
      <c r="L42" s="153"/>
      <c r="M42" s="153"/>
      <c r="N42" s="153"/>
    </row>
    <row r="43" spans="1:14" ht="15" x14ac:dyDescent="0.25">
      <c r="A43" s="42"/>
      <c r="B43" s="47" t="s">
        <v>42</v>
      </c>
      <c r="C43" s="44"/>
      <c r="D43" s="204">
        <v>765.12</v>
      </c>
      <c r="E43" s="6"/>
      <c r="F43" s="2"/>
      <c r="G43" s="153"/>
      <c r="H43" s="153"/>
      <c r="I43" s="153"/>
      <c r="J43" s="153"/>
      <c r="K43" s="153"/>
      <c r="L43" s="153"/>
      <c r="M43" s="153"/>
      <c r="N43" s="153"/>
    </row>
    <row r="44" spans="1:14" ht="15" x14ac:dyDescent="0.25">
      <c r="A44" s="42"/>
      <c r="B44" s="47" t="s">
        <v>43</v>
      </c>
      <c r="C44" s="44"/>
      <c r="D44" s="204">
        <v>2832.45</v>
      </c>
      <c r="E44" s="6"/>
      <c r="F44" s="2"/>
      <c r="G44" s="153"/>
      <c r="H44" s="153"/>
      <c r="I44" s="153"/>
      <c r="J44" s="153"/>
      <c r="K44" s="153"/>
      <c r="L44" s="153"/>
      <c r="M44" s="153"/>
      <c r="N44" s="153"/>
    </row>
    <row r="45" spans="1:14" ht="23.25" x14ac:dyDescent="0.25">
      <c r="A45" s="42"/>
      <c r="B45" s="47" t="s">
        <v>44</v>
      </c>
      <c r="C45" s="44"/>
      <c r="D45" s="204">
        <v>0</v>
      </c>
      <c r="E45" s="6"/>
      <c r="F45" s="2"/>
      <c r="G45" s="153"/>
      <c r="H45" s="153"/>
      <c r="I45" s="153"/>
      <c r="J45" s="153"/>
      <c r="K45" s="153"/>
      <c r="L45" s="153"/>
      <c r="M45" s="153"/>
      <c r="N45" s="153"/>
    </row>
    <row r="46" spans="1:14" ht="23.25" x14ac:dyDescent="0.25">
      <c r="A46" s="29"/>
      <c r="B46" s="208" t="s">
        <v>265</v>
      </c>
      <c r="C46" s="44"/>
      <c r="D46" s="204">
        <v>37639.69</v>
      </c>
      <c r="E46" s="6"/>
      <c r="F46" s="198"/>
      <c r="G46" s="153"/>
      <c r="H46" s="153"/>
      <c r="I46" s="153"/>
      <c r="J46" s="153"/>
      <c r="K46" s="153"/>
      <c r="L46" s="153"/>
      <c r="M46" s="153"/>
      <c r="N46" s="153"/>
    </row>
    <row r="47" spans="1:14" ht="51.75" x14ac:dyDescent="0.25">
      <c r="A47" s="12" t="s">
        <v>46</v>
      </c>
      <c r="B47" s="48" t="s">
        <v>47</v>
      </c>
      <c r="C47" s="49"/>
      <c r="D47" s="204"/>
      <c r="E47" s="6"/>
      <c r="F47" s="2"/>
      <c r="G47" s="153"/>
      <c r="H47" s="153"/>
      <c r="I47" s="153"/>
      <c r="J47" s="153"/>
      <c r="K47" s="153"/>
      <c r="L47" s="153"/>
      <c r="M47" s="153"/>
      <c r="N47" s="153"/>
    </row>
    <row r="48" spans="1:14" ht="15" x14ac:dyDescent="0.25">
      <c r="A48" s="12"/>
      <c r="B48" s="50" t="s">
        <v>48</v>
      </c>
      <c r="C48" s="49"/>
      <c r="D48" s="204"/>
      <c r="E48" s="6"/>
      <c r="F48" s="2"/>
      <c r="G48" s="153"/>
      <c r="H48" s="153"/>
      <c r="I48" s="153"/>
      <c r="J48" s="153"/>
      <c r="K48" s="153"/>
      <c r="L48" s="153"/>
      <c r="M48" s="153"/>
      <c r="N48" s="153"/>
    </row>
    <row r="49" spans="1:14" ht="26.25" x14ac:dyDescent="0.25">
      <c r="A49" s="49"/>
      <c r="B49" s="51" t="s">
        <v>49</v>
      </c>
      <c r="C49" s="20" t="s">
        <v>6</v>
      </c>
      <c r="D49" s="216">
        <f>D50+D51+D52+D54+D53</f>
        <v>452343.00999999995</v>
      </c>
      <c r="E49" s="6"/>
      <c r="F49" s="2"/>
      <c r="G49" s="153"/>
      <c r="H49" s="153"/>
      <c r="I49" s="153"/>
      <c r="J49" s="153"/>
      <c r="K49" s="153"/>
      <c r="L49" s="153"/>
      <c r="M49" s="153"/>
      <c r="N49" s="153"/>
    </row>
    <row r="50" spans="1:14" ht="23.25" x14ac:dyDescent="0.25">
      <c r="A50" s="31"/>
      <c r="B50" s="28" t="s">
        <v>158</v>
      </c>
      <c r="C50" s="39"/>
      <c r="D50" s="204">
        <v>145629.23000000001</v>
      </c>
      <c r="E50" s="6"/>
      <c r="F50" s="2"/>
      <c r="G50" s="153"/>
      <c r="H50" s="153"/>
      <c r="I50" s="153"/>
      <c r="J50" s="153"/>
      <c r="K50" s="153"/>
      <c r="L50" s="153"/>
      <c r="M50" s="153"/>
      <c r="N50" s="153"/>
    </row>
    <row r="51" spans="1:14" ht="15" x14ac:dyDescent="0.25">
      <c r="A51" s="33"/>
      <c r="B51" s="52" t="s">
        <v>159</v>
      </c>
      <c r="C51" s="39"/>
      <c r="D51" s="204">
        <v>279500.71999999997</v>
      </c>
      <c r="E51" s="6"/>
      <c r="F51" s="2"/>
      <c r="G51" s="153"/>
      <c r="H51" s="153"/>
      <c r="I51" s="153"/>
      <c r="J51" s="153"/>
      <c r="K51" s="153"/>
      <c r="L51" s="153"/>
      <c r="M51" s="153"/>
      <c r="N51" s="153"/>
    </row>
    <row r="52" spans="1:14" ht="15" x14ac:dyDescent="0.25">
      <c r="A52" s="31"/>
      <c r="B52" s="52" t="s">
        <v>160</v>
      </c>
      <c r="C52" s="39"/>
      <c r="D52" s="204">
        <v>20700</v>
      </c>
      <c r="E52" s="6"/>
      <c r="F52" s="2"/>
      <c r="G52" s="153"/>
      <c r="H52" s="153"/>
      <c r="I52" s="153"/>
      <c r="J52" s="153"/>
      <c r="K52" s="153"/>
      <c r="L52" s="153"/>
      <c r="M52" s="153"/>
      <c r="N52" s="153"/>
    </row>
    <row r="53" spans="1:14" ht="15" x14ac:dyDescent="0.25">
      <c r="A53" s="31"/>
      <c r="B53" s="52" t="s">
        <v>51</v>
      </c>
      <c r="C53" s="39"/>
      <c r="D53" s="204">
        <v>0</v>
      </c>
      <c r="E53" s="6"/>
      <c r="F53" s="2"/>
      <c r="G53" s="153"/>
      <c r="H53" s="153"/>
      <c r="I53" s="153"/>
      <c r="J53" s="153"/>
      <c r="K53" s="153"/>
      <c r="L53" s="153"/>
      <c r="M53" s="153"/>
      <c r="N53" s="153"/>
    </row>
    <row r="54" spans="1:14" ht="15" x14ac:dyDescent="0.25">
      <c r="A54" s="31"/>
      <c r="B54" s="52" t="s">
        <v>135</v>
      </c>
      <c r="C54" s="39"/>
      <c r="D54" s="204">
        <v>6513.06</v>
      </c>
      <c r="E54" s="6"/>
      <c r="F54" s="2"/>
      <c r="G54" s="153"/>
      <c r="H54" s="153"/>
      <c r="I54" s="153"/>
      <c r="J54" s="153"/>
      <c r="K54" s="153"/>
      <c r="L54" s="153"/>
      <c r="M54" s="153"/>
      <c r="N54" s="153"/>
    </row>
    <row r="55" spans="1:14" ht="15" x14ac:dyDescent="0.25">
      <c r="A55" s="31"/>
      <c r="B55" s="76" t="s">
        <v>53</v>
      </c>
      <c r="C55" s="49"/>
      <c r="D55" s="204"/>
      <c r="E55" s="6"/>
      <c r="F55" s="2"/>
      <c r="G55" s="153"/>
      <c r="H55" s="153"/>
      <c r="I55" s="153"/>
      <c r="J55" s="153"/>
      <c r="K55" s="153"/>
      <c r="L55" s="153"/>
      <c r="M55" s="153"/>
      <c r="N55" s="153"/>
    </row>
    <row r="56" spans="1:14" ht="15" x14ac:dyDescent="0.25">
      <c r="A56" s="49"/>
      <c r="B56" s="77" t="s">
        <v>54</v>
      </c>
      <c r="C56" s="20" t="s">
        <v>6</v>
      </c>
      <c r="D56" s="218">
        <f>D57+D58+D59+D60+D61</f>
        <v>350197.89</v>
      </c>
      <c r="E56" s="6"/>
      <c r="F56" s="2"/>
      <c r="G56" s="153"/>
      <c r="H56" s="153"/>
      <c r="I56" s="153"/>
      <c r="J56" s="153"/>
      <c r="K56" s="153"/>
      <c r="L56" s="153"/>
      <c r="M56" s="153"/>
      <c r="N56" s="153"/>
    </row>
    <row r="57" spans="1:14" ht="15" x14ac:dyDescent="0.25">
      <c r="A57" s="17"/>
      <c r="B57" s="78" t="s">
        <v>55</v>
      </c>
      <c r="C57" s="79"/>
      <c r="D57" s="204">
        <v>55004</v>
      </c>
      <c r="E57" s="6"/>
      <c r="F57" s="2"/>
      <c r="G57" s="153"/>
      <c r="H57" s="153"/>
      <c r="I57" s="153"/>
      <c r="J57" s="153"/>
      <c r="K57" s="153"/>
      <c r="L57" s="153"/>
      <c r="M57" s="153"/>
      <c r="N57" s="153"/>
    </row>
    <row r="58" spans="1:14" ht="15" x14ac:dyDescent="0.25">
      <c r="A58" s="17"/>
      <c r="B58" s="78" t="s">
        <v>56</v>
      </c>
      <c r="C58" s="39"/>
      <c r="D58" s="217">
        <v>107813.9</v>
      </c>
      <c r="E58" s="6"/>
      <c r="F58" s="2"/>
      <c r="G58" s="153"/>
      <c r="H58" s="153"/>
      <c r="I58" s="153"/>
      <c r="J58" s="153"/>
      <c r="K58" s="153"/>
      <c r="L58" s="153"/>
      <c r="M58" s="153"/>
      <c r="N58" s="153"/>
    </row>
    <row r="59" spans="1:14" ht="15" x14ac:dyDescent="0.25">
      <c r="A59" s="17"/>
      <c r="B59" s="78" t="s">
        <v>57</v>
      </c>
      <c r="C59" s="79"/>
      <c r="D59" s="204">
        <v>13510</v>
      </c>
      <c r="E59" s="6"/>
      <c r="F59" s="2"/>
      <c r="G59" s="153"/>
      <c r="H59" s="153"/>
      <c r="I59" s="153"/>
      <c r="J59" s="153"/>
      <c r="K59" s="153"/>
      <c r="L59" s="153"/>
      <c r="M59" s="153"/>
      <c r="N59" s="153"/>
    </row>
    <row r="60" spans="1:14" ht="15" x14ac:dyDescent="0.25">
      <c r="A60" s="17"/>
      <c r="B60" s="109" t="s">
        <v>59</v>
      </c>
      <c r="C60" s="39"/>
      <c r="D60" s="204">
        <v>148381.99</v>
      </c>
      <c r="E60" s="6"/>
      <c r="F60" s="2"/>
      <c r="G60" s="153"/>
      <c r="H60" s="153"/>
      <c r="I60" s="153"/>
      <c r="J60" s="153"/>
      <c r="K60" s="153"/>
      <c r="L60" s="153"/>
      <c r="M60" s="153"/>
      <c r="N60" s="153"/>
    </row>
    <row r="61" spans="1:14" ht="15" x14ac:dyDescent="0.25">
      <c r="A61" s="17"/>
      <c r="B61" s="52" t="s">
        <v>161</v>
      </c>
      <c r="C61" s="39"/>
      <c r="D61" s="204">
        <v>25488</v>
      </c>
      <c r="E61" s="6"/>
      <c r="F61" s="2"/>
      <c r="G61" s="153"/>
      <c r="H61" s="153"/>
      <c r="I61" s="153"/>
      <c r="J61" s="153"/>
      <c r="K61" s="153"/>
      <c r="L61" s="153"/>
      <c r="M61" s="153"/>
      <c r="N61" s="153"/>
    </row>
    <row r="62" spans="1:14" ht="15" x14ac:dyDescent="0.25">
      <c r="A62" s="33" t="s">
        <v>60</v>
      </c>
      <c r="B62" s="210" t="s">
        <v>252</v>
      </c>
      <c r="C62" s="12" t="s">
        <v>6</v>
      </c>
      <c r="D62" s="204">
        <v>13589.65</v>
      </c>
      <c r="E62" s="6"/>
      <c r="F62" s="2"/>
      <c r="G62" s="153"/>
      <c r="H62" s="153"/>
      <c r="I62" s="153"/>
      <c r="J62" s="153"/>
      <c r="K62" s="153"/>
      <c r="L62" s="153"/>
      <c r="M62" s="153"/>
      <c r="N62" s="153"/>
    </row>
    <row r="63" spans="1:14" ht="15" x14ac:dyDescent="0.25">
      <c r="A63" s="31" t="s">
        <v>62</v>
      </c>
      <c r="B63" s="211" t="s">
        <v>262</v>
      </c>
      <c r="C63" s="20" t="s">
        <v>6</v>
      </c>
      <c r="D63" s="216">
        <v>23152.37</v>
      </c>
      <c r="E63" s="6"/>
      <c r="F63" s="2"/>
      <c r="G63" s="153"/>
      <c r="H63" s="153"/>
      <c r="I63" s="153"/>
      <c r="J63" s="153"/>
      <c r="K63" s="153"/>
      <c r="L63" s="153"/>
      <c r="M63" s="153"/>
      <c r="N63" s="153"/>
    </row>
    <row r="64" spans="1:14" ht="34.5" x14ac:dyDescent="0.25">
      <c r="A64" s="33"/>
      <c r="B64" s="54" t="s">
        <v>63</v>
      </c>
      <c r="C64" s="55"/>
      <c r="D64" s="216"/>
      <c r="E64" s="6"/>
      <c r="F64" s="2"/>
      <c r="G64" s="153"/>
      <c r="H64" s="153"/>
      <c r="I64" s="153"/>
      <c r="J64" s="153"/>
      <c r="K64" s="153"/>
      <c r="L64" s="153"/>
      <c r="M64" s="153"/>
      <c r="N64" s="153"/>
    </row>
    <row r="65" spans="1:14" ht="48.75" x14ac:dyDescent="0.25">
      <c r="A65" s="31" t="s">
        <v>64</v>
      </c>
      <c r="B65" s="56" t="s">
        <v>65</v>
      </c>
      <c r="C65" s="55" t="s">
        <v>6</v>
      </c>
      <c r="D65" s="216">
        <v>100889</v>
      </c>
      <c r="E65" s="6"/>
      <c r="F65" s="2"/>
      <c r="G65" s="153"/>
      <c r="H65" s="153"/>
      <c r="I65" s="153"/>
      <c r="J65" s="153"/>
      <c r="K65" s="153"/>
      <c r="L65" s="153"/>
      <c r="M65" s="153"/>
      <c r="N65" s="153"/>
    </row>
    <row r="66" spans="1:14" ht="60.75" x14ac:dyDescent="0.25">
      <c r="A66" s="31" t="s">
        <v>66</v>
      </c>
      <c r="B66" s="57" t="s">
        <v>98</v>
      </c>
      <c r="C66" s="55" t="s">
        <v>6</v>
      </c>
      <c r="D66" s="216">
        <v>204857.51</v>
      </c>
      <c r="E66" s="6"/>
      <c r="F66" s="2"/>
      <c r="G66" s="153"/>
      <c r="H66" s="153"/>
      <c r="I66" s="153"/>
      <c r="J66" s="153"/>
      <c r="K66" s="153"/>
      <c r="L66" s="153"/>
      <c r="M66" s="153"/>
      <c r="N66" s="153"/>
    </row>
    <row r="67" spans="1:14" ht="15" x14ac:dyDescent="0.25">
      <c r="A67" s="31" t="s">
        <v>68</v>
      </c>
      <c r="B67" s="58" t="s">
        <v>69</v>
      </c>
      <c r="C67" s="55" t="s">
        <v>6</v>
      </c>
      <c r="D67" s="216">
        <v>110743.38</v>
      </c>
      <c r="E67" s="6"/>
      <c r="F67" s="2"/>
      <c r="G67" s="153"/>
      <c r="H67" s="153"/>
      <c r="I67" s="153"/>
      <c r="J67" s="153"/>
      <c r="K67" s="153"/>
      <c r="L67" s="153"/>
      <c r="M67" s="153"/>
      <c r="N67" s="153"/>
    </row>
    <row r="68" spans="1:14" ht="15" x14ac:dyDescent="0.25">
      <c r="A68" s="31"/>
      <c r="B68" s="59" t="s">
        <v>70</v>
      </c>
      <c r="C68" s="55" t="s">
        <v>6</v>
      </c>
      <c r="D68" s="218">
        <f>D67+D66+D65+D63+D56+D49+D38+D34+D31+D28+D24</f>
        <v>1631441.13</v>
      </c>
      <c r="E68" s="6"/>
      <c r="F68" s="2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A69" s="60"/>
      <c r="B69" s="61"/>
      <c r="C69" s="62"/>
      <c r="D69" s="156"/>
      <c r="E69" s="159"/>
      <c r="F69" s="2"/>
      <c r="G69" s="153"/>
      <c r="H69" s="153"/>
      <c r="I69" s="153"/>
      <c r="J69" s="153"/>
      <c r="K69" s="153"/>
      <c r="L69" s="153"/>
      <c r="M69" s="153"/>
      <c r="N69" s="153"/>
    </row>
    <row r="70" spans="1:14" ht="15.75" x14ac:dyDescent="0.25">
      <c r="A70" s="60"/>
      <c r="B70" s="61" t="s">
        <v>76</v>
      </c>
      <c r="C70" s="62"/>
      <c r="D70" s="159">
        <f>D6+D13+D14-D68</f>
        <v>-724490.2</v>
      </c>
      <c r="E70" s="159"/>
      <c r="G70" s="153"/>
      <c r="H70" s="153"/>
      <c r="I70" s="153"/>
      <c r="J70" s="153"/>
      <c r="K70" s="153"/>
      <c r="L70" s="153"/>
      <c r="M70" s="153"/>
      <c r="N70" s="153"/>
    </row>
    <row r="71" spans="1:14" x14ac:dyDescent="0.2">
      <c r="A71" s="61"/>
      <c r="B71" s="61" t="s">
        <v>156</v>
      </c>
      <c r="C71" s="65"/>
      <c r="D71" s="155">
        <f>D7+D15</f>
        <v>1645000</v>
      </c>
      <c r="E71" s="153"/>
      <c r="G71" s="153"/>
      <c r="H71" s="153"/>
      <c r="I71" s="153"/>
      <c r="J71" s="153"/>
      <c r="K71" s="153"/>
      <c r="L71" s="153"/>
      <c r="M71" s="153"/>
      <c r="N71" s="153"/>
    </row>
    <row r="72" spans="1:14" x14ac:dyDescent="0.2">
      <c r="A72" s="61"/>
      <c r="B72" s="5"/>
      <c r="C72" s="113"/>
      <c r="D72" s="153"/>
      <c r="E72" s="153"/>
      <c r="G72" s="153"/>
      <c r="H72" s="153"/>
      <c r="I72" s="153"/>
      <c r="J72" s="153"/>
      <c r="K72" s="153"/>
      <c r="L72" s="153"/>
      <c r="M72" s="153"/>
      <c r="N72" s="153"/>
    </row>
    <row r="73" spans="1:14" x14ac:dyDescent="0.2">
      <c r="A73" s="61"/>
      <c r="B73" s="5" t="s">
        <v>110</v>
      </c>
      <c r="C73" s="113"/>
      <c r="D73" s="155">
        <f>D70+D71</f>
        <v>920509.8</v>
      </c>
      <c r="G73" s="153"/>
      <c r="H73" s="153"/>
      <c r="I73" s="153"/>
      <c r="J73" s="153"/>
      <c r="K73" s="153"/>
      <c r="L73" s="153"/>
      <c r="M73" s="153"/>
      <c r="N73" s="153"/>
    </row>
    <row r="74" spans="1:14" x14ac:dyDescent="0.2">
      <c r="A74" s="61"/>
      <c r="B74" s="5"/>
      <c r="C74" s="113"/>
      <c r="G74" s="153"/>
      <c r="H74" s="153"/>
      <c r="I74" s="153"/>
      <c r="J74" s="153"/>
      <c r="K74" s="153"/>
      <c r="L74" s="153"/>
      <c r="M74" s="153"/>
      <c r="N74" s="153"/>
    </row>
    <row r="75" spans="1:14" x14ac:dyDescent="0.2">
      <c r="A75" s="61"/>
      <c r="B75" s="5"/>
      <c r="C75" s="113"/>
      <c r="G75" s="153"/>
      <c r="H75" s="153"/>
      <c r="I75" s="153"/>
      <c r="J75" s="153"/>
      <c r="K75" s="153"/>
      <c r="L75" s="153"/>
      <c r="M75" s="153"/>
      <c r="N75" s="153"/>
    </row>
    <row r="76" spans="1:14" x14ac:dyDescent="0.2">
      <c r="A76" s="60"/>
      <c r="B76" s="66" t="s">
        <v>72</v>
      </c>
      <c r="C76" s="66"/>
      <c r="D76" s="66" t="s">
        <v>73</v>
      </c>
      <c r="G76" s="153"/>
      <c r="H76" s="153"/>
      <c r="I76" s="153"/>
      <c r="J76" s="153"/>
      <c r="K76" s="153"/>
      <c r="L76" s="153"/>
      <c r="M76" s="153"/>
      <c r="N76" s="153"/>
    </row>
    <row r="77" spans="1:14" x14ac:dyDescent="0.2">
      <c r="A77" s="60"/>
      <c r="B77" s="66" t="s">
        <v>74</v>
      </c>
      <c r="C77" s="66"/>
      <c r="D77" s="189" t="s">
        <v>273</v>
      </c>
      <c r="G77" s="153"/>
      <c r="H77" s="153"/>
      <c r="I77" s="153"/>
      <c r="J77" s="153"/>
      <c r="K77" s="153"/>
      <c r="L77" s="153"/>
      <c r="M77" s="153"/>
      <c r="N77" s="153"/>
    </row>
    <row r="79" spans="1:14" x14ac:dyDescent="0.2">
      <c r="B79" s="1" t="s">
        <v>162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48" workbookViewId="0">
      <selection activeCell="J63" sqref="J63"/>
    </sheetView>
  </sheetViews>
  <sheetFormatPr defaultColWidth="9" defaultRowHeight="14.25" x14ac:dyDescent="0.2"/>
  <cols>
    <col min="1" max="1" width="4.7109375" style="1" customWidth="1"/>
    <col min="2" max="2" width="37.42578125" style="1" customWidth="1"/>
    <col min="3" max="3" width="8.5703125" style="1" customWidth="1"/>
    <col min="4" max="4" width="12.28515625" style="1" customWidth="1"/>
    <col min="5" max="5" width="11.85546875" style="1" customWidth="1"/>
    <col min="6" max="6" width="11.28515625" style="1" customWidth="1"/>
    <col min="7" max="7" width="10.28515625" style="1" customWidth="1"/>
    <col min="8" max="8" width="10.42578125" style="1" customWidth="1"/>
    <col min="9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221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B5" s="163" t="s">
        <v>182</v>
      </c>
      <c r="C5" s="163"/>
      <c r="D5" s="163">
        <v>392345.1</v>
      </c>
      <c r="E5" s="168"/>
    </row>
    <row r="6" spans="1:16" x14ac:dyDescent="0.2">
      <c r="A6" s="6"/>
      <c r="B6" s="164" t="s">
        <v>211</v>
      </c>
      <c r="C6" s="164"/>
      <c r="D6" s="193">
        <v>430073.47</v>
      </c>
      <c r="E6" s="160"/>
    </row>
    <row r="7" spans="1:16" x14ac:dyDescent="0.2">
      <c r="A7" s="6"/>
      <c r="B7" s="164"/>
      <c r="C7" s="164"/>
      <c r="D7" s="193"/>
      <c r="E7" s="160"/>
    </row>
    <row r="8" spans="1:16" ht="15" x14ac:dyDescent="0.25">
      <c r="A8" s="6"/>
      <c r="B8" s="165" t="s">
        <v>2</v>
      </c>
      <c r="C8" s="164"/>
      <c r="D8" s="194">
        <v>7207.92</v>
      </c>
      <c r="E8" s="160"/>
      <c r="F8" s="63"/>
    </row>
    <row r="9" spans="1:16" ht="15" x14ac:dyDescent="0.25">
      <c r="A9" s="6"/>
      <c r="B9" s="165" t="s">
        <v>4</v>
      </c>
      <c r="C9" s="164"/>
      <c r="D9" s="194">
        <v>5191.72</v>
      </c>
      <c r="E9" s="160"/>
      <c r="F9" s="63"/>
      <c r="J9" s="1" t="s">
        <v>148</v>
      </c>
    </row>
    <row r="10" spans="1:16" ht="15" x14ac:dyDescent="0.25">
      <c r="A10" s="6"/>
      <c r="B10" s="166" t="s">
        <v>5</v>
      </c>
      <c r="C10" s="164"/>
      <c r="D10" s="193">
        <v>1152505.81</v>
      </c>
      <c r="E10" s="160"/>
      <c r="F10" s="63"/>
    </row>
    <row r="11" spans="1:16" ht="19.5" customHeight="1" x14ac:dyDescent="0.2">
      <c r="A11" s="6"/>
      <c r="B11" s="164"/>
      <c r="C11" s="164"/>
      <c r="D11" s="194"/>
      <c r="E11" s="160"/>
      <c r="F11" s="81"/>
    </row>
    <row r="12" spans="1:16" ht="16.5" customHeight="1" x14ac:dyDescent="0.25">
      <c r="A12" s="6"/>
      <c r="B12" s="166" t="s">
        <v>7</v>
      </c>
      <c r="C12" s="164"/>
      <c r="D12" s="194"/>
      <c r="E12" s="160"/>
      <c r="F12" s="64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2">
      <c r="A13" s="6">
        <v>1</v>
      </c>
      <c r="B13" s="167" t="s">
        <v>208</v>
      </c>
      <c r="C13" s="164"/>
      <c r="D13" s="194">
        <v>1029385.29</v>
      </c>
      <c r="E13" s="160"/>
      <c r="F13" s="8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ht="14.25" customHeight="1" x14ac:dyDescent="0.2">
      <c r="A14" s="6">
        <v>2</v>
      </c>
      <c r="B14" s="167" t="s">
        <v>9</v>
      </c>
      <c r="C14" s="164"/>
      <c r="D14" s="195">
        <f>6000+3150+5400+18000</f>
        <v>32550</v>
      </c>
      <c r="E14" s="160"/>
      <c r="F14" s="8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ht="14.25" customHeight="1" x14ac:dyDescent="0.25">
      <c r="A15" s="6"/>
      <c r="B15" s="166" t="s">
        <v>10</v>
      </c>
      <c r="C15" s="164"/>
      <c r="D15" s="193">
        <f>D13+D14</f>
        <v>1061935.29</v>
      </c>
      <c r="E15" s="160"/>
      <c r="F15" s="64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ht="15" customHeight="1" x14ac:dyDescent="0.2">
      <c r="A16" s="6"/>
      <c r="B16" s="164"/>
      <c r="C16" s="164"/>
      <c r="D16" s="160"/>
      <c r="E16" s="160"/>
      <c r="F16" s="8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ht="16.5" customHeight="1" x14ac:dyDescent="0.2">
      <c r="B17" s="5"/>
      <c r="C17" s="5"/>
      <c r="F17" s="80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ht="15" customHeight="1" x14ac:dyDescent="0.25">
      <c r="B18" s="5"/>
      <c r="C18" s="5" t="s">
        <v>11</v>
      </c>
      <c r="F18" s="64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12.75" customHeight="1" x14ac:dyDescent="0.2">
      <c r="A19" s="13"/>
      <c r="B19" s="14"/>
      <c r="C19" s="14"/>
      <c r="D19" s="13"/>
      <c r="E19" s="13"/>
      <c r="F19" s="80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5" x14ac:dyDescent="0.25">
      <c r="A20" s="15" t="s">
        <v>12</v>
      </c>
      <c r="B20" s="15"/>
      <c r="C20" s="20" t="s">
        <v>85</v>
      </c>
      <c r="D20" s="111" t="s">
        <v>13</v>
      </c>
      <c r="E20" s="69"/>
      <c r="F20" s="80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F21" s="64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5.5" x14ac:dyDescent="0.2">
      <c r="A22" s="22" t="s">
        <v>18</v>
      </c>
      <c r="B22" s="23" t="s">
        <v>88</v>
      </c>
      <c r="C22" s="24"/>
      <c r="D22" s="6"/>
      <c r="E22" s="6"/>
      <c r="F22" s="80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51" x14ac:dyDescent="0.2">
      <c r="A23" s="22"/>
      <c r="B23" s="25" t="s">
        <v>20</v>
      </c>
      <c r="C23" s="268" t="s">
        <v>6</v>
      </c>
      <c r="D23" s="216">
        <f>D24+D25+D26</f>
        <v>209724.89</v>
      </c>
      <c r="E23" s="6"/>
      <c r="F23" s="80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90" x14ac:dyDescent="0.2">
      <c r="A24" s="22"/>
      <c r="B24" s="28" t="s">
        <v>21</v>
      </c>
      <c r="C24" s="29"/>
      <c r="D24" s="204">
        <v>98236.3</v>
      </c>
      <c r="E24" s="6"/>
      <c r="F24" s="80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24.5" x14ac:dyDescent="0.25">
      <c r="A25" s="30"/>
      <c r="B25" s="28" t="s">
        <v>22</v>
      </c>
      <c r="C25" s="29"/>
      <c r="D25" s="204">
        <v>101791.59</v>
      </c>
      <c r="E25" s="6"/>
      <c r="F25" s="64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2.5" x14ac:dyDescent="0.2">
      <c r="A26" s="31"/>
      <c r="B26" s="40" t="s">
        <v>23</v>
      </c>
      <c r="C26" s="69"/>
      <c r="D26" s="204">
        <v>9697</v>
      </c>
      <c r="E26" s="6"/>
      <c r="F26" s="80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 x14ac:dyDescent="0.2">
      <c r="A27" s="22"/>
      <c r="B27" s="25" t="s">
        <v>24</v>
      </c>
      <c r="C27" s="268" t="s">
        <v>6</v>
      </c>
      <c r="D27" s="216">
        <f>D28+D29</f>
        <v>13986</v>
      </c>
      <c r="E27" s="6"/>
      <c r="F27" s="80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12.95" customHeight="1" x14ac:dyDescent="0.2">
      <c r="A28" s="33"/>
      <c r="B28" s="70" t="s">
        <v>25</v>
      </c>
      <c r="C28" s="35"/>
      <c r="D28" s="204">
        <v>11500</v>
      </c>
      <c r="E28" s="6"/>
      <c r="F28" s="80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ht="12.95" customHeight="1" x14ac:dyDescent="0.2">
      <c r="A29" s="22"/>
      <c r="B29" s="70" t="s">
        <v>26</v>
      </c>
      <c r="C29" s="35"/>
      <c r="D29" s="204">
        <v>2486</v>
      </c>
      <c r="E29" s="6"/>
      <c r="F29" s="80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43.5" customHeight="1" x14ac:dyDescent="0.2">
      <c r="A30" s="22" t="s">
        <v>27</v>
      </c>
      <c r="B30" s="25" t="s">
        <v>28</v>
      </c>
      <c r="C30" s="269" t="s">
        <v>6</v>
      </c>
      <c r="D30" s="216">
        <f>D31+D32</f>
        <v>33940</v>
      </c>
      <c r="E30" s="6"/>
      <c r="F30" s="80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80.099999999999994" customHeight="1" x14ac:dyDescent="0.2">
      <c r="A31" s="37"/>
      <c r="B31" s="28" t="s">
        <v>29</v>
      </c>
      <c r="C31" s="29"/>
      <c r="D31" s="204">
        <v>33940</v>
      </c>
      <c r="E31" s="6"/>
      <c r="F31" s="80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22.5" x14ac:dyDescent="0.2">
      <c r="A32" s="37"/>
      <c r="B32" s="38" t="s">
        <v>30</v>
      </c>
      <c r="C32" s="39"/>
      <c r="D32" s="204">
        <v>0</v>
      </c>
      <c r="E32" s="6"/>
      <c r="F32" s="80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54.75" customHeight="1" x14ac:dyDescent="0.2">
      <c r="A33" s="37" t="s">
        <v>31</v>
      </c>
      <c r="B33" s="25" t="s">
        <v>32</v>
      </c>
      <c r="C33" s="270" t="s">
        <v>6</v>
      </c>
      <c r="D33" s="216">
        <f>D34+D35+D36</f>
        <v>8369</v>
      </c>
      <c r="E33" s="6"/>
      <c r="F33" s="81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45" x14ac:dyDescent="0.2">
      <c r="A34" s="33"/>
      <c r="B34" s="40" t="s">
        <v>33</v>
      </c>
      <c r="C34" s="39"/>
      <c r="D34" s="204">
        <v>6213</v>
      </c>
      <c r="E34" s="6"/>
      <c r="F34" s="81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3.25" x14ac:dyDescent="0.25">
      <c r="A35" s="33"/>
      <c r="B35" s="38" t="s">
        <v>89</v>
      </c>
      <c r="C35" s="39"/>
      <c r="D35" s="204">
        <v>2156</v>
      </c>
      <c r="E35" s="6"/>
      <c r="F35" s="6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35</v>
      </c>
      <c r="C36" s="39"/>
      <c r="D36" s="204">
        <v>0</v>
      </c>
      <c r="E36" s="6"/>
      <c r="F36" s="80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15.75" x14ac:dyDescent="0.25">
      <c r="A37" s="31" t="s">
        <v>36</v>
      </c>
      <c r="B37" s="41" t="s">
        <v>37</v>
      </c>
      <c r="C37" s="271" t="s">
        <v>6</v>
      </c>
      <c r="D37" s="216">
        <f>D38+D39+D40+D42+D43+D44</f>
        <v>38456.14</v>
      </c>
      <c r="E37" s="6"/>
      <c r="F37" s="80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">
      <c r="A38" s="42"/>
      <c r="B38" s="43" t="s">
        <v>38</v>
      </c>
      <c r="C38" s="44"/>
      <c r="D38" s="204">
        <v>3601.92</v>
      </c>
      <c r="E38" s="6"/>
      <c r="F38" s="80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2.5" x14ac:dyDescent="0.2">
      <c r="A39" s="42"/>
      <c r="B39" s="43" t="s">
        <v>39</v>
      </c>
      <c r="C39" s="44"/>
      <c r="D39" s="204">
        <v>6739.5</v>
      </c>
      <c r="E39" s="6"/>
      <c r="F39" s="81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t="15" x14ac:dyDescent="0.25">
      <c r="A40" s="42"/>
      <c r="B40" s="45" t="s">
        <v>40</v>
      </c>
      <c r="C40" s="71"/>
      <c r="D40" s="153">
        <v>24211.34</v>
      </c>
      <c r="E40" s="6"/>
      <c r="F40" s="64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45" x14ac:dyDescent="0.2">
      <c r="A41" s="31"/>
      <c r="B41" s="46" t="s">
        <v>41</v>
      </c>
      <c r="C41" s="72"/>
      <c r="D41" s="204"/>
      <c r="E41" s="6"/>
      <c r="F41" s="80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7" t="s">
        <v>109</v>
      </c>
      <c r="C42" s="73"/>
      <c r="D42" s="204">
        <v>0</v>
      </c>
      <c r="E42" s="6"/>
      <c r="F42" s="80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91</v>
      </c>
      <c r="C43" s="73"/>
      <c r="D43" s="204">
        <v>1272.46</v>
      </c>
      <c r="E43" s="6"/>
      <c r="F43" s="80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92</v>
      </c>
      <c r="C44" s="74"/>
      <c r="D44" s="204">
        <v>2630.92</v>
      </c>
      <c r="E44" s="6"/>
      <c r="F44" s="80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t="51" x14ac:dyDescent="0.2">
      <c r="A45" s="12" t="s">
        <v>46</v>
      </c>
      <c r="B45" s="48" t="s">
        <v>47</v>
      </c>
      <c r="C45" s="49"/>
      <c r="D45" s="204"/>
      <c r="E45" s="6"/>
      <c r="F45" s="80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15" x14ac:dyDescent="0.25">
      <c r="A46" s="49"/>
      <c r="B46" s="50" t="s">
        <v>48</v>
      </c>
      <c r="C46" s="49"/>
      <c r="D46" s="204"/>
      <c r="E46" s="6"/>
      <c r="F46" s="6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26.25" x14ac:dyDescent="0.25">
      <c r="A47" s="31"/>
      <c r="B47" s="51" t="s">
        <v>49</v>
      </c>
      <c r="C47" s="271" t="s">
        <v>6</v>
      </c>
      <c r="D47" s="216">
        <f>D48+D49+D50</f>
        <v>89659.12000000001</v>
      </c>
      <c r="E47" s="6"/>
      <c r="F47" s="63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4" customHeight="1" x14ac:dyDescent="0.25">
      <c r="A48" s="33"/>
      <c r="B48" s="28" t="s">
        <v>50</v>
      </c>
      <c r="C48" s="39"/>
      <c r="D48" s="204">
        <v>88230.82</v>
      </c>
      <c r="E48" s="6"/>
      <c r="F48" s="64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15" x14ac:dyDescent="0.25">
      <c r="A49" s="31"/>
      <c r="B49" s="52" t="s">
        <v>51</v>
      </c>
      <c r="C49" s="75"/>
      <c r="D49" s="204">
        <v>0</v>
      </c>
      <c r="E49" s="6"/>
      <c r="F49" s="64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3.25" x14ac:dyDescent="0.25">
      <c r="A50" s="31"/>
      <c r="B50" s="52" t="s">
        <v>52</v>
      </c>
      <c r="C50" s="75"/>
      <c r="D50" s="204">
        <v>1428.3</v>
      </c>
      <c r="E50" s="6"/>
      <c r="F50" s="64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15" x14ac:dyDescent="0.25">
      <c r="A51" s="49"/>
      <c r="B51" s="76" t="s">
        <v>53</v>
      </c>
      <c r="C51" s="49"/>
      <c r="D51" s="204"/>
      <c r="E51" s="6"/>
      <c r="F51" s="64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17"/>
      <c r="B52" s="77" t="s">
        <v>54</v>
      </c>
      <c r="C52" s="271" t="s">
        <v>6</v>
      </c>
      <c r="D52" s="216">
        <f>D53+D54+D55+D56+D57</f>
        <v>249272.86000000002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17"/>
      <c r="B53" s="78" t="s">
        <v>55</v>
      </c>
      <c r="C53" s="79"/>
      <c r="D53" s="204">
        <v>36251.440000000002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17"/>
      <c r="B54" s="78" t="s">
        <v>56</v>
      </c>
      <c r="C54" s="74"/>
      <c r="D54" s="204">
        <v>68868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17"/>
      <c r="B55" s="78" t="s">
        <v>57</v>
      </c>
      <c r="C55" s="74"/>
      <c r="D55" s="204">
        <v>12428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2">
      <c r="A56" s="17"/>
      <c r="B56" s="78" t="s">
        <v>59</v>
      </c>
      <c r="C56" s="74"/>
      <c r="D56" s="204">
        <v>117988.02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">
      <c r="A57" s="17"/>
      <c r="B57" s="28" t="s">
        <v>97</v>
      </c>
      <c r="C57" s="39"/>
      <c r="D57" s="204">
        <v>13737.4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33" t="s">
        <v>60</v>
      </c>
      <c r="B58" s="210" t="s">
        <v>252</v>
      </c>
      <c r="C58" s="12" t="s">
        <v>6</v>
      </c>
      <c r="D58" s="216">
        <v>12622.76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1" t="s">
        <v>62</v>
      </c>
      <c r="B59" s="211" t="s">
        <v>262</v>
      </c>
      <c r="C59" s="20" t="s">
        <v>6</v>
      </c>
      <c r="D59" s="216">
        <v>370100.21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33.75" x14ac:dyDescent="0.2">
      <c r="A60" s="31"/>
      <c r="B60" s="54" t="s">
        <v>63</v>
      </c>
      <c r="C60" s="55"/>
      <c r="D60" s="216"/>
      <c r="E60" s="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48" x14ac:dyDescent="0.2">
      <c r="A61" s="31" t="s">
        <v>64</v>
      </c>
      <c r="B61" s="56" t="s">
        <v>65</v>
      </c>
      <c r="C61" s="272" t="s">
        <v>6</v>
      </c>
      <c r="D61" s="216">
        <v>67899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60" x14ac:dyDescent="0.2">
      <c r="A62" s="31" t="s">
        <v>66</v>
      </c>
      <c r="B62" s="57" t="s">
        <v>98</v>
      </c>
      <c r="C62" s="272" t="s">
        <v>6</v>
      </c>
      <c r="D62" s="216">
        <v>209940.41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" x14ac:dyDescent="0.25">
      <c r="A63" s="31" t="s">
        <v>68</v>
      </c>
      <c r="B63" s="58" t="s">
        <v>69</v>
      </c>
      <c r="C63" s="272" t="s">
        <v>6</v>
      </c>
      <c r="D63" s="218">
        <f>D15*6%</f>
        <v>63716.117400000003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x14ac:dyDescent="0.2">
      <c r="A64" s="31"/>
      <c r="B64" s="59" t="s">
        <v>70</v>
      </c>
      <c r="C64" s="272" t="s">
        <v>6</v>
      </c>
      <c r="D64" s="218">
        <f>D63+D62+D61+D59+D58+D52+D47+D37+D33+D30+D27+D23</f>
        <v>1367686.5074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5.75" x14ac:dyDescent="0.25">
      <c r="A65" s="60"/>
      <c r="B65" s="61"/>
      <c r="C65" s="62"/>
      <c r="D65" s="156"/>
      <c r="E65" s="159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5.75" x14ac:dyDescent="0.25">
      <c r="A66" s="60"/>
      <c r="B66" s="61" t="s">
        <v>99</v>
      </c>
      <c r="C66" s="62"/>
      <c r="D66" s="159">
        <f>D6+D15-D64</f>
        <v>124322.25260000001</v>
      </c>
      <c r="E66" s="159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5.75" x14ac:dyDescent="0.25">
      <c r="A67" s="60"/>
      <c r="B67" s="61"/>
      <c r="C67" s="62"/>
      <c r="D67" s="156"/>
      <c r="E67" s="159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5.75" x14ac:dyDescent="0.25">
      <c r="B68" s="61"/>
      <c r="C68" s="62"/>
      <c r="D68" s="156"/>
      <c r="E68" s="159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.75" x14ac:dyDescent="0.25">
      <c r="B69" s="61"/>
      <c r="C69" s="62"/>
      <c r="D69" s="156"/>
      <c r="E69" s="234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">
      <c r="B70" s="66" t="s">
        <v>72</v>
      </c>
      <c r="C70" s="66"/>
      <c r="D70" s="66" t="s">
        <v>73</v>
      </c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x14ac:dyDescent="0.2">
      <c r="B71" s="66" t="s">
        <v>74</v>
      </c>
      <c r="C71" s="66"/>
      <c r="D71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48" workbookViewId="0">
      <selection activeCell="G22" sqref="G22:P66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9" style="1"/>
    <col min="4" max="4" width="11.5703125" style="1" customWidth="1"/>
    <col min="5" max="5" width="11" style="1" customWidth="1"/>
    <col min="6" max="6" width="11.140625" style="1" customWidth="1"/>
    <col min="7" max="7" width="13.140625" style="1" customWidth="1"/>
    <col min="8" max="8" width="14.140625" style="1" customWidth="1"/>
    <col min="9" max="9" width="14.7109375" style="1" customWidth="1"/>
    <col min="10" max="12" width="9" style="1"/>
    <col min="13" max="14" width="9.5703125" style="1" customWidth="1"/>
    <col min="15" max="16384" width="9" style="1"/>
  </cols>
  <sheetData>
    <row r="1" spans="1:15" ht="15" x14ac:dyDescent="0.25">
      <c r="C1" s="2" t="s">
        <v>0</v>
      </c>
      <c r="D1" s="3"/>
      <c r="G1" s="2"/>
    </row>
    <row r="2" spans="1:15" ht="30" customHeight="1" x14ac:dyDescent="0.25">
      <c r="A2" s="4"/>
      <c r="B2" s="298" t="s">
        <v>111</v>
      </c>
      <c r="C2" s="298"/>
      <c r="D2" s="298"/>
      <c r="E2" s="298"/>
      <c r="F2" s="293"/>
      <c r="G2" s="2"/>
    </row>
    <row r="3" spans="1:15" ht="12" customHeight="1" x14ac:dyDescent="0.25">
      <c r="A3" s="4"/>
      <c r="B3" s="299" t="s">
        <v>222</v>
      </c>
      <c r="C3" s="298"/>
      <c r="D3" s="298"/>
      <c r="E3" s="298"/>
      <c r="G3" s="2"/>
    </row>
    <row r="4" spans="1:15" ht="15" x14ac:dyDescent="0.25">
      <c r="A4" s="4"/>
      <c r="B4" s="293"/>
      <c r="C4" s="293"/>
      <c r="D4" s="293"/>
      <c r="E4" s="293"/>
      <c r="G4" s="2"/>
    </row>
    <row r="5" spans="1:15" x14ac:dyDescent="0.2">
      <c r="A5" s="168"/>
      <c r="B5" s="163" t="s">
        <v>182</v>
      </c>
      <c r="C5" s="163"/>
      <c r="D5" s="163">
        <v>218326.81</v>
      </c>
      <c r="E5" s="168"/>
    </row>
    <row r="6" spans="1:15" ht="15" x14ac:dyDescent="0.25">
      <c r="A6" s="160"/>
      <c r="B6" s="164" t="s">
        <v>116</v>
      </c>
      <c r="C6" s="167" t="s">
        <v>6</v>
      </c>
      <c r="D6" s="161">
        <v>227577.96</v>
      </c>
      <c r="E6" s="160"/>
      <c r="F6" s="2"/>
    </row>
    <row r="7" spans="1:15" ht="15" x14ac:dyDescent="0.25">
      <c r="A7" s="160"/>
      <c r="B7" s="164"/>
      <c r="C7" s="167"/>
      <c r="D7" s="161"/>
      <c r="E7" s="160"/>
      <c r="F7" s="2"/>
    </row>
    <row r="8" spans="1:15" ht="15" x14ac:dyDescent="0.25">
      <c r="A8" s="160"/>
      <c r="B8" s="165" t="s">
        <v>2</v>
      </c>
      <c r="C8" s="167" t="s">
        <v>3</v>
      </c>
      <c r="D8" s="160">
        <v>9648.77</v>
      </c>
      <c r="E8" s="160"/>
      <c r="F8" s="2"/>
    </row>
    <row r="9" spans="1:15" ht="15" x14ac:dyDescent="0.25">
      <c r="A9" s="160"/>
      <c r="B9" s="165" t="s">
        <v>4</v>
      </c>
      <c r="C9" s="167" t="s">
        <v>3</v>
      </c>
      <c r="D9" s="160">
        <v>5894.35</v>
      </c>
      <c r="E9" s="160"/>
      <c r="F9" s="2"/>
    </row>
    <row r="10" spans="1:15" ht="15" x14ac:dyDescent="0.25">
      <c r="A10" s="160"/>
      <c r="B10" s="166" t="s">
        <v>5</v>
      </c>
      <c r="C10" s="164" t="s">
        <v>6</v>
      </c>
      <c r="D10" s="160">
        <v>657914.36</v>
      </c>
      <c r="E10" s="160"/>
      <c r="F10" s="2"/>
    </row>
    <row r="11" spans="1:15" ht="15" x14ac:dyDescent="0.25">
      <c r="A11" s="160"/>
      <c r="B11" s="164"/>
      <c r="C11" s="164"/>
      <c r="D11" s="160"/>
      <c r="E11" s="160"/>
      <c r="F11" s="2"/>
    </row>
    <row r="12" spans="1:15" ht="15" x14ac:dyDescent="0.25">
      <c r="A12" s="160"/>
      <c r="B12" s="166" t="s">
        <v>7</v>
      </c>
      <c r="C12" s="164"/>
      <c r="D12" s="160"/>
      <c r="E12" s="160"/>
      <c r="F12" s="2"/>
    </row>
    <row r="13" spans="1:15" ht="15" x14ac:dyDescent="0.25">
      <c r="A13" s="160">
        <v>1</v>
      </c>
      <c r="B13" s="167" t="s">
        <v>8</v>
      </c>
      <c r="C13" s="167" t="s">
        <v>6</v>
      </c>
      <c r="D13" s="160">
        <v>550521.03</v>
      </c>
      <c r="E13" s="160"/>
      <c r="F13" s="2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5" customHeight="1" x14ac:dyDescent="0.25">
      <c r="A14" s="160">
        <v>2</v>
      </c>
      <c r="B14" s="167" t="s">
        <v>9</v>
      </c>
      <c r="C14" s="167" t="s">
        <v>6</v>
      </c>
      <c r="D14" s="160">
        <f>6000+6300+312000+9000</f>
        <v>333300</v>
      </c>
      <c r="E14" s="160"/>
      <c r="F14" s="2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5" x14ac:dyDescent="0.25">
      <c r="A15" s="160">
        <v>3</v>
      </c>
      <c r="B15" s="167" t="s">
        <v>106</v>
      </c>
      <c r="C15" s="167" t="s">
        <v>6</v>
      </c>
      <c r="D15" s="160">
        <v>30847.64</v>
      </c>
      <c r="E15" s="160"/>
      <c r="F15" s="2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5" x14ac:dyDescent="0.25">
      <c r="A16" s="160"/>
      <c r="B16" s="166" t="s">
        <v>10</v>
      </c>
      <c r="C16" s="164" t="s">
        <v>6</v>
      </c>
      <c r="D16" s="161">
        <f>D13+D14+D15</f>
        <v>914668.67</v>
      </c>
      <c r="E16" s="160"/>
      <c r="F16" s="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5" x14ac:dyDescent="0.25">
      <c r="A17" s="160"/>
      <c r="B17" s="164"/>
      <c r="C17" s="164"/>
      <c r="D17" s="160"/>
      <c r="E17" s="160"/>
      <c r="F17" s="2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5" x14ac:dyDescent="0.25">
      <c r="B18" s="5"/>
      <c r="C18" s="5"/>
      <c r="F18" s="2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5" x14ac:dyDescent="0.25">
      <c r="B19" s="5"/>
      <c r="C19" s="5" t="s">
        <v>11</v>
      </c>
      <c r="F19" s="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5" x14ac:dyDescent="0.25">
      <c r="A20" s="13"/>
      <c r="B20" s="14"/>
      <c r="C20" s="14"/>
      <c r="D20" s="13"/>
      <c r="E20" s="13"/>
      <c r="F20" s="2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9"/>
      <c r="F21" s="2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F22" s="2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6.25" x14ac:dyDescent="0.25">
      <c r="A23" s="22" t="s">
        <v>18</v>
      </c>
      <c r="B23" s="23" t="s">
        <v>88</v>
      </c>
      <c r="C23" s="24"/>
      <c r="D23" s="6"/>
      <c r="E23" s="6"/>
      <c r="F23" s="2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5.5" customHeight="1" x14ac:dyDescent="0.25">
      <c r="A24" s="22"/>
      <c r="B24" s="25" t="s">
        <v>20</v>
      </c>
      <c r="C24" s="26" t="s">
        <v>6</v>
      </c>
      <c r="D24" s="216">
        <f>D25+D26+D27</f>
        <v>217509.31</v>
      </c>
      <c r="E24" s="6"/>
      <c r="F24" s="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81" customHeight="1" x14ac:dyDescent="0.25">
      <c r="A25" s="22"/>
      <c r="B25" s="28" t="s">
        <v>21</v>
      </c>
      <c r="C25" s="29"/>
      <c r="D25" s="204">
        <v>105603.07</v>
      </c>
      <c r="E25" s="6"/>
      <c r="F25" s="2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3.25" x14ac:dyDescent="0.25">
      <c r="A26" s="30"/>
      <c r="B26" s="28" t="s">
        <v>22</v>
      </c>
      <c r="C26" s="29"/>
      <c r="D26" s="204">
        <v>100589.24</v>
      </c>
      <c r="E26" s="6"/>
      <c r="F26" s="2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3.25" x14ac:dyDescent="0.25">
      <c r="A27" s="31"/>
      <c r="B27" s="40" t="s">
        <v>23</v>
      </c>
      <c r="C27" s="29"/>
      <c r="D27" s="204">
        <v>11317</v>
      </c>
      <c r="E27" s="6"/>
      <c r="F27" s="2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6.25" x14ac:dyDescent="0.25">
      <c r="A28" s="22"/>
      <c r="B28" s="25" t="s">
        <v>24</v>
      </c>
      <c r="C28" s="26" t="s">
        <v>6</v>
      </c>
      <c r="D28" s="216">
        <f>D29+D30</f>
        <v>10450</v>
      </c>
      <c r="E28" s="6"/>
      <c r="F28" s="2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5" x14ac:dyDescent="0.25">
      <c r="A29" s="33"/>
      <c r="B29" s="70" t="s">
        <v>25</v>
      </c>
      <c r="C29" s="35"/>
      <c r="D29" s="204">
        <v>7620</v>
      </c>
      <c r="E29" s="6"/>
      <c r="F29" s="2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5" x14ac:dyDescent="0.25">
      <c r="A30" s="22"/>
      <c r="B30" s="70" t="s">
        <v>26</v>
      </c>
      <c r="C30" s="35"/>
      <c r="D30" s="204">
        <v>2830</v>
      </c>
      <c r="E30" s="6"/>
      <c r="F30" s="2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9" x14ac:dyDescent="0.25">
      <c r="A31" s="22" t="s">
        <v>27</v>
      </c>
      <c r="B31" s="25" t="s">
        <v>28</v>
      </c>
      <c r="C31" s="36" t="s">
        <v>6</v>
      </c>
      <c r="D31" s="216">
        <f>D32+D33</f>
        <v>31260</v>
      </c>
      <c r="E31" s="6"/>
      <c r="F31" s="2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9.5" x14ac:dyDescent="0.25">
      <c r="A32" s="37"/>
      <c r="B32" s="28" t="s">
        <v>29</v>
      </c>
      <c r="C32" s="29"/>
      <c r="D32" s="204">
        <v>31260</v>
      </c>
      <c r="E32" s="6"/>
      <c r="F32" s="2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9.25" customHeight="1" x14ac:dyDescent="0.25">
      <c r="A33" s="37"/>
      <c r="B33" s="38" t="s">
        <v>30</v>
      </c>
      <c r="C33" s="29"/>
      <c r="D33" s="204">
        <v>0</v>
      </c>
      <c r="E33" s="6"/>
      <c r="F33" s="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42" customHeight="1" x14ac:dyDescent="0.25">
      <c r="A34" s="37" t="s">
        <v>31</v>
      </c>
      <c r="B34" s="25" t="s">
        <v>32</v>
      </c>
      <c r="C34" s="12" t="s">
        <v>6</v>
      </c>
      <c r="D34" s="216">
        <f>D35+D36+D37</f>
        <v>9300</v>
      </c>
      <c r="E34" s="6"/>
      <c r="F34" s="2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6" customHeight="1" x14ac:dyDescent="0.25">
      <c r="A35" s="33"/>
      <c r="B35" s="40" t="s">
        <v>33</v>
      </c>
      <c r="C35" s="39"/>
      <c r="D35" s="204">
        <v>4642</v>
      </c>
      <c r="E35" s="6"/>
      <c r="F35" s="2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4" customHeight="1" x14ac:dyDescent="0.25">
      <c r="A36" s="33"/>
      <c r="B36" s="38" t="s">
        <v>89</v>
      </c>
      <c r="C36" s="39"/>
      <c r="D36" s="204">
        <v>4658</v>
      </c>
      <c r="E36" s="6"/>
      <c r="F36" s="2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8.5" customHeight="1" x14ac:dyDescent="0.25">
      <c r="A37" s="33"/>
      <c r="B37" s="38" t="s">
        <v>35</v>
      </c>
      <c r="C37" s="39"/>
      <c r="D37" s="204">
        <v>0</v>
      </c>
      <c r="E37" s="6"/>
      <c r="F37" s="2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7.25" customHeight="1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63783.43</v>
      </c>
      <c r="E38" s="6"/>
      <c r="F38" s="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8" customHeight="1" x14ac:dyDescent="0.25">
      <c r="A39" s="42"/>
      <c r="B39" s="43" t="s">
        <v>38</v>
      </c>
      <c r="C39" s="44"/>
      <c r="D39" s="204">
        <v>6551.16</v>
      </c>
      <c r="E39" s="6"/>
      <c r="F39" s="2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7" customHeight="1" x14ac:dyDescent="0.25">
      <c r="A40" s="42"/>
      <c r="B40" s="43" t="s">
        <v>39</v>
      </c>
      <c r="C40" s="44"/>
      <c r="D40" s="204">
        <v>19656</v>
      </c>
      <c r="E40" s="6"/>
      <c r="F40" s="2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6.5" customHeight="1" x14ac:dyDescent="0.25">
      <c r="A41" s="42"/>
      <c r="B41" s="45" t="s">
        <v>40</v>
      </c>
      <c r="C41" s="44"/>
      <c r="D41" s="204">
        <v>27565.09</v>
      </c>
      <c r="E41" s="6"/>
      <c r="F41" s="2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6.950000000000003" customHeight="1" x14ac:dyDescent="0.25">
      <c r="A42" s="31"/>
      <c r="B42" s="46" t="s">
        <v>41</v>
      </c>
      <c r="C42" s="44"/>
      <c r="D42" s="204"/>
      <c r="E42" s="6"/>
      <c r="F42" s="2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4.25" customHeight="1" x14ac:dyDescent="0.25">
      <c r="A43" s="42"/>
      <c r="B43" s="47" t="s">
        <v>90</v>
      </c>
      <c r="C43" s="44"/>
      <c r="D43" s="204">
        <v>0</v>
      </c>
      <c r="E43" s="6"/>
      <c r="F43" s="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5" customHeight="1" x14ac:dyDescent="0.25">
      <c r="A44" s="42"/>
      <c r="B44" s="47" t="s">
        <v>91</v>
      </c>
      <c r="C44" s="44"/>
      <c r="D44" s="204">
        <v>6002.71</v>
      </c>
      <c r="E44" s="6"/>
      <c r="F44" s="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5.75" customHeight="1" x14ac:dyDescent="0.25">
      <c r="A45" s="29"/>
      <c r="B45" s="47" t="s">
        <v>92</v>
      </c>
      <c r="C45" s="44"/>
      <c r="D45" s="204">
        <v>3536.98</v>
      </c>
      <c r="E45" s="6"/>
      <c r="F45" s="2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4" customHeight="1" x14ac:dyDescent="0.25">
      <c r="A46" s="42"/>
      <c r="B46" s="47" t="s">
        <v>45</v>
      </c>
      <c r="C46" s="44"/>
      <c r="D46" s="204">
        <v>471.49</v>
      </c>
      <c r="E46" s="6"/>
      <c r="F46" s="198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39.75" customHeight="1" x14ac:dyDescent="0.25">
      <c r="A47" s="12" t="s">
        <v>46</v>
      </c>
      <c r="B47" s="48" t="s">
        <v>47</v>
      </c>
      <c r="C47" s="49"/>
      <c r="D47" s="204"/>
      <c r="E47" s="6"/>
      <c r="F47" s="2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15" x14ac:dyDescent="0.25">
      <c r="A48" s="49"/>
      <c r="B48" s="50" t="s">
        <v>48</v>
      </c>
      <c r="C48" s="49"/>
      <c r="D48" s="204"/>
      <c r="E48" s="6"/>
      <c r="F48" s="2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6.25" x14ac:dyDescent="0.25">
      <c r="A49" s="31"/>
      <c r="B49" s="51" t="s">
        <v>49</v>
      </c>
      <c r="C49" s="20" t="s">
        <v>6</v>
      </c>
      <c r="D49" s="216">
        <f>D50+D51+D52</f>
        <v>160075.71000000002</v>
      </c>
      <c r="E49" s="6"/>
      <c r="F49" s="2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3.25" x14ac:dyDescent="0.25">
      <c r="A50" s="33"/>
      <c r="B50" s="28" t="s">
        <v>50</v>
      </c>
      <c r="C50" s="39"/>
      <c r="D50" s="204">
        <v>153590.07</v>
      </c>
      <c r="E50" s="6"/>
      <c r="F50" s="2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15" x14ac:dyDescent="0.25">
      <c r="A51" s="31"/>
      <c r="B51" s="52" t="s">
        <v>51</v>
      </c>
      <c r="C51" s="75"/>
      <c r="D51" s="204">
        <v>0</v>
      </c>
      <c r="E51" s="6"/>
      <c r="F51" s="2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3.25" x14ac:dyDescent="0.25">
      <c r="A52" s="31"/>
      <c r="B52" s="52" t="s">
        <v>52</v>
      </c>
      <c r="C52" s="75"/>
      <c r="D52" s="204">
        <v>6485.64</v>
      </c>
      <c r="E52" s="6"/>
      <c r="F52" s="2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15" x14ac:dyDescent="0.25">
      <c r="A53" s="33" t="s">
        <v>60</v>
      </c>
      <c r="B53" s="210" t="s">
        <v>252</v>
      </c>
      <c r="C53" s="12" t="s">
        <v>6</v>
      </c>
      <c r="D53" s="216">
        <v>14331.09</v>
      </c>
      <c r="E53" s="6"/>
      <c r="F53" s="2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5" x14ac:dyDescent="0.25">
      <c r="A54" s="31" t="s">
        <v>62</v>
      </c>
      <c r="B54" s="211" t="s">
        <v>262</v>
      </c>
      <c r="C54" s="20" t="s">
        <v>6</v>
      </c>
      <c r="D54" s="216">
        <v>306483.84999999998</v>
      </c>
      <c r="E54" s="6"/>
      <c r="F54" s="2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9" customHeight="1" x14ac:dyDescent="0.25">
      <c r="A55" s="31"/>
      <c r="B55" s="54" t="s">
        <v>63</v>
      </c>
      <c r="C55" s="55"/>
      <c r="D55" s="204"/>
      <c r="E55" s="6"/>
      <c r="F55" s="2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53.1" customHeight="1" x14ac:dyDescent="0.25">
      <c r="A56" s="31" t="s">
        <v>64</v>
      </c>
      <c r="B56" s="56" t="s">
        <v>65</v>
      </c>
      <c r="C56" s="55" t="s">
        <v>6</v>
      </c>
      <c r="D56" s="216">
        <v>64937</v>
      </c>
      <c r="E56" s="6"/>
      <c r="F56" s="2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63.95" customHeight="1" x14ac:dyDescent="0.25">
      <c r="A57" s="31" t="s">
        <v>66</v>
      </c>
      <c r="B57" s="57" t="s">
        <v>98</v>
      </c>
      <c r="C57" s="55" t="s">
        <v>6</v>
      </c>
      <c r="D57" s="216">
        <f>247092.24+305.49+10092.89</f>
        <v>257490.62</v>
      </c>
      <c r="E57" s="6"/>
      <c r="F57" s="2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8.95" customHeight="1" x14ac:dyDescent="0.25">
      <c r="A58" s="31" t="s">
        <v>68</v>
      </c>
      <c r="B58" s="58" t="s">
        <v>69</v>
      </c>
      <c r="C58" s="55" t="s">
        <v>6</v>
      </c>
      <c r="D58" s="218">
        <f>D16*6%</f>
        <v>54880.120199999998</v>
      </c>
      <c r="E58" s="6"/>
      <c r="F58" s="2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21" customHeight="1" x14ac:dyDescent="0.25">
      <c r="A59" s="31"/>
      <c r="B59" s="59" t="s">
        <v>70</v>
      </c>
      <c r="C59" s="55" t="s">
        <v>6</v>
      </c>
      <c r="D59" s="218">
        <f>D24+D28+D31+D34+D38+D49+D53+D54+D57+D58+D56</f>
        <v>1190501.1302</v>
      </c>
      <c r="E59" s="6"/>
      <c r="F59" s="2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B60" s="61"/>
      <c r="C60" s="62"/>
      <c r="D60" s="156"/>
      <c r="E60" s="153"/>
      <c r="F60" s="2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B61" s="61" t="s">
        <v>76</v>
      </c>
      <c r="C61" s="62"/>
      <c r="D61" s="234">
        <f>D6+D16-D59</f>
        <v>-48254.500199999893</v>
      </c>
      <c r="E61" s="153"/>
      <c r="F61" s="2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B62" s="5"/>
      <c r="C62" s="110"/>
      <c r="D62" s="155"/>
      <c r="E62" s="153"/>
      <c r="F62" s="2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B63" s="5"/>
      <c r="C63" s="110"/>
      <c r="D63" s="155"/>
      <c r="E63" s="153"/>
      <c r="F63" s="2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B64" s="5"/>
      <c r="C64" s="110"/>
      <c r="D64" s="2"/>
      <c r="F64" s="2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ht="15" x14ac:dyDescent="0.25">
      <c r="F65" s="2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x14ac:dyDescent="0.2">
      <c r="B66" s="66" t="s">
        <v>72</v>
      </c>
      <c r="C66" s="66"/>
      <c r="D66" s="66" t="s">
        <v>73</v>
      </c>
      <c r="E66" s="6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2:15" x14ac:dyDescent="0.2">
      <c r="B67" s="66" t="s">
        <v>74</v>
      </c>
      <c r="C67" s="66"/>
      <c r="D67" s="189" t="s">
        <v>273</v>
      </c>
      <c r="E67" s="66"/>
    </row>
  </sheetData>
  <mergeCells count="2">
    <mergeCell ref="B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48" workbookViewId="0">
      <selection activeCell="K66" sqref="K66"/>
    </sheetView>
  </sheetViews>
  <sheetFormatPr defaultColWidth="9" defaultRowHeight="14.25" x14ac:dyDescent="0.2"/>
  <cols>
    <col min="1" max="1" width="4.7109375" style="1" customWidth="1"/>
    <col min="2" max="2" width="41.5703125" style="1" customWidth="1"/>
    <col min="3" max="3" width="14.140625" style="1" customWidth="1"/>
    <col min="4" max="4" width="14.42578125" style="1" customWidth="1"/>
    <col min="5" max="5" width="12.85546875" style="1" customWidth="1"/>
    <col min="6" max="6" width="13" style="1" customWidth="1"/>
    <col min="7" max="7" width="12.5703125" style="1" customWidth="1"/>
    <col min="8" max="8" width="11.140625" style="1" customWidth="1"/>
    <col min="9" max="9" width="10.140625" style="1" customWidth="1"/>
    <col min="10" max="10" width="11.42578125" style="1" customWidth="1"/>
    <col min="11" max="16384" width="9" style="1"/>
  </cols>
  <sheetData>
    <row r="1" spans="1:13" ht="15" x14ac:dyDescent="0.25">
      <c r="B1" s="82" t="s">
        <v>0</v>
      </c>
      <c r="E1" s="2"/>
    </row>
    <row r="2" spans="1:13" ht="27" customHeight="1" x14ac:dyDescent="0.25">
      <c r="A2" s="298" t="s">
        <v>111</v>
      </c>
      <c r="B2" s="298"/>
      <c r="C2" s="298"/>
      <c r="D2" s="298"/>
      <c r="E2" s="2"/>
    </row>
    <row r="3" spans="1:13" ht="14.25" customHeight="1" x14ac:dyDescent="0.25">
      <c r="A3" s="4"/>
      <c r="B3" s="299" t="s">
        <v>223</v>
      </c>
      <c r="C3" s="298"/>
      <c r="E3" s="2"/>
    </row>
    <row r="4" spans="1:13" ht="15" x14ac:dyDescent="0.25">
      <c r="B4" s="5"/>
      <c r="E4" s="2"/>
    </row>
    <row r="5" spans="1:13" ht="15" x14ac:dyDescent="0.25">
      <c r="B5" s="169" t="s">
        <v>182</v>
      </c>
      <c r="C5" s="5"/>
      <c r="D5" s="5">
        <v>498398</v>
      </c>
      <c r="E5" s="2"/>
    </row>
    <row r="6" spans="1:13" x14ac:dyDescent="0.2">
      <c r="A6" s="6"/>
      <c r="B6" s="188" t="s">
        <v>76</v>
      </c>
      <c r="C6" s="67">
        <v>-288275</v>
      </c>
      <c r="D6" s="6"/>
    </row>
    <row r="7" spans="1:13" x14ac:dyDescent="0.2">
      <c r="A7" s="6"/>
      <c r="B7" s="10" t="s">
        <v>2</v>
      </c>
      <c r="C7" s="68">
        <v>7177</v>
      </c>
      <c r="D7" s="6"/>
    </row>
    <row r="8" spans="1:13" x14ac:dyDescent="0.2">
      <c r="A8" s="6"/>
      <c r="B8" s="10" t="s">
        <v>4</v>
      </c>
      <c r="C8" s="68">
        <v>4968.25</v>
      </c>
      <c r="D8" s="6"/>
    </row>
    <row r="9" spans="1:13" x14ac:dyDescent="0.2">
      <c r="A9" s="6"/>
      <c r="B9" s="12" t="s">
        <v>5</v>
      </c>
      <c r="C9" s="67">
        <v>1098243.3799999999</v>
      </c>
      <c r="D9" s="6"/>
      <c r="F9" s="1" t="s">
        <v>148</v>
      </c>
    </row>
    <row r="10" spans="1:13" ht="15" customHeight="1" x14ac:dyDescent="0.2">
      <c r="A10" s="6"/>
      <c r="B10" s="7"/>
      <c r="C10" s="68"/>
      <c r="D10" s="6"/>
    </row>
    <row r="11" spans="1:13" ht="15" customHeight="1" x14ac:dyDescent="0.2">
      <c r="A11" s="6"/>
      <c r="B11" s="12" t="s">
        <v>7</v>
      </c>
      <c r="C11" s="68"/>
      <c r="D11" s="6"/>
    </row>
    <row r="12" spans="1:13" ht="17.25" customHeight="1" x14ac:dyDescent="0.2">
      <c r="A12" s="6">
        <v>1</v>
      </c>
      <c r="B12" s="8" t="s">
        <v>8</v>
      </c>
      <c r="C12" s="68">
        <v>1035996.21</v>
      </c>
      <c r="D12" s="6"/>
      <c r="F12" s="153"/>
      <c r="G12" s="153"/>
      <c r="H12" s="153"/>
      <c r="I12" s="153"/>
      <c r="J12" s="153"/>
      <c r="K12" s="153"/>
      <c r="L12" s="153"/>
      <c r="M12" s="153"/>
    </row>
    <row r="13" spans="1:13" ht="16.5" customHeight="1" x14ac:dyDescent="0.2">
      <c r="A13" s="6">
        <v>2</v>
      </c>
      <c r="B13" s="8" t="s">
        <v>9</v>
      </c>
      <c r="C13" s="68">
        <f>9000+3150+5400+18000</f>
        <v>35550</v>
      </c>
      <c r="D13" s="6"/>
      <c r="F13" s="153"/>
      <c r="G13" s="153"/>
      <c r="H13" s="153"/>
      <c r="I13" s="153"/>
      <c r="J13" s="153"/>
      <c r="K13" s="153"/>
      <c r="L13" s="153"/>
      <c r="M13" s="153"/>
    </row>
    <row r="14" spans="1:13" ht="15" customHeight="1" x14ac:dyDescent="0.2">
      <c r="A14" s="6"/>
      <c r="B14" s="8"/>
      <c r="C14" s="68"/>
      <c r="D14" s="6"/>
      <c r="F14" s="153"/>
      <c r="G14" s="153"/>
      <c r="H14" s="153"/>
      <c r="I14" s="153"/>
      <c r="J14" s="153"/>
      <c r="K14" s="153"/>
      <c r="L14" s="153"/>
      <c r="M14" s="153"/>
    </row>
    <row r="15" spans="1:13" ht="15" customHeight="1" x14ac:dyDescent="0.2">
      <c r="A15" s="6"/>
      <c r="B15" s="12" t="s">
        <v>10</v>
      </c>
      <c r="C15" s="67">
        <f>C12+C13+C14</f>
        <v>1071546.21</v>
      </c>
      <c r="D15" s="6"/>
      <c r="F15" s="153"/>
      <c r="G15" s="153"/>
      <c r="H15" s="153"/>
      <c r="I15" s="153"/>
      <c r="J15" s="153"/>
      <c r="K15" s="153"/>
      <c r="L15" s="153"/>
      <c r="M15" s="153"/>
    </row>
    <row r="16" spans="1:13" ht="15" customHeight="1" x14ac:dyDescent="0.2">
      <c r="A16" s="6"/>
      <c r="B16" s="7"/>
      <c r="C16" s="6"/>
      <c r="D16" s="6"/>
      <c r="F16" s="153"/>
      <c r="G16" s="153"/>
      <c r="H16" s="153"/>
      <c r="I16" s="153"/>
      <c r="J16" s="153"/>
      <c r="K16" s="153"/>
      <c r="L16" s="153"/>
      <c r="M16" s="153"/>
    </row>
    <row r="17" spans="1:13" ht="15" customHeight="1" x14ac:dyDescent="0.2">
      <c r="B17" s="5"/>
      <c r="F17" s="153"/>
      <c r="G17" s="153"/>
      <c r="H17" s="153"/>
      <c r="I17" s="153"/>
      <c r="J17" s="153"/>
      <c r="K17" s="153"/>
      <c r="L17" s="153"/>
      <c r="M17" s="153"/>
    </row>
    <row r="18" spans="1:13" ht="14.25" customHeight="1" x14ac:dyDescent="0.2">
      <c r="B18" s="87" t="s">
        <v>11</v>
      </c>
      <c r="F18" s="153"/>
      <c r="G18" s="153"/>
      <c r="H18" s="153"/>
      <c r="I18" s="153"/>
      <c r="J18" s="153"/>
      <c r="K18" s="153"/>
      <c r="L18" s="153"/>
      <c r="M18" s="153"/>
    </row>
    <row r="19" spans="1:13" ht="12" customHeight="1" x14ac:dyDescent="0.2">
      <c r="A19" s="13"/>
      <c r="B19" s="14"/>
      <c r="C19" s="13"/>
      <c r="D19" s="13"/>
      <c r="F19" s="153"/>
      <c r="G19" s="153"/>
      <c r="H19" s="153"/>
      <c r="I19" s="153"/>
      <c r="J19" s="153"/>
      <c r="K19" s="153"/>
      <c r="L19" s="153"/>
      <c r="M19" s="153"/>
    </row>
    <row r="20" spans="1:13" x14ac:dyDescent="0.2">
      <c r="A20" s="15" t="s">
        <v>12</v>
      </c>
      <c r="B20" s="16"/>
      <c r="C20" s="19" t="s">
        <v>13</v>
      </c>
      <c r="D20" s="19"/>
      <c r="F20" s="153"/>
      <c r="G20" s="153"/>
      <c r="H20" s="153"/>
      <c r="I20" s="153"/>
      <c r="J20" s="153"/>
      <c r="K20" s="153"/>
      <c r="L20" s="153"/>
      <c r="M20" s="153"/>
    </row>
    <row r="21" spans="1:13" ht="17.25" customHeight="1" x14ac:dyDescent="0.2">
      <c r="A21" s="15" t="s">
        <v>15</v>
      </c>
      <c r="B21" s="20" t="s">
        <v>16</v>
      </c>
      <c r="C21" s="19" t="s">
        <v>77</v>
      </c>
      <c r="D21" s="21"/>
      <c r="F21" s="153"/>
      <c r="G21" s="153"/>
      <c r="H21" s="153"/>
      <c r="I21" s="153"/>
      <c r="J21" s="153"/>
      <c r="K21" s="153"/>
      <c r="L21" s="153"/>
      <c r="M21" s="153"/>
    </row>
    <row r="22" spans="1:13" ht="27" customHeight="1" x14ac:dyDescent="0.2">
      <c r="A22" s="22" t="s">
        <v>18</v>
      </c>
      <c r="B22" s="105" t="s">
        <v>88</v>
      </c>
      <c r="C22" s="6"/>
      <c r="D22" s="6"/>
      <c r="F22" s="153"/>
      <c r="G22" s="153"/>
      <c r="H22" s="153"/>
      <c r="I22" s="153"/>
      <c r="J22" s="153"/>
      <c r="K22" s="153"/>
      <c r="L22" s="153"/>
      <c r="M22" s="153"/>
    </row>
    <row r="23" spans="1:13" ht="41.1" customHeight="1" x14ac:dyDescent="0.2">
      <c r="A23" s="22"/>
      <c r="B23" s="25" t="s">
        <v>20</v>
      </c>
      <c r="C23" s="216">
        <f>C24+C25+C26</f>
        <v>228860.74</v>
      </c>
      <c r="D23" s="6"/>
      <c r="F23" s="153"/>
      <c r="G23" s="153"/>
      <c r="H23" s="153"/>
      <c r="I23" s="153"/>
      <c r="J23" s="153"/>
      <c r="K23" s="153"/>
      <c r="L23" s="153"/>
      <c r="M23" s="153"/>
    </row>
    <row r="24" spans="1:13" ht="78" customHeight="1" x14ac:dyDescent="0.2">
      <c r="A24" s="22"/>
      <c r="B24" s="28" t="s">
        <v>21</v>
      </c>
      <c r="C24" s="204">
        <v>106875.2</v>
      </c>
      <c r="D24" s="6"/>
      <c r="F24" s="153"/>
      <c r="G24" s="153"/>
      <c r="H24" s="153"/>
      <c r="I24" s="153"/>
      <c r="J24" s="153"/>
      <c r="K24" s="153"/>
      <c r="L24" s="153"/>
      <c r="M24" s="153"/>
    </row>
    <row r="25" spans="1:13" ht="111.95" customHeight="1" x14ac:dyDescent="0.2">
      <c r="A25" s="30"/>
      <c r="B25" s="28" t="s">
        <v>22</v>
      </c>
      <c r="C25" s="204">
        <f>106907.24+6214.3</f>
        <v>113121.54000000001</v>
      </c>
      <c r="D25" s="6"/>
      <c r="F25" s="153"/>
      <c r="G25" s="153"/>
      <c r="H25" s="153"/>
      <c r="I25" s="153"/>
      <c r="J25" s="153"/>
      <c r="K25" s="153"/>
      <c r="L25" s="153"/>
      <c r="M25" s="153"/>
    </row>
    <row r="26" spans="1:13" ht="22.5" x14ac:dyDescent="0.2">
      <c r="A26" s="31"/>
      <c r="B26" s="40" t="s">
        <v>23</v>
      </c>
      <c r="C26" s="204">
        <v>8864</v>
      </c>
      <c r="D26" s="6"/>
      <c r="F26" s="153"/>
      <c r="G26" s="153"/>
      <c r="H26" s="153"/>
      <c r="I26" s="153"/>
      <c r="J26" s="153"/>
      <c r="K26" s="153"/>
      <c r="L26" s="153"/>
      <c r="M26" s="153"/>
    </row>
    <row r="27" spans="1:13" ht="27" customHeight="1" x14ac:dyDescent="0.2">
      <c r="A27" s="22"/>
      <c r="B27" s="25" t="s">
        <v>24</v>
      </c>
      <c r="C27" s="216">
        <f>C28+C29</f>
        <v>12096.19</v>
      </c>
      <c r="D27" s="6"/>
      <c r="F27" s="153"/>
      <c r="G27" s="153"/>
      <c r="H27" s="153"/>
      <c r="I27" s="153"/>
      <c r="J27" s="153"/>
      <c r="K27" s="153"/>
      <c r="L27" s="153"/>
      <c r="M27" s="153"/>
    </row>
    <row r="28" spans="1:13" ht="12.75" customHeight="1" x14ac:dyDescent="0.2">
      <c r="A28" s="33"/>
      <c r="B28" s="70" t="s">
        <v>25</v>
      </c>
      <c r="C28" s="204">
        <v>11500</v>
      </c>
      <c r="D28" s="6"/>
      <c r="F28" s="153"/>
      <c r="G28" s="153"/>
      <c r="H28" s="153"/>
      <c r="I28" s="153"/>
      <c r="J28" s="153"/>
      <c r="K28" s="153"/>
      <c r="L28" s="153"/>
      <c r="M28" s="153"/>
    </row>
    <row r="29" spans="1:13" ht="14.25" customHeight="1" x14ac:dyDescent="0.2">
      <c r="A29" s="22"/>
      <c r="B29" s="70" t="s">
        <v>26</v>
      </c>
      <c r="C29" s="204">
        <v>596.19000000000005</v>
      </c>
      <c r="D29" s="6"/>
      <c r="F29" s="153"/>
      <c r="G29" s="153"/>
      <c r="H29" s="153"/>
      <c r="I29" s="153"/>
      <c r="J29" s="153"/>
      <c r="K29" s="153"/>
      <c r="L29" s="153"/>
      <c r="M29" s="153"/>
    </row>
    <row r="30" spans="1:13" ht="39" customHeight="1" x14ac:dyDescent="0.2">
      <c r="A30" s="22" t="s">
        <v>27</v>
      </c>
      <c r="B30" s="25" t="s">
        <v>28</v>
      </c>
      <c r="C30" s="216">
        <f>C31+C32</f>
        <v>42000</v>
      </c>
      <c r="D30" s="6"/>
      <c r="F30" s="153"/>
      <c r="G30" s="153"/>
      <c r="H30" s="153"/>
      <c r="I30" s="153"/>
      <c r="J30" s="153"/>
      <c r="K30" s="153"/>
      <c r="L30" s="153"/>
      <c r="M30" s="153"/>
    </row>
    <row r="31" spans="1:13" ht="69.95" customHeight="1" x14ac:dyDescent="0.2">
      <c r="A31" s="37"/>
      <c r="B31" s="28" t="s">
        <v>29</v>
      </c>
      <c r="C31" s="204">
        <v>42000</v>
      </c>
      <c r="D31" s="6"/>
      <c r="F31" s="153"/>
      <c r="G31" s="153"/>
      <c r="H31" s="153"/>
      <c r="I31" s="153"/>
      <c r="J31" s="153"/>
      <c r="K31" s="153"/>
      <c r="L31" s="153"/>
      <c r="M31" s="153"/>
    </row>
    <row r="32" spans="1:13" ht="27" customHeight="1" x14ac:dyDescent="0.2">
      <c r="A32" s="37"/>
      <c r="B32" s="38" t="s">
        <v>30</v>
      </c>
      <c r="C32" s="204">
        <v>0</v>
      </c>
      <c r="D32" s="6"/>
      <c r="F32" s="153"/>
      <c r="G32" s="153"/>
      <c r="H32" s="153"/>
      <c r="I32" s="153"/>
      <c r="J32" s="153"/>
      <c r="K32" s="153"/>
      <c r="L32" s="153"/>
      <c r="M32" s="153"/>
    </row>
    <row r="33" spans="1:13" ht="44.1" customHeight="1" x14ac:dyDescent="0.2">
      <c r="A33" s="37" t="s">
        <v>31</v>
      </c>
      <c r="B33" s="25" t="s">
        <v>32</v>
      </c>
      <c r="C33" s="216">
        <f>C34+C35+C36</f>
        <v>6120</v>
      </c>
      <c r="D33" s="6"/>
      <c r="F33" s="153"/>
      <c r="G33" s="153"/>
      <c r="H33" s="153"/>
      <c r="I33" s="153"/>
      <c r="J33" s="153"/>
      <c r="K33" s="153"/>
      <c r="L33" s="153"/>
      <c r="M33" s="153"/>
    </row>
    <row r="34" spans="1:13" ht="37.5" customHeight="1" x14ac:dyDescent="0.2">
      <c r="A34" s="33"/>
      <c r="B34" s="40" t="s">
        <v>33</v>
      </c>
      <c r="C34" s="204">
        <v>4200</v>
      </c>
      <c r="D34" s="6"/>
      <c r="F34" s="153"/>
      <c r="G34" s="153"/>
      <c r="H34" s="153"/>
      <c r="I34" s="153"/>
      <c r="J34" s="153"/>
      <c r="K34" s="153"/>
      <c r="L34" s="153"/>
      <c r="M34" s="153"/>
    </row>
    <row r="35" spans="1:13" ht="22.5" x14ac:dyDescent="0.2">
      <c r="A35" s="33"/>
      <c r="B35" s="38" t="s">
        <v>89</v>
      </c>
      <c r="C35" s="204">
        <v>1920</v>
      </c>
      <c r="D35" s="6"/>
      <c r="F35" s="153"/>
      <c r="G35" s="153"/>
      <c r="H35" s="153"/>
      <c r="I35" s="153"/>
      <c r="J35" s="153"/>
      <c r="K35" s="153"/>
      <c r="L35" s="153"/>
      <c r="M35" s="153"/>
    </row>
    <row r="36" spans="1:13" ht="22.5" x14ac:dyDescent="0.2">
      <c r="A36" s="33"/>
      <c r="B36" s="38" t="s">
        <v>35</v>
      </c>
      <c r="C36" s="204">
        <v>0</v>
      </c>
      <c r="D36" s="6"/>
      <c r="F36" s="153"/>
      <c r="G36" s="153"/>
      <c r="H36" s="153"/>
      <c r="I36" s="153"/>
      <c r="J36" s="153"/>
      <c r="K36" s="153"/>
      <c r="L36" s="153"/>
      <c r="M36" s="153"/>
    </row>
    <row r="37" spans="1:13" ht="21" customHeight="1" x14ac:dyDescent="0.25">
      <c r="A37" s="31" t="s">
        <v>36</v>
      </c>
      <c r="B37" s="41" t="s">
        <v>37</v>
      </c>
      <c r="C37" s="216">
        <f>C38+C39+C40+C42+C44+C43</f>
        <v>30630.170000000002</v>
      </c>
      <c r="D37" s="6"/>
      <c r="F37" s="153"/>
      <c r="G37" s="153"/>
      <c r="H37" s="153"/>
      <c r="I37" s="153"/>
      <c r="J37" s="153"/>
      <c r="K37" s="153"/>
      <c r="L37" s="153"/>
      <c r="M37" s="153"/>
    </row>
    <row r="38" spans="1:13" x14ac:dyDescent="0.2">
      <c r="A38" s="42"/>
      <c r="B38" s="43" t="s">
        <v>38</v>
      </c>
      <c r="C38" s="204">
        <v>3653.16</v>
      </c>
      <c r="D38" s="6"/>
      <c r="F38" s="153"/>
      <c r="G38" s="153"/>
      <c r="H38" s="153"/>
      <c r="I38" s="153"/>
      <c r="J38" s="153"/>
      <c r="K38" s="153"/>
      <c r="L38" s="153"/>
      <c r="M38" s="153"/>
    </row>
    <row r="39" spans="1:13" x14ac:dyDescent="0.2">
      <c r="A39" s="42"/>
      <c r="B39" s="43" t="s">
        <v>39</v>
      </c>
      <c r="C39" s="204">
        <v>0</v>
      </c>
      <c r="D39" s="6"/>
      <c r="F39" s="153"/>
      <c r="G39" s="153"/>
      <c r="H39" s="153"/>
      <c r="I39" s="153"/>
      <c r="J39" s="153"/>
      <c r="K39" s="153"/>
      <c r="L39" s="153"/>
      <c r="M39" s="153"/>
    </row>
    <row r="40" spans="1:13" x14ac:dyDescent="0.2">
      <c r="A40" s="42"/>
      <c r="B40" s="45" t="s">
        <v>40</v>
      </c>
      <c r="C40" s="204">
        <v>23196.49</v>
      </c>
      <c r="D40" s="6"/>
      <c r="F40" s="153"/>
      <c r="G40" s="153"/>
      <c r="H40" s="153"/>
      <c r="I40" s="153"/>
      <c r="J40" s="153"/>
      <c r="K40" s="153"/>
      <c r="L40" s="153"/>
      <c r="M40" s="153"/>
    </row>
    <row r="41" spans="1:13" ht="33.75" x14ac:dyDescent="0.2">
      <c r="A41" s="31"/>
      <c r="B41" s="46" t="s">
        <v>41</v>
      </c>
      <c r="C41" s="204"/>
      <c r="D41" s="6"/>
      <c r="F41" s="153"/>
      <c r="G41" s="153"/>
      <c r="H41" s="153"/>
      <c r="I41" s="153"/>
      <c r="J41" s="153"/>
      <c r="K41" s="153"/>
      <c r="L41" s="153"/>
      <c r="M41" s="153"/>
    </row>
    <row r="42" spans="1:13" x14ac:dyDescent="0.2">
      <c r="A42" s="42"/>
      <c r="B42" s="47" t="s">
        <v>91</v>
      </c>
      <c r="C42" s="204">
        <v>1262.8399999999999</v>
      </c>
      <c r="D42" s="6"/>
      <c r="F42" s="153"/>
      <c r="G42" s="153"/>
      <c r="H42" s="153"/>
      <c r="I42" s="153"/>
      <c r="J42" s="153"/>
      <c r="K42" s="153"/>
      <c r="L42" s="153"/>
      <c r="M42" s="153"/>
    </row>
    <row r="43" spans="1:13" ht="22.5" x14ac:dyDescent="0.2">
      <c r="A43" s="42"/>
      <c r="B43" s="47" t="s">
        <v>163</v>
      </c>
      <c r="C43" s="204">
        <v>0</v>
      </c>
      <c r="D43" s="6"/>
      <c r="F43" s="153"/>
      <c r="G43" s="153"/>
      <c r="H43" s="153"/>
      <c r="I43" s="153"/>
      <c r="J43" s="153"/>
      <c r="K43" s="153"/>
      <c r="L43" s="153"/>
      <c r="M43" s="153"/>
    </row>
    <row r="44" spans="1:13" x14ac:dyDescent="0.2">
      <c r="A44" s="29"/>
      <c r="B44" s="47" t="s">
        <v>92</v>
      </c>
      <c r="C44" s="204">
        <v>2517.6799999999998</v>
      </c>
      <c r="D44" s="6"/>
      <c r="F44" s="153"/>
      <c r="G44" s="153"/>
      <c r="H44" s="153"/>
      <c r="I44" s="153"/>
      <c r="J44" s="153"/>
      <c r="K44" s="153"/>
      <c r="L44" s="153"/>
      <c r="M44" s="153"/>
    </row>
    <row r="45" spans="1:13" ht="42" customHeight="1" x14ac:dyDescent="0.2">
      <c r="A45" s="12" t="s">
        <v>46</v>
      </c>
      <c r="B45" s="48" t="s">
        <v>47</v>
      </c>
      <c r="C45" s="204"/>
      <c r="D45" s="6"/>
      <c r="F45" s="153"/>
      <c r="G45" s="153"/>
      <c r="H45" s="153"/>
      <c r="I45" s="153"/>
      <c r="J45" s="153"/>
      <c r="K45" s="153"/>
      <c r="L45" s="153"/>
      <c r="M45" s="153"/>
    </row>
    <row r="46" spans="1:13" x14ac:dyDescent="0.2">
      <c r="A46" s="49"/>
      <c r="B46" s="50" t="s">
        <v>48</v>
      </c>
      <c r="C46" s="204"/>
      <c r="D46" s="6"/>
      <c r="F46" s="153"/>
      <c r="G46" s="153"/>
      <c r="H46" s="153"/>
      <c r="I46" s="153"/>
      <c r="J46" s="153"/>
      <c r="K46" s="153"/>
      <c r="L46" s="153"/>
      <c r="M46" s="153"/>
    </row>
    <row r="47" spans="1:13" ht="25.5" x14ac:dyDescent="0.2">
      <c r="A47" s="31"/>
      <c r="B47" s="51" t="s">
        <v>49</v>
      </c>
      <c r="C47" s="216">
        <f>C48+C49+C50</f>
        <v>110036.46</v>
      </c>
      <c r="D47" s="6"/>
      <c r="F47" s="153"/>
      <c r="G47" s="153"/>
      <c r="H47" s="153"/>
      <c r="I47" s="153"/>
      <c r="J47" s="153"/>
      <c r="K47" s="153"/>
      <c r="L47" s="153"/>
      <c r="M47" s="153"/>
    </row>
    <row r="48" spans="1:13" ht="22.5" x14ac:dyDescent="0.2">
      <c r="A48" s="33"/>
      <c r="B48" s="28" t="s">
        <v>50</v>
      </c>
      <c r="C48" s="204">
        <v>104574.63</v>
      </c>
      <c r="D48" s="6"/>
      <c r="F48" s="153"/>
      <c r="G48" s="153"/>
      <c r="H48" s="153"/>
      <c r="I48" s="153"/>
      <c r="J48" s="153"/>
      <c r="K48" s="153"/>
      <c r="L48" s="153"/>
      <c r="M48" s="153"/>
    </row>
    <row r="49" spans="1:13" x14ac:dyDescent="0.2">
      <c r="A49" s="31"/>
      <c r="B49" s="52" t="s">
        <v>51</v>
      </c>
      <c r="C49" s="204">
        <v>0</v>
      </c>
      <c r="D49" s="6"/>
      <c r="F49" s="153"/>
      <c r="G49" s="153"/>
      <c r="H49" s="153"/>
      <c r="I49" s="153"/>
      <c r="J49" s="153"/>
      <c r="K49" s="153"/>
      <c r="L49" s="153"/>
      <c r="M49" s="153"/>
    </row>
    <row r="50" spans="1:13" ht="22.5" x14ac:dyDescent="0.2">
      <c r="A50" s="31"/>
      <c r="B50" s="52" t="s">
        <v>164</v>
      </c>
      <c r="C50" s="204">
        <v>5461.83</v>
      </c>
      <c r="D50" s="6"/>
      <c r="F50" s="153"/>
      <c r="G50" s="153"/>
      <c r="H50" s="153"/>
      <c r="I50" s="153"/>
      <c r="J50" s="153"/>
      <c r="K50" s="153"/>
      <c r="L50" s="153"/>
      <c r="M50" s="153"/>
    </row>
    <row r="51" spans="1:13" ht="16.5" customHeight="1" x14ac:dyDescent="0.2">
      <c r="A51" s="49"/>
      <c r="B51" s="76" t="s">
        <v>53</v>
      </c>
      <c r="C51" s="204"/>
      <c r="D51" s="6"/>
      <c r="F51" s="153"/>
      <c r="G51" s="153"/>
      <c r="H51" s="153"/>
      <c r="I51" s="153"/>
      <c r="J51" s="153"/>
      <c r="K51" s="153"/>
      <c r="L51" s="153"/>
      <c r="M51" s="153"/>
    </row>
    <row r="52" spans="1:13" ht="18.75" customHeight="1" x14ac:dyDescent="0.2">
      <c r="A52" s="17"/>
      <c r="B52" s="77" t="s">
        <v>54</v>
      </c>
      <c r="C52" s="216">
        <f>C53+C54+C55+C56</f>
        <v>250077.19</v>
      </c>
      <c r="D52" s="6"/>
      <c r="F52" s="153"/>
      <c r="G52" s="153"/>
      <c r="H52" s="153"/>
      <c r="I52" s="153"/>
      <c r="J52" s="153"/>
      <c r="K52" s="153"/>
      <c r="L52" s="153"/>
      <c r="M52" s="153"/>
    </row>
    <row r="53" spans="1:13" x14ac:dyDescent="0.2">
      <c r="A53" s="17"/>
      <c r="B53" s="78" t="s">
        <v>55</v>
      </c>
      <c r="C53" s="204">
        <v>29484.79</v>
      </c>
      <c r="D53" s="6"/>
      <c r="F53" s="153"/>
      <c r="G53" s="153"/>
      <c r="H53" s="153"/>
      <c r="I53" s="153"/>
      <c r="J53" s="153"/>
      <c r="K53" s="153"/>
      <c r="L53" s="153"/>
      <c r="M53" s="153"/>
    </row>
    <row r="54" spans="1:13" x14ac:dyDescent="0.2">
      <c r="A54" s="17"/>
      <c r="B54" s="78" t="s">
        <v>56</v>
      </c>
      <c r="C54" s="204">
        <v>73352.36</v>
      </c>
      <c r="D54" s="6"/>
      <c r="F54" s="153"/>
      <c r="G54" s="153"/>
      <c r="H54" s="153"/>
      <c r="I54" s="153"/>
      <c r="J54" s="153"/>
      <c r="K54" s="153"/>
      <c r="L54" s="153"/>
      <c r="M54" s="153"/>
    </row>
    <row r="55" spans="1:13" x14ac:dyDescent="0.2">
      <c r="A55" s="17"/>
      <c r="B55" s="78" t="s">
        <v>57</v>
      </c>
      <c r="C55" s="204">
        <v>8943</v>
      </c>
      <c r="D55" s="6"/>
      <c r="F55" s="153"/>
      <c r="G55" s="153"/>
      <c r="H55" s="153"/>
      <c r="I55" s="153"/>
      <c r="J55" s="153"/>
      <c r="K55" s="153"/>
      <c r="L55" s="153"/>
      <c r="M55" s="153"/>
    </row>
    <row r="56" spans="1:13" x14ac:dyDescent="0.2">
      <c r="A56" s="17"/>
      <c r="B56" s="109" t="s">
        <v>59</v>
      </c>
      <c r="C56" s="204">
        <v>138297.04</v>
      </c>
      <c r="D56" s="6"/>
      <c r="F56" s="153"/>
      <c r="G56" s="153"/>
      <c r="H56" s="153"/>
      <c r="I56" s="153"/>
      <c r="J56" s="153"/>
      <c r="K56" s="153"/>
      <c r="L56" s="153"/>
      <c r="M56" s="153"/>
    </row>
    <row r="57" spans="1:13" x14ac:dyDescent="0.2">
      <c r="A57" s="33" t="s">
        <v>60</v>
      </c>
      <c r="B57" s="210" t="s">
        <v>252</v>
      </c>
      <c r="C57" s="216">
        <v>12079.44</v>
      </c>
      <c r="D57" s="6"/>
      <c r="F57" s="153"/>
      <c r="G57" s="153"/>
      <c r="H57" s="153"/>
      <c r="I57" s="153"/>
      <c r="J57" s="153"/>
      <c r="K57" s="153"/>
      <c r="L57" s="153"/>
      <c r="M57" s="153"/>
    </row>
    <row r="58" spans="1:13" ht="21" customHeight="1" x14ac:dyDescent="0.2">
      <c r="A58" s="31" t="s">
        <v>62</v>
      </c>
      <c r="B58" s="211" t="s">
        <v>262</v>
      </c>
      <c r="C58" s="216">
        <v>90472.61</v>
      </c>
      <c r="D58" s="6"/>
      <c r="F58" s="153"/>
      <c r="G58" s="153"/>
      <c r="H58" s="153"/>
      <c r="I58" s="153"/>
      <c r="J58" s="153"/>
      <c r="K58" s="153"/>
      <c r="L58" s="153"/>
      <c r="M58" s="153"/>
    </row>
    <row r="59" spans="1:13" ht="54.95" customHeight="1" x14ac:dyDescent="0.2">
      <c r="A59" s="31" t="s">
        <v>64</v>
      </c>
      <c r="B59" s="56" t="s">
        <v>65</v>
      </c>
      <c r="C59" s="216">
        <v>78822</v>
      </c>
      <c r="D59" s="6"/>
      <c r="F59" s="153"/>
      <c r="G59" s="153"/>
      <c r="H59" s="153"/>
      <c r="I59" s="153"/>
      <c r="J59" s="153"/>
      <c r="K59" s="153"/>
      <c r="L59" s="153"/>
      <c r="M59" s="153"/>
    </row>
    <row r="60" spans="1:13" ht="63.95" customHeight="1" x14ac:dyDescent="0.2">
      <c r="A60" s="31" t="s">
        <v>66</v>
      </c>
      <c r="B60" s="57" t="s">
        <v>98</v>
      </c>
      <c r="C60" s="216">
        <v>192946.9</v>
      </c>
      <c r="D60" s="6"/>
      <c r="F60" s="153"/>
      <c r="G60" s="153"/>
      <c r="H60" s="153"/>
      <c r="I60" s="153"/>
      <c r="J60" s="153"/>
      <c r="K60" s="153"/>
      <c r="L60" s="153"/>
      <c r="M60" s="153"/>
    </row>
    <row r="61" spans="1:13" ht="15" x14ac:dyDescent="0.25">
      <c r="A61" s="31" t="s">
        <v>68</v>
      </c>
      <c r="B61" s="58" t="s">
        <v>69</v>
      </c>
      <c r="C61" s="218">
        <f>C15*6%</f>
        <v>64292.772599999997</v>
      </c>
      <c r="D61" s="6"/>
      <c r="F61" s="153"/>
      <c r="G61" s="153"/>
      <c r="H61" s="153"/>
      <c r="I61" s="153"/>
      <c r="J61" s="153"/>
      <c r="K61" s="153"/>
      <c r="L61" s="153"/>
      <c r="M61" s="153"/>
    </row>
    <row r="62" spans="1:13" x14ac:dyDescent="0.2">
      <c r="A62" s="31"/>
      <c r="B62" s="59" t="s">
        <v>70</v>
      </c>
      <c r="C62" s="218">
        <f>C61+C60+C59+C58+C57+C52+C47+C37+C33+C30+C27+C23</f>
        <v>1118434.4726</v>
      </c>
      <c r="D62" s="6"/>
      <c r="F62" s="153"/>
      <c r="G62" s="153"/>
      <c r="H62" s="153"/>
      <c r="I62" s="153"/>
      <c r="J62" s="153"/>
      <c r="K62" s="153"/>
      <c r="L62" s="153"/>
      <c r="M62" s="153"/>
    </row>
    <row r="63" spans="1:13" ht="15" x14ac:dyDescent="0.25">
      <c r="A63" s="31"/>
      <c r="B63" s="58"/>
      <c r="C63" s="216"/>
      <c r="D63" s="204"/>
      <c r="F63" s="153"/>
      <c r="G63" s="153"/>
      <c r="H63" s="153"/>
      <c r="I63" s="153"/>
      <c r="J63" s="153"/>
      <c r="K63" s="153"/>
      <c r="L63" s="153"/>
      <c r="M63" s="153"/>
    </row>
    <row r="64" spans="1:13" x14ac:dyDescent="0.2">
      <c r="C64" s="153"/>
      <c r="D64" s="153"/>
      <c r="F64" s="153"/>
      <c r="G64" s="153"/>
      <c r="H64" s="153"/>
      <c r="I64" s="153"/>
      <c r="J64" s="153"/>
      <c r="K64" s="153"/>
      <c r="L64" s="153"/>
      <c r="M64" s="153"/>
    </row>
    <row r="65" spans="2:13" x14ac:dyDescent="0.2">
      <c r="C65" s="153"/>
      <c r="D65" s="153"/>
      <c r="F65" s="153"/>
      <c r="G65" s="153"/>
      <c r="H65" s="153"/>
      <c r="I65" s="153"/>
      <c r="J65" s="153"/>
      <c r="K65" s="153"/>
      <c r="L65" s="153"/>
      <c r="M65" s="153"/>
    </row>
    <row r="66" spans="2:13" x14ac:dyDescent="0.2">
      <c r="B66" s="61" t="s">
        <v>116</v>
      </c>
      <c r="C66" s="221">
        <f>C6+C15-C62</f>
        <v>-335163.26260000002</v>
      </c>
      <c r="D66" s="156"/>
      <c r="F66" s="153"/>
      <c r="G66" s="153"/>
      <c r="H66" s="153"/>
      <c r="I66" s="153"/>
      <c r="J66" s="153"/>
      <c r="K66" s="153"/>
      <c r="L66" s="153"/>
      <c r="M66" s="153"/>
    </row>
    <row r="67" spans="2:13" x14ac:dyDescent="0.2">
      <c r="C67" s="153"/>
      <c r="D67" s="153"/>
      <c r="F67" s="153"/>
      <c r="G67" s="153"/>
      <c r="H67" s="153"/>
      <c r="I67" s="153"/>
      <c r="J67" s="153"/>
      <c r="K67" s="153"/>
      <c r="L67" s="153"/>
      <c r="M67" s="153"/>
    </row>
    <row r="68" spans="2:13" x14ac:dyDescent="0.2">
      <c r="F68" s="153"/>
      <c r="G68" s="153"/>
      <c r="H68" s="153"/>
      <c r="I68" s="153"/>
      <c r="J68" s="153"/>
      <c r="K68" s="153"/>
      <c r="L68" s="153"/>
      <c r="M68" s="153"/>
    </row>
    <row r="69" spans="2:13" x14ac:dyDescent="0.2">
      <c r="F69" s="153"/>
      <c r="G69" s="153"/>
      <c r="H69" s="153"/>
      <c r="I69" s="153"/>
      <c r="J69" s="153"/>
      <c r="K69" s="153"/>
      <c r="L69" s="153"/>
      <c r="M69" s="153"/>
    </row>
    <row r="70" spans="2:13" x14ac:dyDescent="0.2">
      <c r="B70" s="66" t="s">
        <v>72</v>
      </c>
      <c r="C70" s="66"/>
      <c r="D70" s="66" t="s">
        <v>73</v>
      </c>
      <c r="F70" s="153"/>
      <c r="G70" s="153"/>
      <c r="H70" s="153"/>
      <c r="I70" s="153"/>
      <c r="J70" s="153"/>
      <c r="K70" s="153"/>
      <c r="L70" s="153"/>
      <c r="M70" s="153"/>
    </row>
    <row r="71" spans="2:13" x14ac:dyDescent="0.2">
      <c r="B71" s="66" t="s">
        <v>74</v>
      </c>
      <c r="C71" s="66"/>
      <c r="D71" s="189" t="s">
        <v>273</v>
      </c>
    </row>
  </sheetData>
  <mergeCells count="2">
    <mergeCell ref="A2:D2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2" workbookViewId="0">
      <selection activeCell="F21" sqref="F21:P64"/>
    </sheetView>
  </sheetViews>
  <sheetFormatPr defaultColWidth="9" defaultRowHeight="14.25" x14ac:dyDescent="0.2"/>
  <cols>
    <col min="1" max="1" width="4.7109375" style="1" customWidth="1"/>
    <col min="2" max="2" width="40.5703125" style="1" customWidth="1"/>
    <col min="3" max="3" width="11" style="1" customWidth="1"/>
    <col min="4" max="5" width="14.140625" style="1" customWidth="1"/>
    <col min="6" max="6" width="11.140625" style="1" customWidth="1"/>
    <col min="7" max="7" width="11" style="1" customWidth="1"/>
    <col min="8" max="8" width="12.85546875" style="1" customWidth="1"/>
    <col min="9" max="10" width="13" style="1" customWidth="1"/>
    <col min="11" max="11" width="11.42578125" style="1" customWidth="1"/>
    <col min="12" max="12" width="10.42578125" style="1" customWidth="1"/>
    <col min="13" max="13" width="12" style="1" customWidth="1"/>
    <col min="14" max="16384" width="9" style="1"/>
  </cols>
  <sheetData>
    <row r="1" spans="1:13" ht="15" customHeight="1" x14ac:dyDescent="0.25">
      <c r="A1" s="4"/>
      <c r="C1" s="2" t="s">
        <v>0</v>
      </c>
      <c r="D1" s="3"/>
      <c r="E1" s="3"/>
      <c r="G1" s="4"/>
      <c r="H1" s="4"/>
    </row>
    <row r="2" spans="1:13" ht="18" customHeight="1" x14ac:dyDescent="0.2">
      <c r="A2" s="4"/>
      <c r="B2" s="298" t="s">
        <v>170</v>
      </c>
      <c r="C2" s="298"/>
      <c r="D2" s="298"/>
      <c r="E2" s="298"/>
      <c r="F2" s="4"/>
      <c r="G2" s="4"/>
    </row>
    <row r="3" spans="1:13" ht="15" customHeight="1" x14ac:dyDescent="0.25">
      <c r="A3" s="4"/>
      <c r="B3" s="299" t="s">
        <v>224</v>
      </c>
      <c r="C3" s="298"/>
      <c r="D3" s="298"/>
      <c r="E3" s="298"/>
      <c r="F3" s="298"/>
      <c r="H3" s="2"/>
    </row>
    <row r="4" spans="1:13" ht="15" x14ac:dyDescent="0.25">
      <c r="A4" s="4"/>
      <c r="B4" s="293"/>
      <c r="C4" s="293"/>
      <c r="D4" s="293"/>
      <c r="E4" s="293"/>
      <c r="F4" s="293"/>
      <c r="H4" s="2"/>
    </row>
    <row r="5" spans="1:13" x14ac:dyDescent="0.2">
      <c r="B5" s="163" t="s">
        <v>182</v>
      </c>
      <c r="C5" s="163"/>
      <c r="D5" s="163">
        <v>300840.96999999997</v>
      </c>
      <c r="E5" s="163"/>
      <c r="F5" s="168"/>
    </row>
    <row r="6" spans="1:13" x14ac:dyDescent="0.2">
      <c r="A6" s="6"/>
      <c r="B6" s="164" t="s">
        <v>116</v>
      </c>
      <c r="C6" s="164" t="s">
        <v>6</v>
      </c>
      <c r="D6" s="161">
        <v>25261.21</v>
      </c>
      <c r="E6" s="175"/>
      <c r="F6" s="168"/>
    </row>
    <row r="7" spans="1:13" x14ac:dyDescent="0.2">
      <c r="A7" s="6"/>
      <c r="B7" s="164"/>
      <c r="C7" s="164"/>
      <c r="D7" s="164"/>
      <c r="E7" s="280"/>
      <c r="F7" s="168"/>
      <c r="I7" s="1" t="s">
        <v>148</v>
      </c>
    </row>
    <row r="8" spans="1:13" x14ac:dyDescent="0.2">
      <c r="A8" s="6"/>
      <c r="B8" s="165" t="s">
        <v>2</v>
      </c>
      <c r="C8" s="167" t="s">
        <v>3</v>
      </c>
      <c r="D8" s="164"/>
      <c r="E8" s="280"/>
      <c r="F8" s="168"/>
    </row>
    <row r="9" spans="1:13" x14ac:dyDescent="0.2">
      <c r="A9" s="6"/>
      <c r="B9" s="165" t="s">
        <v>4</v>
      </c>
      <c r="C9" s="167" t="s">
        <v>3</v>
      </c>
      <c r="D9" s="160">
        <v>2832.1</v>
      </c>
      <c r="E9" s="281"/>
      <c r="F9" s="168"/>
    </row>
    <row r="10" spans="1:13" x14ac:dyDescent="0.2">
      <c r="A10" s="6"/>
      <c r="B10" s="166" t="s">
        <v>5</v>
      </c>
      <c r="C10" s="164" t="s">
        <v>6</v>
      </c>
      <c r="D10" s="161">
        <v>712632.6</v>
      </c>
      <c r="E10" s="175"/>
      <c r="F10" s="168"/>
    </row>
    <row r="11" spans="1:13" x14ac:dyDescent="0.2">
      <c r="A11" s="6"/>
      <c r="B11" s="164"/>
      <c r="C11" s="164"/>
      <c r="D11" s="164"/>
      <c r="E11" s="280"/>
      <c r="F11" s="168"/>
    </row>
    <row r="12" spans="1:13" x14ac:dyDescent="0.2">
      <c r="A12" s="6"/>
      <c r="B12" s="166" t="s">
        <v>7</v>
      </c>
      <c r="C12" s="164"/>
      <c r="D12" s="164"/>
      <c r="E12" s="280"/>
      <c r="F12" s="168"/>
    </row>
    <row r="13" spans="1:13" x14ac:dyDescent="0.2">
      <c r="A13" s="6">
        <v>1</v>
      </c>
      <c r="B13" s="167" t="s">
        <v>8</v>
      </c>
      <c r="C13" s="167" t="s">
        <v>6</v>
      </c>
      <c r="D13" s="160">
        <v>626889.84</v>
      </c>
      <c r="E13" s="281"/>
      <c r="F13" s="168"/>
      <c r="G13" s="153"/>
      <c r="H13" s="153"/>
      <c r="I13" s="153"/>
      <c r="J13" s="153"/>
      <c r="K13" s="153"/>
      <c r="L13" s="153"/>
      <c r="M13" s="153"/>
    </row>
    <row r="14" spans="1:13" x14ac:dyDescent="0.2">
      <c r="A14" s="6">
        <v>2</v>
      </c>
      <c r="B14" s="167" t="s">
        <v>9</v>
      </c>
      <c r="C14" s="167" t="s">
        <v>6</v>
      </c>
      <c r="D14" s="160">
        <v>0</v>
      </c>
      <c r="E14" s="281"/>
      <c r="F14" s="168"/>
      <c r="G14" s="153"/>
      <c r="H14" s="153"/>
      <c r="I14" s="153"/>
      <c r="J14" s="153"/>
      <c r="K14" s="153"/>
      <c r="L14" s="153"/>
      <c r="M14" s="153"/>
    </row>
    <row r="15" spans="1:13" ht="15" customHeight="1" x14ac:dyDescent="0.2">
      <c r="A15" s="6"/>
      <c r="B15" s="167"/>
      <c r="C15" s="164"/>
      <c r="D15" s="164"/>
      <c r="E15" s="280"/>
      <c r="F15" s="168"/>
      <c r="G15" s="153"/>
      <c r="H15" s="153"/>
      <c r="I15" s="153"/>
      <c r="J15" s="153"/>
      <c r="K15" s="153"/>
      <c r="L15" s="153"/>
      <c r="M15" s="153"/>
    </row>
    <row r="16" spans="1:13" ht="14.25" customHeight="1" x14ac:dyDescent="0.2">
      <c r="A16" s="6"/>
      <c r="B16" s="166" t="s">
        <v>10</v>
      </c>
      <c r="C16" s="164" t="s">
        <v>6</v>
      </c>
      <c r="D16" s="164">
        <f>D13+D14</f>
        <v>626889.84</v>
      </c>
      <c r="E16" s="280"/>
      <c r="F16" s="168"/>
      <c r="G16" s="153"/>
      <c r="H16" s="153"/>
      <c r="I16" s="153"/>
      <c r="J16" s="153"/>
      <c r="K16" s="153"/>
      <c r="L16" s="153"/>
      <c r="M16" s="153"/>
    </row>
    <row r="17" spans="1:13" x14ac:dyDescent="0.2">
      <c r="B17" s="163"/>
      <c r="C17" s="163"/>
      <c r="D17" s="163"/>
      <c r="E17" s="163"/>
      <c r="F17" s="168"/>
      <c r="G17" s="153"/>
      <c r="H17" s="153"/>
      <c r="I17" s="153"/>
      <c r="J17" s="153"/>
      <c r="K17" s="153"/>
      <c r="L17" s="153"/>
      <c r="M17" s="153"/>
    </row>
    <row r="18" spans="1:13" ht="17.25" customHeight="1" x14ac:dyDescent="0.2">
      <c r="B18" s="5"/>
      <c r="C18" s="5" t="s">
        <v>11</v>
      </c>
      <c r="D18" s="5"/>
      <c r="E18" s="5"/>
      <c r="G18" s="153"/>
      <c r="H18" s="153"/>
      <c r="I18" s="153"/>
      <c r="J18" s="153"/>
      <c r="K18" s="153"/>
      <c r="L18" s="153"/>
      <c r="M18" s="153"/>
    </row>
    <row r="19" spans="1:13" ht="15.75" customHeight="1" x14ac:dyDescent="0.2">
      <c r="A19" s="13"/>
      <c r="B19" s="14"/>
      <c r="C19" s="14"/>
      <c r="D19" s="14"/>
      <c r="E19" s="61"/>
      <c r="G19" s="153"/>
      <c r="H19" s="153"/>
      <c r="I19" s="153"/>
      <c r="J19" s="153"/>
      <c r="K19" s="153"/>
      <c r="L19" s="153"/>
      <c r="M19" s="153"/>
    </row>
    <row r="20" spans="1:13" ht="18.75" customHeight="1" x14ac:dyDescent="0.25">
      <c r="A20" s="15" t="s">
        <v>12</v>
      </c>
      <c r="B20" s="16"/>
      <c r="C20" s="17" t="s">
        <v>85</v>
      </c>
      <c r="D20" s="18" t="s">
        <v>13</v>
      </c>
      <c r="E20" s="282"/>
      <c r="G20" s="153"/>
      <c r="H20" s="153"/>
      <c r="I20" s="153"/>
      <c r="J20" s="153"/>
      <c r="K20" s="153"/>
      <c r="L20" s="153"/>
      <c r="M20" s="153"/>
    </row>
    <row r="21" spans="1:13" ht="17.25" customHeight="1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82"/>
      <c r="G21" s="153"/>
      <c r="H21" s="153"/>
      <c r="I21" s="153"/>
      <c r="J21" s="153"/>
      <c r="K21" s="153"/>
      <c r="L21" s="153"/>
      <c r="M21" s="153"/>
    </row>
    <row r="22" spans="1:13" ht="33" customHeight="1" x14ac:dyDescent="0.2">
      <c r="A22" s="22" t="s">
        <v>18</v>
      </c>
      <c r="B22" s="23" t="s">
        <v>88</v>
      </c>
      <c r="C22" s="24"/>
      <c r="D22" s="6"/>
      <c r="E22" s="81"/>
      <c r="G22" s="153"/>
      <c r="H22" s="153"/>
      <c r="I22" s="153"/>
      <c r="J22" s="153"/>
      <c r="K22" s="153"/>
      <c r="L22" s="153"/>
      <c r="M22" s="153"/>
    </row>
    <row r="23" spans="1:13" ht="51" x14ac:dyDescent="0.2">
      <c r="A23" s="22"/>
      <c r="B23" s="25" t="s">
        <v>20</v>
      </c>
      <c r="C23" s="7" t="s">
        <v>6</v>
      </c>
      <c r="D23" s="216">
        <f>D24</f>
        <v>81784.11</v>
      </c>
      <c r="E23" s="156"/>
      <c r="G23" s="153"/>
      <c r="H23" s="153"/>
      <c r="I23" s="153"/>
      <c r="J23" s="153"/>
      <c r="K23" s="153"/>
      <c r="L23" s="153"/>
      <c r="M23" s="153"/>
    </row>
    <row r="24" spans="1:13" ht="78" customHeight="1" x14ac:dyDescent="0.2">
      <c r="A24" s="22"/>
      <c r="B24" s="28" t="s">
        <v>21</v>
      </c>
      <c r="C24" s="29"/>
      <c r="D24" s="204">
        <v>81784.11</v>
      </c>
      <c r="E24" s="158"/>
      <c r="G24" s="153"/>
      <c r="H24" s="153"/>
      <c r="I24" s="153"/>
      <c r="J24" s="153"/>
      <c r="K24" s="153"/>
      <c r="L24" s="153"/>
      <c r="M24" s="153"/>
    </row>
    <row r="25" spans="1:13" ht="38.25" x14ac:dyDescent="0.2">
      <c r="A25" s="22" t="s">
        <v>27</v>
      </c>
      <c r="B25" s="25" t="s">
        <v>28</v>
      </c>
      <c r="C25" s="7" t="s">
        <v>6</v>
      </c>
      <c r="D25" s="216">
        <f>D26+D27</f>
        <v>33130.07</v>
      </c>
      <c r="E25" s="156"/>
      <c r="G25" s="153"/>
      <c r="H25" s="153"/>
      <c r="I25" s="153"/>
      <c r="J25" s="153"/>
      <c r="K25" s="153"/>
      <c r="L25" s="153"/>
      <c r="M25" s="153"/>
    </row>
    <row r="26" spans="1:13" ht="68.099999999999994" customHeight="1" x14ac:dyDescent="0.2">
      <c r="A26" s="37"/>
      <c r="B26" s="28" t="s">
        <v>29</v>
      </c>
      <c r="C26" s="29"/>
      <c r="D26" s="204">
        <v>33130.07</v>
      </c>
      <c r="E26" s="158"/>
      <c r="G26" s="153"/>
      <c r="H26" s="153"/>
      <c r="I26" s="153"/>
      <c r="J26" s="153"/>
      <c r="K26" s="153"/>
      <c r="L26" s="153"/>
      <c r="M26" s="153"/>
    </row>
    <row r="27" spans="1:13" ht="26.25" customHeight="1" x14ac:dyDescent="0.2">
      <c r="A27" s="37"/>
      <c r="B27" s="38" t="s">
        <v>30</v>
      </c>
      <c r="C27" s="39"/>
      <c r="D27" s="204">
        <v>0</v>
      </c>
      <c r="E27" s="158"/>
      <c r="G27" s="153"/>
      <c r="H27" s="153"/>
      <c r="I27" s="153"/>
      <c r="J27" s="153"/>
      <c r="K27" s="153"/>
      <c r="L27" s="153"/>
      <c r="M27" s="153"/>
    </row>
    <row r="28" spans="1:13" ht="39.950000000000003" customHeight="1" x14ac:dyDescent="0.2">
      <c r="A28" s="37" t="s">
        <v>31</v>
      </c>
      <c r="B28" s="25" t="s">
        <v>32</v>
      </c>
      <c r="C28" s="7" t="s">
        <v>6</v>
      </c>
      <c r="D28" s="216">
        <f>D29+D30+D31</f>
        <v>5398</v>
      </c>
      <c r="E28" s="156"/>
      <c r="G28" s="153"/>
      <c r="H28" s="153"/>
      <c r="I28" s="153"/>
      <c r="J28" s="153"/>
      <c r="K28" s="153"/>
      <c r="L28" s="153"/>
      <c r="M28" s="153"/>
    </row>
    <row r="29" spans="1:13" ht="33" customHeight="1" x14ac:dyDescent="0.2">
      <c r="A29" s="33"/>
      <c r="B29" s="40" t="s">
        <v>33</v>
      </c>
      <c r="C29" s="39"/>
      <c r="D29" s="204">
        <v>5398</v>
      </c>
      <c r="E29" s="158"/>
      <c r="G29" s="153"/>
      <c r="H29" s="153"/>
      <c r="I29" s="153"/>
      <c r="J29" s="153"/>
      <c r="K29" s="153"/>
      <c r="L29" s="153"/>
      <c r="M29" s="153"/>
    </row>
    <row r="30" spans="1:13" ht="22.5" x14ac:dyDescent="0.2">
      <c r="A30" s="33"/>
      <c r="B30" s="38" t="s">
        <v>89</v>
      </c>
      <c r="C30" s="39"/>
      <c r="D30" s="204">
        <v>0</v>
      </c>
      <c r="E30" s="158"/>
      <c r="G30" s="153"/>
      <c r="H30" s="153"/>
      <c r="I30" s="153"/>
      <c r="J30" s="153"/>
      <c r="K30" s="153"/>
      <c r="L30" s="153"/>
      <c r="M30" s="153"/>
    </row>
    <row r="31" spans="1:13" ht="22.5" x14ac:dyDescent="0.2">
      <c r="A31" s="33"/>
      <c r="B31" s="38" t="s">
        <v>35</v>
      </c>
      <c r="C31" s="39"/>
      <c r="D31" s="204">
        <v>0</v>
      </c>
      <c r="E31" s="158"/>
      <c r="G31" s="153"/>
      <c r="H31" s="153"/>
      <c r="I31" s="153"/>
      <c r="J31" s="153"/>
      <c r="K31" s="153"/>
      <c r="L31" s="153"/>
      <c r="M31" s="153"/>
    </row>
    <row r="32" spans="1:13" ht="20.100000000000001" customHeight="1" x14ac:dyDescent="0.25">
      <c r="A32" s="31" t="s">
        <v>36</v>
      </c>
      <c r="B32" s="41" t="s">
        <v>37</v>
      </c>
      <c r="C32" s="7" t="s">
        <v>6</v>
      </c>
      <c r="D32" s="216">
        <f>D33+D34+D35+D38+D39+D37</f>
        <v>18278.59</v>
      </c>
      <c r="E32" s="156"/>
      <c r="G32" s="153"/>
      <c r="H32" s="153"/>
      <c r="I32" s="153"/>
      <c r="J32" s="153"/>
      <c r="K32" s="153"/>
      <c r="L32" s="153"/>
      <c r="M32" s="153"/>
    </row>
    <row r="33" spans="1:13" ht="15" customHeight="1" x14ac:dyDescent="0.2">
      <c r="A33" s="42"/>
      <c r="B33" s="43" t="s">
        <v>38</v>
      </c>
      <c r="C33" s="44"/>
      <c r="D33" s="204">
        <v>0</v>
      </c>
      <c r="E33" s="158"/>
      <c r="G33" s="153"/>
      <c r="H33" s="153"/>
      <c r="I33" s="153"/>
      <c r="J33" s="153"/>
      <c r="K33" s="153"/>
      <c r="L33" s="153"/>
      <c r="M33" s="153"/>
    </row>
    <row r="34" spans="1:13" x14ac:dyDescent="0.2">
      <c r="A34" s="42"/>
      <c r="B34" s="43" t="s">
        <v>39</v>
      </c>
      <c r="C34" s="44"/>
      <c r="D34" s="204">
        <v>0</v>
      </c>
      <c r="E34" s="158"/>
      <c r="G34" s="153"/>
      <c r="H34" s="153"/>
      <c r="I34" s="153"/>
      <c r="J34" s="153"/>
      <c r="K34" s="153"/>
      <c r="L34" s="153"/>
      <c r="M34" s="153"/>
    </row>
    <row r="35" spans="1:13" x14ac:dyDescent="0.2">
      <c r="A35" s="42"/>
      <c r="B35" s="45" t="s">
        <v>40</v>
      </c>
      <c r="C35" s="71"/>
      <c r="D35" s="204">
        <v>13222.92</v>
      </c>
      <c r="E35" s="158"/>
      <c r="G35" s="153"/>
      <c r="H35" s="153"/>
      <c r="I35" s="153"/>
      <c r="J35" s="153"/>
      <c r="K35" s="153"/>
      <c r="L35" s="153"/>
      <c r="M35" s="153"/>
    </row>
    <row r="36" spans="1:13" ht="33.75" x14ac:dyDescent="0.2">
      <c r="A36" s="31"/>
      <c r="B36" s="46" t="s">
        <v>41</v>
      </c>
      <c r="C36" s="72"/>
      <c r="D36" s="204"/>
      <c r="E36" s="158"/>
      <c r="G36" s="153"/>
      <c r="H36" s="153"/>
      <c r="I36" s="153"/>
      <c r="J36" s="153"/>
      <c r="K36" s="153"/>
      <c r="L36" s="153"/>
      <c r="M36" s="153"/>
    </row>
    <row r="37" spans="1:13" x14ac:dyDescent="0.2">
      <c r="A37" s="31"/>
      <c r="B37" s="47" t="s">
        <v>42</v>
      </c>
      <c r="C37" s="279"/>
      <c r="D37" s="204">
        <v>1597.03</v>
      </c>
      <c r="E37" s="158"/>
      <c r="G37" s="153"/>
      <c r="H37" s="153"/>
      <c r="I37" s="153"/>
      <c r="J37" s="153"/>
      <c r="K37" s="153"/>
      <c r="L37" s="153"/>
      <c r="M37" s="153"/>
    </row>
    <row r="38" spans="1:13" ht="22.5" x14ac:dyDescent="0.2">
      <c r="A38" s="42"/>
      <c r="B38" s="47" t="s">
        <v>120</v>
      </c>
      <c r="C38" s="73"/>
      <c r="D38" s="204">
        <v>426.43</v>
      </c>
      <c r="E38" s="158"/>
      <c r="G38" s="153"/>
      <c r="H38" s="153"/>
      <c r="I38" s="153"/>
      <c r="J38" s="153"/>
      <c r="K38" s="153"/>
      <c r="L38" s="153"/>
      <c r="M38" s="153"/>
    </row>
    <row r="39" spans="1:13" x14ac:dyDescent="0.2">
      <c r="A39" s="29"/>
      <c r="B39" s="47" t="s">
        <v>92</v>
      </c>
      <c r="C39" s="74"/>
      <c r="D39" s="204">
        <v>3032.21</v>
      </c>
      <c r="E39" s="158"/>
      <c r="G39" s="153"/>
      <c r="H39" s="153"/>
      <c r="I39" s="153"/>
      <c r="J39" s="153"/>
      <c r="K39" s="153"/>
      <c r="L39" s="153"/>
      <c r="M39" s="153"/>
    </row>
    <row r="40" spans="1:13" ht="38.25" x14ac:dyDescent="0.2">
      <c r="A40" s="12" t="s">
        <v>46</v>
      </c>
      <c r="B40" s="48" t="s">
        <v>47</v>
      </c>
      <c r="C40" s="49"/>
      <c r="D40" s="204"/>
      <c r="E40" s="158"/>
      <c r="G40" s="153"/>
      <c r="H40" s="153"/>
      <c r="I40" s="153"/>
      <c r="J40" s="153"/>
      <c r="K40" s="153"/>
      <c r="L40" s="153"/>
      <c r="M40" s="153"/>
    </row>
    <row r="41" spans="1:13" x14ac:dyDescent="0.2">
      <c r="A41" s="49"/>
      <c r="B41" s="50" t="s">
        <v>48</v>
      </c>
      <c r="C41" s="49"/>
      <c r="D41" s="204"/>
      <c r="E41" s="158"/>
      <c r="G41" s="153"/>
      <c r="H41" s="153"/>
      <c r="I41" s="153"/>
      <c r="J41" s="153"/>
      <c r="K41" s="153"/>
      <c r="L41" s="153"/>
      <c r="M41" s="153"/>
    </row>
    <row r="42" spans="1:13" ht="25.5" x14ac:dyDescent="0.2">
      <c r="A42" s="31"/>
      <c r="B42" s="51" t="s">
        <v>49</v>
      </c>
      <c r="C42" s="7" t="s">
        <v>6</v>
      </c>
      <c r="D42" s="216">
        <f>D43+D44+D45</f>
        <v>114797.07</v>
      </c>
      <c r="E42" s="156"/>
      <c r="G42" s="153"/>
      <c r="H42" s="153"/>
      <c r="I42" s="153"/>
      <c r="J42" s="153"/>
      <c r="K42" s="153"/>
      <c r="L42" s="153"/>
      <c r="M42" s="153"/>
    </row>
    <row r="43" spans="1:13" ht="22.5" x14ac:dyDescent="0.2">
      <c r="A43" s="33"/>
      <c r="B43" s="28" t="s">
        <v>50</v>
      </c>
      <c r="C43" s="39"/>
      <c r="D43" s="204">
        <v>114797.07</v>
      </c>
      <c r="E43" s="158"/>
      <c r="G43" s="153"/>
      <c r="H43" s="153"/>
      <c r="I43" s="153"/>
      <c r="J43" s="153"/>
      <c r="K43" s="153"/>
      <c r="L43" s="153"/>
      <c r="M43" s="153"/>
    </row>
    <row r="44" spans="1:13" x14ac:dyDescent="0.2">
      <c r="A44" s="31"/>
      <c r="B44" s="52" t="s">
        <v>51</v>
      </c>
      <c r="C44" s="75"/>
      <c r="D44" s="204">
        <v>0</v>
      </c>
      <c r="E44" s="158"/>
      <c r="G44" s="153"/>
      <c r="H44" s="153"/>
      <c r="I44" s="153"/>
      <c r="J44" s="153"/>
      <c r="K44" s="153"/>
      <c r="L44" s="153"/>
      <c r="M44" s="153"/>
    </row>
    <row r="45" spans="1:13" ht="22.5" x14ac:dyDescent="0.2">
      <c r="A45" s="31"/>
      <c r="B45" s="52" t="s">
        <v>164</v>
      </c>
      <c r="C45" s="75"/>
      <c r="D45" s="204">
        <v>0</v>
      </c>
      <c r="E45" s="158"/>
      <c r="G45" s="153"/>
      <c r="H45" s="153"/>
      <c r="I45" s="153"/>
      <c r="J45" s="153"/>
      <c r="K45" s="153"/>
      <c r="L45" s="153"/>
      <c r="M45" s="153"/>
    </row>
    <row r="46" spans="1:13" x14ac:dyDescent="0.2">
      <c r="A46" s="49"/>
      <c r="B46" s="76" t="s">
        <v>53</v>
      </c>
      <c r="C46" s="49"/>
      <c r="D46" s="204"/>
      <c r="E46" s="158"/>
      <c r="G46" s="153"/>
      <c r="H46" s="153"/>
      <c r="I46" s="153"/>
      <c r="J46" s="153"/>
      <c r="K46" s="153"/>
      <c r="L46" s="153"/>
      <c r="M46" s="153"/>
    </row>
    <row r="47" spans="1:13" x14ac:dyDescent="0.2">
      <c r="A47" s="17"/>
      <c r="B47" s="77" t="s">
        <v>54</v>
      </c>
      <c r="C47" s="7" t="s">
        <v>6</v>
      </c>
      <c r="D47" s="216">
        <f>D48+D49+D50+D51</f>
        <v>214956.22</v>
      </c>
      <c r="E47" s="156"/>
      <c r="G47" s="153"/>
      <c r="H47" s="153"/>
      <c r="I47" s="153"/>
      <c r="J47" s="153"/>
      <c r="K47" s="153"/>
      <c r="L47" s="153"/>
      <c r="M47" s="153"/>
    </row>
    <row r="48" spans="1:13" ht="16.5" customHeight="1" x14ac:dyDescent="0.2">
      <c r="A48" s="17"/>
      <c r="B48" s="78" t="s">
        <v>55</v>
      </c>
      <c r="C48" s="79"/>
      <c r="D48" s="204">
        <v>81812.929999999993</v>
      </c>
      <c r="E48" s="158"/>
      <c r="G48" s="153"/>
      <c r="H48" s="153"/>
      <c r="I48" s="153"/>
      <c r="J48" s="153"/>
      <c r="K48" s="153"/>
      <c r="L48" s="153"/>
      <c r="M48" s="153"/>
    </row>
    <row r="49" spans="1:13" ht="18.75" customHeight="1" x14ac:dyDescent="0.2">
      <c r="A49" s="17"/>
      <c r="B49" s="78" t="s">
        <v>56</v>
      </c>
      <c r="C49" s="74"/>
      <c r="D49" s="204">
        <v>117484.66</v>
      </c>
      <c r="E49" s="158"/>
      <c r="G49" s="153"/>
      <c r="H49" s="153"/>
      <c r="I49" s="153"/>
      <c r="J49" s="153"/>
      <c r="K49" s="153"/>
      <c r="L49" s="153"/>
      <c r="M49" s="153"/>
    </row>
    <row r="50" spans="1:13" x14ac:dyDescent="0.2">
      <c r="A50" s="17"/>
      <c r="B50" s="78" t="s">
        <v>57</v>
      </c>
      <c r="C50" s="74"/>
      <c r="D50" s="204">
        <v>6200</v>
      </c>
      <c r="E50" s="158"/>
      <c r="G50" s="153"/>
      <c r="H50" s="153"/>
      <c r="I50" s="153"/>
      <c r="J50" s="153"/>
      <c r="K50" s="153"/>
      <c r="L50" s="153"/>
      <c r="M50" s="153"/>
    </row>
    <row r="51" spans="1:13" x14ac:dyDescent="0.2">
      <c r="A51" s="17"/>
      <c r="B51" s="28" t="s">
        <v>97</v>
      </c>
      <c r="C51" s="39"/>
      <c r="D51" s="204">
        <v>9458.6299999999992</v>
      </c>
      <c r="E51" s="158"/>
      <c r="G51" s="153"/>
      <c r="H51" s="153"/>
      <c r="I51" s="153"/>
      <c r="J51" s="153"/>
      <c r="K51" s="153"/>
      <c r="L51" s="153"/>
      <c r="M51" s="153"/>
    </row>
    <row r="52" spans="1:13" x14ac:dyDescent="0.2">
      <c r="A52" s="33" t="s">
        <v>60</v>
      </c>
      <c r="B52" s="210" t="s">
        <v>252</v>
      </c>
      <c r="C52" s="12" t="s">
        <v>6</v>
      </c>
      <c r="D52" s="216">
        <v>6885.76</v>
      </c>
      <c r="E52" s="156"/>
      <c r="G52" s="153"/>
      <c r="H52" s="153"/>
      <c r="I52" s="153"/>
      <c r="J52" s="153"/>
      <c r="K52" s="153"/>
      <c r="L52" s="153"/>
      <c r="M52" s="153"/>
    </row>
    <row r="53" spans="1:13" x14ac:dyDescent="0.2">
      <c r="A53" s="31" t="s">
        <v>62</v>
      </c>
      <c r="B53" s="211" t="s">
        <v>262</v>
      </c>
      <c r="C53" s="7" t="s">
        <v>6</v>
      </c>
      <c r="D53" s="216">
        <v>37993.019999999997</v>
      </c>
      <c r="E53" s="156"/>
      <c r="G53" s="153"/>
      <c r="H53" s="153"/>
      <c r="I53" s="153"/>
      <c r="J53" s="153"/>
      <c r="K53" s="153"/>
      <c r="L53" s="153"/>
      <c r="M53" s="153"/>
    </row>
    <row r="54" spans="1:13" ht="21" customHeight="1" x14ac:dyDescent="0.2">
      <c r="A54" s="31" t="s">
        <v>64</v>
      </c>
      <c r="B54" s="108" t="s">
        <v>166</v>
      </c>
      <c r="C54" s="7" t="s">
        <v>6</v>
      </c>
      <c r="D54" s="216">
        <v>66670.77</v>
      </c>
      <c r="E54" s="156"/>
      <c r="G54" s="153"/>
      <c r="H54" s="153"/>
      <c r="I54" s="153"/>
      <c r="J54" s="153"/>
      <c r="K54" s="153"/>
      <c r="L54" s="153"/>
      <c r="M54" s="153"/>
    </row>
    <row r="55" spans="1:13" ht="51" customHeight="1" x14ac:dyDescent="0.2">
      <c r="A55" s="31" t="s">
        <v>66</v>
      </c>
      <c r="B55" s="56" t="s">
        <v>65</v>
      </c>
      <c r="C55" s="7" t="s">
        <v>6</v>
      </c>
      <c r="D55" s="216">
        <v>61000</v>
      </c>
      <c r="E55" s="156"/>
      <c r="G55" s="153"/>
      <c r="H55" s="153"/>
      <c r="I55" s="153"/>
      <c r="J55" s="153"/>
      <c r="K55" s="153"/>
      <c r="L55" s="153"/>
      <c r="M55" s="153"/>
    </row>
    <row r="56" spans="1:13" ht="63" customHeight="1" x14ac:dyDescent="0.2">
      <c r="A56" s="31" t="s">
        <v>68</v>
      </c>
      <c r="B56" s="57" t="s">
        <v>98</v>
      </c>
      <c r="C56" s="7" t="s">
        <v>6</v>
      </c>
      <c r="D56" s="216">
        <v>93919.08</v>
      </c>
      <c r="E56" s="156"/>
      <c r="G56" s="153"/>
      <c r="H56" s="153"/>
      <c r="I56" s="153"/>
      <c r="J56" s="153"/>
      <c r="K56" s="153"/>
      <c r="L56" s="153"/>
      <c r="M56" s="153"/>
    </row>
    <row r="57" spans="1:13" ht="15" x14ac:dyDescent="0.25">
      <c r="A57" s="31" t="s">
        <v>251</v>
      </c>
      <c r="B57" s="58" t="s">
        <v>69</v>
      </c>
      <c r="C57" s="7" t="s">
        <v>6</v>
      </c>
      <c r="D57" s="218">
        <f>D16*6%</f>
        <v>37613.390399999997</v>
      </c>
      <c r="E57" s="159"/>
      <c r="G57" s="153"/>
      <c r="H57" s="153"/>
      <c r="I57" s="153"/>
      <c r="J57" s="153"/>
      <c r="K57" s="153"/>
      <c r="L57" s="153"/>
      <c r="M57" s="153"/>
    </row>
    <row r="58" spans="1:13" x14ac:dyDescent="0.2">
      <c r="A58" s="31"/>
      <c r="B58" s="59" t="s">
        <v>70</v>
      </c>
      <c r="C58" s="7" t="s">
        <v>6</v>
      </c>
      <c r="D58" s="218">
        <f>D57+D56+D55+D54+D53+D52+D47+D42+D32+D28+D25+D23</f>
        <v>772426.08039999998</v>
      </c>
      <c r="E58" s="159"/>
      <c r="G58" s="153"/>
      <c r="H58" s="153"/>
      <c r="I58" s="153"/>
      <c r="J58" s="153"/>
      <c r="K58" s="153"/>
      <c r="L58" s="153"/>
      <c r="M58" s="153"/>
    </row>
    <row r="59" spans="1:13" ht="15" x14ac:dyDescent="0.25">
      <c r="A59" s="60"/>
      <c r="B59" s="58"/>
      <c r="C59" s="55"/>
      <c r="D59" s="216"/>
      <c r="E59" s="156"/>
      <c r="G59" s="153"/>
      <c r="H59" s="153"/>
      <c r="I59" s="153"/>
      <c r="J59" s="153"/>
      <c r="K59" s="153"/>
      <c r="L59" s="153"/>
      <c r="M59" s="153"/>
    </row>
    <row r="60" spans="1:13" ht="15.75" x14ac:dyDescent="0.25">
      <c r="A60" s="60"/>
      <c r="B60" s="61"/>
      <c r="C60" s="62"/>
      <c r="D60" s="156"/>
      <c r="E60" s="156"/>
      <c r="G60" s="153"/>
      <c r="H60" s="153"/>
      <c r="I60" s="153"/>
      <c r="J60" s="153"/>
      <c r="K60" s="153"/>
      <c r="L60" s="153"/>
      <c r="M60" s="153"/>
    </row>
    <row r="61" spans="1:13" ht="15.75" x14ac:dyDescent="0.25">
      <c r="A61" s="60"/>
      <c r="B61" s="61" t="s">
        <v>116</v>
      </c>
      <c r="C61" s="62"/>
      <c r="D61" s="159">
        <f>D6+D16-D58</f>
        <v>-120275.03040000005</v>
      </c>
      <c r="E61" s="159"/>
      <c r="G61" s="153"/>
      <c r="H61" s="153"/>
      <c r="I61" s="153"/>
      <c r="J61" s="153"/>
      <c r="K61" s="153"/>
      <c r="L61" s="153"/>
      <c r="M61" s="153"/>
    </row>
    <row r="62" spans="1:13" ht="15.75" x14ac:dyDescent="0.25">
      <c r="B62" s="61"/>
      <c r="C62" s="62"/>
      <c r="D62" s="63"/>
      <c r="E62" s="63"/>
      <c r="G62" s="153"/>
      <c r="H62" s="153"/>
      <c r="I62" s="153"/>
      <c r="J62" s="153"/>
      <c r="K62" s="153"/>
      <c r="L62" s="153"/>
      <c r="M62" s="153"/>
    </row>
    <row r="63" spans="1:13" x14ac:dyDescent="0.2">
      <c r="B63" s="66" t="s">
        <v>72</v>
      </c>
      <c r="C63" s="66"/>
      <c r="D63" s="66" t="s">
        <v>73</v>
      </c>
      <c r="E63" s="66"/>
      <c r="G63" s="153"/>
      <c r="H63" s="153"/>
      <c r="I63" s="153"/>
      <c r="J63" s="153"/>
      <c r="K63" s="153"/>
      <c r="L63" s="153"/>
      <c r="M63" s="153"/>
    </row>
    <row r="64" spans="1:13" x14ac:dyDescent="0.2">
      <c r="B64" s="66" t="s">
        <v>74</v>
      </c>
      <c r="C64" s="66"/>
      <c r="D64" s="189" t="s">
        <v>273</v>
      </c>
      <c r="E64" s="189"/>
      <c r="G64" s="153"/>
      <c r="H64" s="153"/>
      <c r="I64" s="153"/>
      <c r="J64" s="153"/>
      <c r="K64" s="153"/>
      <c r="L64" s="153"/>
      <c r="M64" s="153"/>
    </row>
  </sheetData>
  <mergeCells count="2">
    <mergeCell ref="B2:E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4" workbookViewId="0">
      <selection activeCell="K52" sqref="K52"/>
    </sheetView>
  </sheetViews>
  <sheetFormatPr defaultColWidth="9" defaultRowHeight="14.25" x14ac:dyDescent="0.2"/>
  <cols>
    <col min="1" max="1" width="4.7109375" style="1" customWidth="1"/>
    <col min="2" max="2" width="40.5703125" style="1" customWidth="1"/>
    <col min="3" max="3" width="9" style="1"/>
    <col min="4" max="4" width="14" style="1" customWidth="1"/>
    <col min="5" max="5" width="11.7109375" style="1" customWidth="1"/>
    <col min="6" max="6" width="11.85546875" style="1" customWidth="1"/>
    <col min="7" max="7" width="12.42578125" style="1" customWidth="1"/>
    <col min="8" max="8" width="11.42578125" style="1" customWidth="1"/>
    <col min="9" max="9" width="13.85546875" style="1" customWidth="1"/>
    <col min="10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139</v>
      </c>
      <c r="B2" s="298"/>
      <c r="C2" s="298"/>
      <c r="D2" s="298"/>
      <c r="E2" s="298"/>
      <c r="F2" s="4"/>
    </row>
    <row r="3" spans="1:14" ht="15" customHeight="1" x14ac:dyDescent="0.2">
      <c r="A3" s="4"/>
      <c r="B3" s="299" t="s">
        <v>234</v>
      </c>
      <c r="C3" s="298"/>
      <c r="D3" s="298"/>
      <c r="E3" s="298"/>
    </row>
    <row r="4" spans="1:14" x14ac:dyDescent="0.2">
      <c r="A4" s="4"/>
      <c r="B4" s="293"/>
      <c r="C4" s="293"/>
      <c r="D4" s="293"/>
      <c r="E4" s="293"/>
    </row>
    <row r="5" spans="1:14" x14ac:dyDescent="0.2">
      <c r="A5" s="168"/>
      <c r="B5" s="163" t="s">
        <v>182</v>
      </c>
      <c r="C5" s="163"/>
      <c r="D5" s="163">
        <v>118848.33</v>
      </c>
      <c r="E5" s="168" t="s">
        <v>6</v>
      </c>
    </row>
    <row r="6" spans="1:14" x14ac:dyDescent="0.2">
      <c r="A6" s="160"/>
      <c r="B6" s="164" t="s">
        <v>211</v>
      </c>
      <c r="C6" s="167" t="s">
        <v>6</v>
      </c>
      <c r="D6" s="170">
        <v>5540.9</v>
      </c>
      <c r="E6" s="160"/>
    </row>
    <row r="7" spans="1:14" x14ac:dyDescent="0.2">
      <c r="A7" s="160"/>
      <c r="B7" s="164"/>
      <c r="C7" s="167"/>
      <c r="D7" s="170"/>
      <c r="E7" s="160"/>
    </row>
    <row r="8" spans="1:14" x14ac:dyDescent="0.2">
      <c r="A8" s="160"/>
      <c r="B8" s="165" t="s">
        <v>2</v>
      </c>
      <c r="C8" s="167" t="s">
        <v>3</v>
      </c>
      <c r="D8" s="171">
        <v>1282.5</v>
      </c>
      <c r="E8" s="160"/>
    </row>
    <row r="9" spans="1:14" x14ac:dyDescent="0.2">
      <c r="A9" s="160"/>
      <c r="B9" s="165" t="s">
        <v>4</v>
      </c>
      <c r="C9" s="167" t="s">
        <v>3</v>
      </c>
      <c r="D9" s="171">
        <v>901.3</v>
      </c>
      <c r="E9" s="160"/>
    </row>
    <row r="10" spans="1:14" x14ac:dyDescent="0.2">
      <c r="A10" s="160"/>
      <c r="B10" s="166" t="s">
        <v>5</v>
      </c>
      <c r="C10" s="164" t="s">
        <v>6</v>
      </c>
      <c r="D10" s="170">
        <v>150229.76999999999</v>
      </c>
      <c r="E10" s="160"/>
    </row>
    <row r="11" spans="1:14" x14ac:dyDescent="0.2">
      <c r="A11" s="160"/>
      <c r="B11" s="164"/>
      <c r="C11" s="164"/>
      <c r="D11" s="171"/>
      <c r="E11" s="160"/>
    </row>
    <row r="12" spans="1:14" x14ac:dyDescent="0.2">
      <c r="A12" s="160"/>
      <c r="B12" s="166" t="s">
        <v>7</v>
      </c>
      <c r="C12" s="164"/>
      <c r="D12" s="171"/>
      <c r="E12" s="160"/>
      <c r="G12" s="153"/>
      <c r="H12" s="153"/>
      <c r="I12" s="153"/>
      <c r="J12" s="153"/>
      <c r="K12" s="153"/>
      <c r="L12" s="153"/>
      <c r="M12" s="153"/>
      <c r="N12" s="153"/>
    </row>
    <row r="13" spans="1:14" x14ac:dyDescent="0.2">
      <c r="A13" s="160">
        <v>1</v>
      </c>
      <c r="B13" s="167" t="s">
        <v>84</v>
      </c>
      <c r="C13" s="167" t="s">
        <v>6</v>
      </c>
      <c r="D13" s="171">
        <v>141633.28</v>
      </c>
      <c r="E13" s="160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160">
        <v>2</v>
      </c>
      <c r="B14" s="167" t="s">
        <v>9</v>
      </c>
      <c r="C14" s="167" t="s">
        <v>6</v>
      </c>
      <c r="D14" s="171">
        <v>0</v>
      </c>
      <c r="E14" s="160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160"/>
      <c r="B15" s="166" t="s">
        <v>10</v>
      </c>
      <c r="C15" s="164" t="s">
        <v>6</v>
      </c>
      <c r="D15" s="170">
        <f>D13+D14</f>
        <v>141633.28</v>
      </c>
      <c r="E15" s="160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</row>
    <row r="20" spans="1:14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</row>
    <row r="22" spans="1:14" ht="24" x14ac:dyDescent="0.2">
      <c r="A22" s="22" t="s">
        <v>18</v>
      </c>
      <c r="B22" s="105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</row>
    <row r="23" spans="1:14" ht="50.1" customHeight="1" x14ac:dyDescent="0.2">
      <c r="A23" s="22"/>
      <c r="B23" s="25" t="s">
        <v>20</v>
      </c>
      <c r="C23" s="26" t="s">
        <v>6</v>
      </c>
      <c r="D23" s="216">
        <f>D24+D25+D26</f>
        <v>32612.63</v>
      </c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80.099999999999994" customHeight="1" x14ac:dyDescent="0.2">
      <c r="A24" s="22"/>
      <c r="B24" s="28" t="s">
        <v>21</v>
      </c>
      <c r="C24" s="29"/>
      <c r="D24" s="204">
        <v>16889.18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112.5" x14ac:dyDescent="0.2">
      <c r="A25" s="30"/>
      <c r="B25" s="28" t="s">
        <v>22</v>
      </c>
      <c r="C25" s="29"/>
      <c r="D25" s="204">
        <f>14510+456.36</f>
        <v>14966.36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22.5" x14ac:dyDescent="0.2">
      <c r="A26" s="31"/>
      <c r="B26" s="40" t="s">
        <v>23</v>
      </c>
      <c r="C26" s="29"/>
      <c r="D26" s="204">
        <v>757.09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4" customHeight="1" x14ac:dyDescent="0.2">
      <c r="A27" s="22"/>
      <c r="B27" s="25" t="s">
        <v>24</v>
      </c>
      <c r="C27" s="26" t="s">
        <v>6</v>
      </c>
      <c r="D27" s="216">
        <f>D28+D29</f>
        <v>0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x14ac:dyDescent="0.2">
      <c r="A28" s="33"/>
      <c r="B28" s="70" t="s">
        <v>25</v>
      </c>
      <c r="C28" s="35"/>
      <c r="D28" s="204">
        <v>0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22"/>
      <c r="B29" s="70" t="s">
        <v>26</v>
      </c>
      <c r="C29" s="35"/>
      <c r="D29" s="204">
        <v>0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ht="38.25" x14ac:dyDescent="0.2">
      <c r="A30" s="22" t="s">
        <v>27</v>
      </c>
      <c r="B30" s="25" t="s">
        <v>28</v>
      </c>
      <c r="C30" s="36" t="s">
        <v>6</v>
      </c>
      <c r="D30" s="216">
        <f>D31+D32</f>
        <v>5083.33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66.95" customHeight="1" x14ac:dyDescent="0.2">
      <c r="A31" s="37"/>
      <c r="B31" s="28" t="s">
        <v>29</v>
      </c>
      <c r="C31" s="29"/>
      <c r="D31" s="204">
        <v>5083.33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21.95" customHeight="1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36" customHeight="1" x14ac:dyDescent="0.2">
      <c r="A33" s="37" t="s">
        <v>31</v>
      </c>
      <c r="B33" s="25" t="s">
        <v>32</v>
      </c>
      <c r="C33" s="12" t="s">
        <v>6</v>
      </c>
      <c r="D33" s="216">
        <f>D34+D35+D36</f>
        <v>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33.950000000000003" customHeight="1" x14ac:dyDescent="0.2">
      <c r="A34" s="33"/>
      <c r="B34" s="40" t="s">
        <v>33</v>
      </c>
      <c r="C34" s="39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23.25" customHeight="1" x14ac:dyDescent="0.2">
      <c r="A35" s="33"/>
      <c r="B35" s="38" t="s">
        <v>89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1.95" customHeight="1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15" customHeight="1" x14ac:dyDescent="0.25">
      <c r="A37" s="31" t="s">
        <v>36</v>
      </c>
      <c r="B37" s="41" t="s">
        <v>37</v>
      </c>
      <c r="C37" s="20" t="s">
        <v>6</v>
      </c>
      <c r="D37" s="216">
        <f>D38+D39+D40+D42+D43</f>
        <v>13540.59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ht="15" customHeight="1" x14ac:dyDescent="0.2">
      <c r="A38" s="42"/>
      <c r="B38" s="43" t="s">
        <v>38</v>
      </c>
      <c r="C38" s="44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ht="14.1" customHeight="1" x14ac:dyDescent="0.2">
      <c r="A39" s="42"/>
      <c r="B39" s="43" t="s">
        <v>39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ht="15.75" customHeight="1" x14ac:dyDescent="0.2">
      <c r="A40" s="42"/>
      <c r="B40" s="45" t="s">
        <v>40</v>
      </c>
      <c r="C40" s="44"/>
      <c r="D40" s="204">
        <v>4208.12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ht="33" customHeight="1" x14ac:dyDescent="0.2">
      <c r="A41" s="31"/>
      <c r="B41" s="46" t="s">
        <v>41</v>
      </c>
      <c r="C41" s="44"/>
      <c r="D41" s="204"/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ht="12" customHeight="1" x14ac:dyDescent="0.2">
      <c r="A42" s="42"/>
      <c r="B42" s="47" t="s">
        <v>119</v>
      </c>
      <c r="C42" s="44"/>
      <c r="D42" s="204">
        <v>456.74</v>
      </c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ht="21" customHeight="1" x14ac:dyDescent="0.2">
      <c r="A43" s="42"/>
      <c r="B43" s="208" t="s">
        <v>268</v>
      </c>
      <c r="C43" s="44"/>
      <c r="D43" s="204">
        <v>8875.73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ht="39" customHeight="1" x14ac:dyDescent="0.2">
      <c r="A44" s="29"/>
      <c r="B44" s="48" t="s">
        <v>47</v>
      </c>
      <c r="C44" s="49"/>
      <c r="D44" s="204"/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ht="15" customHeight="1" x14ac:dyDescent="0.2">
      <c r="A45" s="42"/>
      <c r="B45" s="50" t="s">
        <v>48</v>
      </c>
      <c r="C45" s="49"/>
      <c r="D45" s="204"/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27.95" customHeight="1" x14ac:dyDescent="0.2">
      <c r="A46" s="12" t="s">
        <v>46</v>
      </c>
      <c r="B46" s="51" t="s">
        <v>49</v>
      </c>
      <c r="C46" s="20" t="s">
        <v>6</v>
      </c>
      <c r="D46" s="216">
        <f>D47+D48+D49</f>
        <v>43969.22</v>
      </c>
      <c r="E46" s="6"/>
      <c r="G46" s="153"/>
      <c r="H46" s="153"/>
      <c r="I46" s="153"/>
      <c r="J46" s="153"/>
      <c r="K46" s="153"/>
      <c r="L46" s="153"/>
      <c r="M46" s="153"/>
      <c r="N46" s="153"/>
    </row>
    <row r="47" spans="1:14" ht="22.5" x14ac:dyDescent="0.2">
      <c r="A47" s="49"/>
      <c r="B47" s="28" t="s">
        <v>50</v>
      </c>
      <c r="C47" s="39"/>
      <c r="D47" s="204">
        <v>43969.22</v>
      </c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31"/>
      <c r="B48" s="52" t="s">
        <v>51</v>
      </c>
      <c r="C48" s="39"/>
      <c r="D48" s="204">
        <v>0</v>
      </c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2.5" x14ac:dyDescent="0.2">
      <c r="A49" s="33"/>
      <c r="B49" s="52" t="s">
        <v>52</v>
      </c>
      <c r="C49" s="39"/>
      <c r="D49" s="204">
        <v>0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x14ac:dyDescent="0.2">
      <c r="A50" s="33" t="s">
        <v>60</v>
      </c>
      <c r="B50" s="210" t="s">
        <v>252</v>
      </c>
      <c r="C50" s="12" t="s">
        <v>6</v>
      </c>
      <c r="D50" s="216">
        <v>2191.35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 t="s">
        <v>62</v>
      </c>
      <c r="B51" s="107" t="s">
        <v>260</v>
      </c>
      <c r="C51" s="7" t="s">
        <v>6</v>
      </c>
      <c r="D51" s="216">
        <v>3450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36" customHeight="1" x14ac:dyDescent="0.2">
      <c r="A52" s="31"/>
      <c r="B52" s="54" t="s">
        <v>63</v>
      </c>
      <c r="C52" s="55"/>
      <c r="D52" s="204"/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ht="47.1" customHeight="1" x14ac:dyDescent="0.2">
      <c r="A53" s="31" t="s">
        <v>64</v>
      </c>
      <c r="B53" s="56" t="s">
        <v>65</v>
      </c>
      <c r="C53" s="55" t="s">
        <v>6</v>
      </c>
      <c r="D53" s="216">
        <v>7030.14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ht="60" customHeight="1" x14ac:dyDescent="0.2">
      <c r="A54" s="31" t="s">
        <v>66</v>
      </c>
      <c r="B54" s="57" t="s">
        <v>98</v>
      </c>
      <c r="C54" s="55" t="s">
        <v>6</v>
      </c>
      <c r="D54" s="216">
        <f>42271.81+0.18</f>
        <v>42271.99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ht="15" x14ac:dyDescent="0.25">
      <c r="A55" s="31" t="s">
        <v>68</v>
      </c>
      <c r="B55" s="58" t="s">
        <v>69</v>
      </c>
      <c r="C55" s="55" t="s">
        <v>6</v>
      </c>
      <c r="D55" s="218">
        <f>D15*6%</f>
        <v>8497.996799999999</v>
      </c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ht="15.75" x14ac:dyDescent="0.25">
      <c r="A56" s="31"/>
      <c r="B56" s="59" t="s">
        <v>70</v>
      </c>
      <c r="C56" s="106" t="s">
        <v>6</v>
      </c>
      <c r="D56" s="218">
        <f>D55+D54+D53+D51+D50+D46+D37+D33+D30+D27+D23</f>
        <v>158647.24679999999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ht="24.95" customHeight="1" x14ac:dyDescent="0.25">
      <c r="A57" s="60"/>
      <c r="B57" s="61" t="s">
        <v>76</v>
      </c>
      <c r="C57" s="62"/>
      <c r="D57" s="159">
        <f>D6+D15-D56</f>
        <v>-11473.066800000001</v>
      </c>
      <c r="E57" s="159"/>
      <c r="G57" s="153"/>
      <c r="H57" s="153"/>
      <c r="I57" s="153"/>
      <c r="J57" s="153"/>
      <c r="K57" s="153"/>
      <c r="L57" s="153"/>
      <c r="M57" s="153"/>
      <c r="N57" s="153"/>
    </row>
    <row r="58" spans="1:14" ht="17.25" customHeight="1" x14ac:dyDescent="0.25">
      <c r="A58" s="60"/>
      <c r="B58" s="61"/>
      <c r="C58" s="62"/>
      <c r="D58" s="159"/>
      <c r="E58" s="159"/>
      <c r="G58" s="153"/>
      <c r="H58" s="153"/>
      <c r="I58" s="153"/>
      <c r="J58" s="153"/>
      <c r="K58" s="153"/>
      <c r="L58" s="153"/>
      <c r="M58" s="153"/>
      <c r="N58" s="153"/>
    </row>
    <row r="59" spans="1:14" ht="16.5" customHeight="1" x14ac:dyDescent="0.25">
      <c r="A59" s="60"/>
      <c r="B59" s="61"/>
      <c r="C59" s="62"/>
      <c r="D59" s="159"/>
      <c r="E59" s="159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1"/>
      <c r="B60" s="62"/>
      <c r="C60" s="65"/>
      <c r="D60" s="153"/>
      <c r="E60" s="153"/>
      <c r="G60" s="153"/>
      <c r="H60" s="153"/>
      <c r="I60" s="153"/>
      <c r="J60" s="153"/>
      <c r="K60" s="153"/>
      <c r="L60" s="153"/>
      <c r="M60" s="153"/>
      <c r="N60" s="153"/>
    </row>
    <row r="61" spans="1:14" x14ac:dyDescent="0.2">
      <c r="A61" s="90" t="s">
        <v>167</v>
      </c>
      <c r="B61" s="66" t="s">
        <v>72</v>
      </c>
      <c r="C61" s="66"/>
      <c r="D61" s="66" t="s">
        <v>73</v>
      </c>
      <c r="G61" s="153"/>
      <c r="H61" s="153"/>
      <c r="I61" s="153"/>
      <c r="J61" s="153"/>
      <c r="K61" s="153"/>
      <c r="L61" s="153"/>
      <c r="M61" s="153"/>
      <c r="N61" s="153"/>
    </row>
    <row r="62" spans="1:14" x14ac:dyDescent="0.2">
      <c r="A62" s="60"/>
      <c r="B62" s="66" t="s">
        <v>74</v>
      </c>
      <c r="C62" s="66"/>
      <c r="D62" s="189" t="s">
        <v>273</v>
      </c>
      <c r="G62" s="153"/>
      <c r="H62" s="153"/>
      <c r="I62" s="153"/>
      <c r="J62" s="153"/>
      <c r="K62" s="153"/>
      <c r="L62" s="153"/>
      <c r="M62" s="153"/>
      <c r="N62" s="153"/>
    </row>
    <row r="63" spans="1:14" x14ac:dyDescent="0.2">
      <c r="A63" s="60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6" workbookViewId="0">
      <selection activeCell="G21" sqref="G21:R65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8.5703125" style="1" customWidth="1"/>
    <col min="4" max="4" width="14.85546875" style="1" customWidth="1"/>
    <col min="5" max="5" width="12.85546875" style="1" customWidth="1"/>
    <col min="6" max="6" width="12" style="1" customWidth="1"/>
    <col min="7" max="7" width="12.140625" style="1" customWidth="1"/>
    <col min="8" max="8" width="10.7109375" style="1" customWidth="1"/>
    <col min="9" max="9" width="13.140625" style="1" customWidth="1"/>
    <col min="10" max="10" width="9" style="1"/>
    <col min="11" max="11" width="9.28515625" style="1" customWidth="1"/>
    <col min="12" max="12" width="9" style="1"/>
    <col min="13" max="13" width="9.28515625" style="1" customWidth="1"/>
    <col min="14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</v>
      </c>
      <c r="B2" s="298"/>
      <c r="C2" s="298"/>
      <c r="D2" s="298"/>
      <c r="E2" s="298"/>
      <c r="F2" s="4"/>
    </row>
    <row r="3" spans="1:15" ht="15" customHeight="1" x14ac:dyDescent="0.2">
      <c r="A3" s="4"/>
      <c r="B3" s="299" t="s">
        <v>235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A5" s="168"/>
      <c r="B5" s="163" t="s">
        <v>182</v>
      </c>
      <c r="C5" s="163"/>
      <c r="D5" s="163">
        <v>272215.40000000002</v>
      </c>
      <c r="E5" s="168"/>
    </row>
    <row r="6" spans="1:15" x14ac:dyDescent="0.2">
      <c r="A6" s="160"/>
      <c r="B6" s="164" t="s">
        <v>211</v>
      </c>
      <c r="C6" s="167" t="s">
        <v>6</v>
      </c>
      <c r="D6" s="170">
        <v>32732.38</v>
      </c>
      <c r="E6" s="160"/>
    </row>
    <row r="7" spans="1:15" x14ac:dyDescent="0.2">
      <c r="A7" s="160"/>
      <c r="B7" s="164"/>
      <c r="C7" s="167"/>
      <c r="D7" s="170"/>
      <c r="E7" s="160"/>
    </row>
    <row r="8" spans="1:15" x14ac:dyDescent="0.2">
      <c r="A8" s="160"/>
      <c r="B8" s="165" t="s">
        <v>2</v>
      </c>
      <c r="C8" s="167" t="s">
        <v>3</v>
      </c>
      <c r="D8" s="171">
        <v>5014.37</v>
      </c>
      <c r="E8" s="160"/>
    </row>
    <row r="9" spans="1:15" x14ac:dyDescent="0.2">
      <c r="A9" s="160"/>
      <c r="B9" s="165" t="s">
        <v>4</v>
      </c>
      <c r="C9" s="167" t="s">
        <v>3</v>
      </c>
      <c r="D9" s="171">
        <v>2856.14</v>
      </c>
      <c r="E9" s="160"/>
    </row>
    <row r="10" spans="1:15" x14ac:dyDescent="0.2">
      <c r="A10" s="160"/>
      <c r="B10" s="166" t="s">
        <v>5</v>
      </c>
      <c r="C10" s="164" t="s">
        <v>6</v>
      </c>
      <c r="D10" s="170">
        <v>597524.85</v>
      </c>
      <c r="E10" s="160"/>
    </row>
    <row r="11" spans="1:15" x14ac:dyDescent="0.2">
      <c r="A11" s="160"/>
      <c r="B11" s="164"/>
      <c r="C11" s="164"/>
      <c r="D11" s="171"/>
      <c r="E11" s="160"/>
    </row>
    <row r="12" spans="1:15" x14ac:dyDescent="0.2">
      <c r="A12" s="160"/>
      <c r="B12" s="166" t="s">
        <v>7</v>
      </c>
      <c r="C12" s="164"/>
      <c r="D12" s="171"/>
      <c r="E12" s="160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x14ac:dyDescent="0.2">
      <c r="A13" s="160">
        <v>1</v>
      </c>
      <c r="B13" s="167" t="s">
        <v>84</v>
      </c>
      <c r="C13" s="167" t="s">
        <v>6</v>
      </c>
      <c r="D13" s="171">
        <v>453404.01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160">
        <v>2</v>
      </c>
      <c r="B14" s="167" t="s">
        <v>9</v>
      </c>
      <c r="C14" s="167" t="s">
        <v>6</v>
      </c>
      <c r="D14" s="171">
        <f>9000</f>
        <v>9000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160"/>
      <c r="B15" s="166" t="s">
        <v>10</v>
      </c>
      <c r="C15" s="164" t="s">
        <v>6</v>
      </c>
      <c r="D15" s="170">
        <f>D13+D14</f>
        <v>462404.01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57.75" customHeight="1" x14ac:dyDescent="0.2">
      <c r="A23" s="22"/>
      <c r="B23" s="25" t="s">
        <v>20</v>
      </c>
      <c r="C23" s="26" t="s">
        <v>6</v>
      </c>
      <c r="D23" s="216">
        <f>D24+D25+D26</f>
        <v>92792.66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80.25" customHeight="1" x14ac:dyDescent="0.2">
      <c r="A24" s="22"/>
      <c r="B24" s="28" t="s">
        <v>21</v>
      </c>
      <c r="C24" s="29"/>
      <c r="D24" s="204">
        <v>42818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12.5" x14ac:dyDescent="0.2">
      <c r="A25" s="30"/>
      <c r="B25" s="28" t="s">
        <v>22</v>
      </c>
      <c r="C25" s="29"/>
      <c r="D25" s="204">
        <v>44459.06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22.5" x14ac:dyDescent="0.2">
      <c r="A26" s="31"/>
      <c r="B26" s="40" t="s">
        <v>23</v>
      </c>
      <c r="C26" s="29"/>
      <c r="D26" s="204">
        <v>5515.6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5.5" x14ac:dyDescent="0.2">
      <c r="A27" s="22"/>
      <c r="B27" s="25" t="s">
        <v>24</v>
      </c>
      <c r="C27" s="26" t="s">
        <v>6</v>
      </c>
      <c r="D27" s="216">
        <f>D28+D29</f>
        <v>5578.9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x14ac:dyDescent="0.2">
      <c r="A28" s="33"/>
      <c r="B28" s="70" t="s">
        <v>25</v>
      </c>
      <c r="C28" s="35"/>
      <c r="D28" s="204">
        <v>4200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22"/>
      <c r="B29" s="70" t="s">
        <v>26</v>
      </c>
      <c r="C29" s="35"/>
      <c r="D29" s="204">
        <v>1378.9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38.25" x14ac:dyDescent="0.2">
      <c r="A30" s="22" t="s">
        <v>27</v>
      </c>
      <c r="B30" s="25" t="s">
        <v>28</v>
      </c>
      <c r="C30" s="36" t="s">
        <v>6</v>
      </c>
      <c r="D30" s="216">
        <f>D31+D32</f>
        <v>19304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78.75" x14ac:dyDescent="0.2">
      <c r="A31" s="37"/>
      <c r="B31" s="28" t="s">
        <v>29</v>
      </c>
      <c r="C31" s="29"/>
      <c r="D31" s="204">
        <v>19304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30.75" customHeight="1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40.5" customHeight="1" x14ac:dyDescent="0.2">
      <c r="A33" s="37" t="s">
        <v>31</v>
      </c>
      <c r="B33" s="25" t="s">
        <v>32</v>
      </c>
      <c r="C33" s="12" t="s">
        <v>6</v>
      </c>
      <c r="D33" s="216">
        <f>D34+D36+D35</f>
        <v>5220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6.75" customHeight="1" x14ac:dyDescent="0.2">
      <c r="A34" s="33"/>
      <c r="B34" s="40" t="s">
        <v>33</v>
      </c>
      <c r="C34" s="39"/>
      <c r="D34" s="204">
        <v>1450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7" customHeight="1" x14ac:dyDescent="0.2">
      <c r="A35" s="33"/>
      <c r="B35" s="38" t="s">
        <v>89</v>
      </c>
      <c r="C35" s="39"/>
      <c r="D35" s="204">
        <v>3770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8.5" customHeight="1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7.25" customHeight="1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37258.009999999995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8.75" customHeight="1" x14ac:dyDescent="0.2">
      <c r="A38" s="42"/>
      <c r="B38" s="43" t="s">
        <v>38</v>
      </c>
      <c r="C38" s="44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26.25" customHeight="1" x14ac:dyDescent="0.2">
      <c r="A39" s="42"/>
      <c r="B39" s="43" t="s">
        <v>39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17.25" customHeight="1" x14ac:dyDescent="0.2">
      <c r="A40" s="42"/>
      <c r="B40" s="45" t="s">
        <v>40</v>
      </c>
      <c r="C40" s="44"/>
      <c r="D40" s="204">
        <v>13335.16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36.950000000000003" customHeight="1" x14ac:dyDescent="0.2">
      <c r="A41" s="31"/>
      <c r="B41" s="46" t="s">
        <v>41</v>
      </c>
      <c r="C41" s="44"/>
      <c r="D41" s="204"/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16.5" customHeight="1" x14ac:dyDescent="0.2">
      <c r="A42" s="42"/>
      <c r="B42" s="47" t="s">
        <v>90</v>
      </c>
      <c r="C42" s="44"/>
      <c r="D42" s="204">
        <v>0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5" customHeight="1" x14ac:dyDescent="0.2">
      <c r="A43" s="42"/>
      <c r="B43" s="47" t="s">
        <v>91</v>
      </c>
      <c r="C43" s="44"/>
      <c r="D43" s="204">
        <v>559.98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29"/>
      <c r="B44" s="47" t="s">
        <v>92</v>
      </c>
      <c r="C44" s="44"/>
      <c r="D44" s="204">
        <v>2747.36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26.1" customHeight="1" x14ac:dyDescent="0.2">
      <c r="A45" s="42"/>
      <c r="B45" s="208" t="s">
        <v>266</v>
      </c>
      <c r="C45" s="44"/>
      <c r="D45" s="204">
        <v>20615.509999999998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40.5" customHeight="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5.5" x14ac:dyDescent="0.2">
      <c r="A48" s="31"/>
      <c r="B48" s="51" t="s">
        <v>49</v>
      </c>
      <c r="C48" s="20" t="s">
        <v>6</v>
      </c>
      <c r="D48" s="216">
        <f>D49+D50+D51</f>
        <v>85201.02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2.5" x14ac:dyDescent="0.2">
      <c r="A49" s="33"/>
      <c r="B49" s="28" t="s">
        <v>50</v>
      </c>
      <c r="C49" s="39"/>
      <c r="D49" s="204">
        <v>85201.02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x14ac:dyDescent="0.2">
      <c r="A50" s="31"/>
      <c r="B50" s="52" t="s">
        <v>51</v>
      </c>
      <c r="C50" s="75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2.5" x14ac:dyDescent="0.2">
      <c r="A51" s="31"/>
      <c r="B51" s="52" t="s">
        <v>52</v>
      </c>
      <c r="C51" s="75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3" t="s">
        <v>60</v>
      </c>
      <c r="B52" s="210" t="s">
        <v>252</v>
      </c>
      <c r="C52" s="12" t="s">
        <v>6</v>
      </c>
      <c r="D52" s="216">
        <v>6944.21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31" t="s">
        <v>62</v>
      </c>
      <c r="B53" s="107" t="s">
        <v>260</v>
      </c>
      <c r="C53" s="7" t="s">
        <v>6</v>
      </c>
      <c r="D53" s="216">
        <v>148802.95000000001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33.75" x14ac:dyDescent="0.2">
      <c r="A54" s="31"/>
      <c r="B54" s="54" t="s">
        <v>63</v>
      </c>
      <c r="C54" s="55"/>
      <c r="D54" s="204"/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51" customHeight="1" x14ac:dyDescent="0.2">
      <c r="A55" s="31" t="s">
        <v>64</v>
      </c>
      <c r="B55" s="56" t="s">
        <v>65</v>
      </c>
      <c r="C55" s="55" t="s">
        <v>6</v>
      </c>
      <c r="D55" s="216">
        <v>39000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63" customHeight="1" x14ac:dyDescent="0.2">
      <c r="A56" s="31" t="s">
        <v>66</v>
      </c>
      <c r="B56" s="57" t="s">
        <v>98</v>
      </c>
      <c r="C56" s="55" t="s">
        <v>6</v>
      </c>
      <c r="D56" s="216">
        <v>117234.08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15" x14ac:dyDescent="0.25">
      <c r="A57" s="31" t="s">
        <v>68</v>
      </c>
      <c r="B57" s="58" t="s">
        <v>69</v>
      </c>
      <c r="C57" s="55" t="s">
        <v>6</v>
      </c>
      <c r="D57" s="218">
        <f>D15*6%</f>
        <v>27744.240600000001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31"/>
      <c r="B58" s="59" t="s">
        <v>70</v>
      </c>
      <c r="C58" s="55" t="s">
        <v>6</v>
      </c>
      <c r="D58" s="218">
        <f>D57+D56+D55+D53+D52+D48+D37+D33+D30+D27+D23</f>
        <v>585080.07060000009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.75" x14ac:dyDescent="0.25">
      <c r="A59" s="60"/>
      <c r="B59" s="61"/>
      <c r="C59" s="62"/>
      <c r="D59" s="159"/>
      <c r="E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A60" s="60"/>
      <c r="B60" s="61" t="s">
        <v>76</v>
      </c>
      <c r="C60" s="62"/>
      <c r="D60" s="159">
        <f>D6+D15-D58</f>
        <v>-89943.68060000008</v>
      </c>
      <c r="E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B61" s="61"/>
      <c r="C61" s="62"/>
      <c r="D61" s="156"/>
      <c r="E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B62" s="61"/>
      <c r="C62" s="62"/>
      <c r="D62" s="156"/>
      <c r="E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B63" s="61"/>
      <c r="C63" s="62"/>
      <c r="D63" s="159"/>
      <c r="E63" s="15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B64" s="61"/>
      <c r="C64" s="62"/>
      <c r="D64" s="65"/>
      <c r="E64" s="104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x14ac:dyDescent="0.2">
      <c r="B65" s="66" t="s">
        <v>72</v>
      </c>
      <c r="C65" s="66"/>
      <c r="D65" s="66" t="s">
        <v>73</v>
      </c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x14ac:dyDescent="0.2">
      <c r="B66" s="66" t="s">
        <v>74</v>
      </c>
      <c r="C66" s="66"/>
      <c r="D66" s="189" t="s">
        <v>273</v>
      </c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2" workbookViewId="0">
      <selection activeCell="F19" sqref="F19:P60"/>
    </sheetView>
  </sheetViews>
  <sheetFormatPr defaultColWidth="9" defaultRowHeight="14.25" x14ac:dyDescent="0.2"/>
  <cols>
    <col min="1" max="1" width="4.7109375" style="1" customWidth="1"/>
    <col min="2" max="2" width="39.5703125" style="1" customWidth="1"/>
    <col min="3" max="3" width="8.140625" style="1" customWidth="1"/>
    <col min="4" max="4" width="17" style="1" customWidth="1"/>
    <col min="5" max="5" width="13.42578125" style="1" customWidth="1"/>
    <col min="6" max="6" width="12.28515625" style="1" customWidth="1"/>
    <col min="7" max="7" width="12.42578125" style="1" customWidth="1"/>
    <col min="8" max="8" width="11" style="1" customWidth="1"/>
    <col min="9" max="9" width="8.28515625" style="1" customWidth="1"/>
    <col min="10" max="12" width="9" style="1"/>
    <col min="13" max="13" width="14" style="1" customWidth="1"/>
    <col min="14" max="16384" width="9" style="1"/>
  </cols>
  <sheetData>
    <row r="1" spans="1:7" ht="15" x14ac:dyDescent="0.25">
      <c r="B1" s="82" t="s">
        <v>0</v>
      </c>
      <c r="C1" s="2"/>
      <c r="D1" s="3"/>
      <c r="G1" s="2"/>
    </row>
    <row r="2" spans="1:7" ht="15" customHeight="1" x14ac:dyDescent="0.25">
      <c r="A2" s="298" t="s">
        <v>1</v>
      </c>
      <c r="B2" s="298"/>
      <c r="C2" s="298"/>
      <c r="D2" s="298"/>
      <c r="E2" s="298"/>
      <c r="F2" s="4"/>
      <c r="G2" s="2"/>
    </row>
    <row r="3" spans="1:7" ht="15" customHeight="1" x14ac:dyDescent="0.25">
      <c r="A3" s="4"/>
      <c r="B3" s="298" t="s">
        <v>185</v>
      </c>
      <c r="C3" s="298"/>
      <c r="D3" s="298"/>
      <c r="E3" s="298"/>
      <c r="G3" s="2"/>
    </row>
    <row r="4" spans="1:7" ht="15" x14ac:dyDescent="0.25">
      <c r="A4" s="168"/>
      <c r="B4" s="163" t="s">
        <v>182</v>
      </c>
      <c r="C4" s="235"/>
      <c r="D4" s="235">
        <v>681760.4</v>
      </c>
      <c r="E4" s="153" t="s">
        <v>6</v>
      </c>
      <c r="G4" s="2"/>
    </row>
    <row r="5" spans="1:7" x14ac:dyDescent="0.2">
      <c r="A5" s="160"/>
      <c r="B5" s="164" t="s">
        <v>211</v>
      </c>
      <c r="C5" s="236" t="s">
        <v>6</v>
      </c>
      <c r="D5" s="219">
        <v>-47637.21</v>
      </c>
      <c r="E5" s="204"/>
    </row>
    <row r="6" spans="1:7" x14ac:dyDescent="0.2">
      <c r="A6" s="160"/>
      <c r="B6" s="164"/>
      <c r="C6" s="236" t="s">
        <v>6</v>
      </c>
      <c r="D6" s="219"/>
      <c r="E6" s="204"/>
    </row>
    <row r="7" spans="1:7" x14ac:dyDescent="0.2">
      <c r="A7" s="160"/>
      <c r="B7" s="165" t="s">
        <v>2</v>
      </c>
      <c r="C7" s="236" t="s">
        <v>3</v>
      </c>
      <c r="D7" s="220">
        <v>10341.129999999999</v>
      </c>
      <c r="E7" s="204"/>
    </row>
    <row r="8" spans="1:7" x14ac:dyDescent="0.2">
      <c r="A8" s="160"/>
      <c r="B8" s="165" t="s">
        <v>4</v>
      </c>
      <c r="C8" s="236" t="s">
        <v>3</v>
      </c>
      <c r="D8" s="220">
        <v>6232.43</v>
      </c>
      <c r="E8" s="204"/>
    </row>
    <row r="9" spans="1:7" x14ac:dyDescent="0.2">
      <c r="A9" s="160"/>
      <c r="B9" s="166" t="s">
        <v>5</v>
      </c>
      <c r="C9" s="237" t="s">
        <v>6</v>
      </c>
      <c r="D9" s="219">
        <v>1252281.3899999999</v>
      </c>
      <c r="E9" s="204"/>
    </row>
    <row r="10" spans="1:7" x14ac:dyDescent="0.2">
      <c r="A10" s="160"/>
      <c r="B10" s="164"/>
      <c r="C10" s="237"/>
      <c r="D10" s="220"/>
      <c r="E10" s="204"/>
    </row>
    <row r="11" spans="1:7" x14ac:dyDescent="0.2">
      <c r="A11" s="160"/>
      <c r="B11" s="166" t="s">
        <v>7</v>
      </c>
      <c r="C11" s="237"/>
      <c r="D11" s="220"/>
      <c r="E11" s="204"/>
    </row>
    <row r="12" spans="1:7" x14ac:dyDescent="0.2">
      <c r="A12" s="160">
        <v>1</v>
      </c>
      <c r="B12" s="167" t="s">
        <v>84</v>
      </c>
      <c r="C12" s="236" t="s">
        <v>6</v>
      </c>
      <c r="D12" s="220">
        <v>973684.05</v>
      </c>
      <c r="E12" s="204"/>
    </row>
    <row r="13" spans="1:7" x14ac:dyDescent="0.2">
      <c r="A13" s="160">
        <v>2</v>
      </c>
      <c r="B13" s="167" t="s">
        <v>210</v>
      </c>
      <c r="C13" s="236" t="s">
        <v>6</v>
      </c>
      <c r="D13" s="220">
        <v>29203.759999999998</v>
      </c>
      <c r="E13" s="204"/>
    </row>
    <row r="14" spans="1:7" x14ac:dyDescent="0.2">
      <c r="A14" s="160">
        <v>3</v>
      </c>
      <c r="B14" s="167" t="s">
        <v>9</v>
      </c>
      <c r="C14" s="236" t="s">
        <v>6</v>
      </c>
      <c r="D14" s="220">
        <f>6000+4200+1800</f>
        <v>12000</v>
      </c>
      <c r="E14" s="204"/>
    </row>
    <row r="15" spans="1:7" x14ac:dyDescent="0.2">
      <c r="A15" s="160"/>
      <c r="B15" s="166" t="s">
        <v>10</v>
      </c>
      <c r="C15" s="237" t="s">
        <v>6</v>
      </c>
      <c r="D15" s="219">
        <f>D12+D13+D14</f>
        <v>1014887.81</v>
      </c>
      <c r="E15" s="204"/>
    </row>
    <row r="16" spans="1:7" x14ac:dyDescent="0.2">
      <c r="A16" s="160"/>
      <c r="B16" s="164"/>
      <c r="C16" s="237"/>
      <c r="D16" s="204"/>
      <c r="E16" s="204"/>
    </row>
    <row r="17" spans="1:5" x14ac:dyDescent="0.2">
      <c r="B17" s="5"/>
      <c r="C17" s="5"/>
    </row>
    <row r="18" spans="1:5" x14ac:dyDescent="0.2">
      <c r="B18" s="5"/>
      <c r="C18" s="5" t="s">
        <v>11</v>
      </c>
    </row>
    <row r="19" spans="1:5" x14ac:dyDescent="0.2">
      <c r="B19" s="5"/>
      <c r="C19" s="5"/>
    </row>
    <row r="20" spans="1:5" ht="15" x14ac:dyDescent="0.25">
      <c r="A20" s="7" t="s">
        <v>12</v>
      </c>
      <c r="B20" s="7"/>
      <c r="C20" s="12" t="s">
        <v>100</v>
      </c>
      <c r="D20" s="134" t="s">
        <v>101</v>
      </c>
      <c r="E20" s="134" t="s">
        <v>86</v>
      </c>
    </row>
    <row r="21" spans="1:5" ht="15" x14ac:dyDescent="0.25">
      <c r="A21" s="7" t="s">
        <v>15</v>
      </c>
      <c r="B21" s="12" t="s">
        <v>16</v>
      </c>
      <c r="C21" s="12"/>
      <c r="D21" s="27"/>
      <c r="E21" s="27"/>
    </row>
    <row r="22" spans="1:5" ht="25.5" x14ac:dyDescent="0.2">
      <c r="A22" s="22" t="s">
        <v>18</v>
      </c>
      <c r="B22" s="23" t="s">
        <v>88</v>
      </c>
      <c r="C22" s="24"/>
      <c r="D22" s="6"/>
      <c r="E22" s="6"/>
    </row>
    <row r="23" spans="1:5" ht="51" x14ac:dyDescent="0.2">
      <c r="A23" s="22"/>
      <c r="B23" s="25" t="s">
        <v>20</v>
      </c>
      <c r="C23" s="26" t="s">
        <v>6</v>
      </c>
      <c r="D23" s="216">
        <f>D24+D25+D26</f>
        <v>225267.22</v>
      </c>
      <c r="E23" s="6"/>
    </row>
    <row r="24" spans="1:5" ht="78.75" x14ac:dyDescent="0.2">
      <c r="A24" s="22"/>
      <c r="B24" s="28" t="s">
        <v>21</v>
      </c>
      <c r="C24" s="29"/>
      <c r="D24" s="204">
        <v>107630.35</v>
      </c>
      <c r="E24" s="6"/>
    </row>
    <row r="25" spans="1:5" ht="112.5" x14ac:dyDescent="0.2">
      <c r="A25" s="30"/>
      <c r="B25" s="28" t="s">
        <v>22</v>
      </c>
      <c r="C25" s="29"/>
      <c r="D25" s="204">
        <v>105670.87</v>
      </c>
      <c r="E25" s="6"/>
    </row>
    <row r="26" spans="1:5" ht="24" x14ac:dyDescent="0.2">
      <c r="A26" s="31"/>
      <c r="B26" s="32" t="s">
        <v>23</v>
      </c>
      <c r="C26" s="29"/>
      <c r="D26" s="204">
        <v>11966</v>
      </c>
      <c r="E26" s="6"/>
    </row>
    <row r="27" spans="1:5" ht="25.5" x14ac:dyDescent="0.2">
      <c r="A27" s="22"/>
      <c r="B27" s="25" t="s">
        <v>24</v>
      </c>
      <c r="C27" s="26" t="s">
        <v>6</v>
      </c>
      <c r="D27" s="216">
        <f>D28+D29</f>
        <v>14116</v>
      </c>
      <c r="E27" s="6"/>
    </row>
    <row r="28" spans="1:5" x14ac:dyDescent="0.2">
      <c r="A28" s="33"/>
      <c r="B28" s="236" t="s">
        <v>25</v>
      </c>
      <c r="C28" s="35"/>
      <c r="D28" s="204">
        <v>11124</v>
      </c>
      <c r="E28" s="6"/>
    </row>
    <row r="29" spans="1:5" x14ac:dyDescent="0.2">
      <c r="A29" s="22"/>
      <c r="B29" s="236" t="s">
        <v>26</v>
      </c>
      <c r="C29" s="35"/>
      <c r="D29" s="204">
        <v>2992</v>
      </c>
      <c r="E29" s="6"/>
    </row>
    <row r="30" spans="1:5" ht="38.25" x14ac:dyDescent="0.2">
      <c r="A30" s="22" t="s">
        <v>27</v>
      </c>
      <c r="B30" s="25" t="s">
        <v>28</v>
      </c>
      <c r="C30" s="36" t="s">
        <v>6</v>
      </c>
      <c r="D30" s="216">
        <f>D31+D32</f>
        <v>61322</v>
      </c>
      <c r="E30" s="6"/>
    </row>
    <row r="31" spans="1:5" ht="78.75" x14ac:dyDescent="0.2">
      <c r="A31" s="37"/>
      <c r="B31" s="28" t="s">
        <v>29</v>
      </c>
      <c r="C31" s="29"/>
      <c r="D31" s="204">
        <v>61322</v>
      </c>
      <c r="E31" s="6"/>
    </row>
    <row r="32" spans="1:5" ht="24" x14ac:dyDescent="0.2">
      <c r="A32" s="37"/>
      <c r="B32" s="112" t="s">
        <v>30</v>
      </c>
      <c r="C32" s="39"/>
      <c r="D32" s="204">
        <v>0</v>
      </c>
      <c r="E32" s="6"/>
    </row>
    <row r="33" spans="1:5" ht="38.25" x14ac:dyDescent="0.2">
      <c r="A33" s="37" t="s">
        <v>31</v>
      </c>
      <c r="B33" s="25" t="s">
        <v>32</v>
      </c>
      <c r="C33" s="12" t="s">
        <v>6</v>
      </c>
      <c r="D33" s="216">
        <f>D34+D35+D36</f>
        <v>16786</v>
      </c>
      <c r="E33" s="6"/>
    </row>
    <row r="34" spans="1:5" ht="36.75" customHeight="1" x14ac:dyDescent="0.2">
      <c r="A34" s="33"/>
      <c r="B34" s="250" t="s">
        <v>33</v>
      </c>
      <c r="C34" s="39"/>
      <c r="D34" s="204">
        <v>8226</v>
      </c>
      <c r="E34" s="6"/>
    </row>
    <row r="35" spans="1:5" ht="22.5" x14ac:dyDescent="0.2">
      <c r="A35" s="33"/>
      <c r="B35" s="248" t="s">
        <v>89</v>
      </c>
      <c r="C35" s="39"/>
      <c r="D35" s="204">
        <v>8560</v>
      </c>
      <c r="E35" s="6"/>
    </row>
    <row r="36" spans="1:5" ht="22.5" x14ac:dyDescent="0.2">
      <c r="A36" s="33"/>
      <c r="B36" s="248" t="s">
        <v>35</v>
      </c>
      <c r="C36" s="39"/>
      <c r="D36" s="204">
        <v>0</v>
      </c>
      <c r="E36" s="6"/>
    </row>
    <row r="37" spans="1:5" ht="15.75" x14ac:dyDescent="0.25">
      <c r="A37" s="31" t="s">
        <v>36</v>
      </c>
      <c r="B37" s="41" t="s">
        <v>37</v>
      </c>
      <c r="C37" s="20" t="s">
        <v>6</v>
      </c>
      <c r="D37" s="218">
        <f>D38+D39+D40+D42+D43+D44+D45</f>
        <v>130307.87</v>
      </c>
      <c r="E37" s="6"/>
    </row>
    <row r="38" spans="1:5" x14ac:dyDescent="0.2">
      <c r="A38" s="42"/>
      <c r="B38" s="202" t="s">
        <v>38</v>
      </c>
      <c r="C38" s="44"/>
      <c r="D38" s="217">
        <v>3370.68</v>
      </c>
      <c r="E38" s="6"/>
    </row>
    <row r="39" spans="1:5" ht="13.5" customHeight="1" x14ac:dyDescent="0.2">
      <c r="A39" s="42"/>
      <c r="B39" s="202" t="s">
        <v>39</v>
      </c>
      <c r="C39" s="44"/>
      <c r="D39" s="204">
        <v>22856.75</v>
      </c>
      <c r="E39" s="6"/>
    </row>
    <row r="40" spans="1:5" x14ac:dyDescent="0.2">
      <c r="A40" s="42"/>
      <c r="B40" s="205" t="s">
        <v>40</v>
      </c>
      <c r="C40" s="44"/>
      <c r="D40" s="204">
        <v>29098.880000000001</v>
      </c>
      <c r="E40" s="6"/>
    </row>
    <row r="41" spans="1:5" ht="32.25" customHeight="1" x14ac:dyDescent="0.2">
      <c r="A41" s="31"/>
      <c r="B41" s="207" t="s">
        <v>41</v>
      </c>
      <c r="C41" s="44"/>
      <c r="D41" s="204"/>
      <c r="E41" s="6"/>
    </row>
    <row r="42" spans="1:5" x14ac:dyDescent="0.2">
      <c r="A42" s="42"/>
      <c r="B42" s="208" t="s">
        <v>90</v>
      </c>
      <c r="C42" s="44"/>
      <c r="D42" s="204"/>
      <c r="E42" s="6"/>
    </row>
    <row r="43" spans="1:5" x14ac:dyDescent="0.2">
      <c r="A43" s="42"/>
      <c r="B43" s="208" t="s">
        <v>91</v>
      </c>
      <c r="C43" s="44"/>
      <c r="D43" s="204">
        <v>9317.27</v>
      </c>
      <c r="E43" s="6"/>
    </row>
    <row r="44" spans="1:5" x14ac:dyDescent="0.2">
      <c r="A44" s="29"/>
      <c r="B44" s="208" t="s">
        <v>92</v>
      </c>
      <c r="C44" s="44"/>
      <c r="D44" s="204">
        <v>5599.02</v>
      </c>
      <c r="E44" s="6"/>
    </row>
    <row r="45" spans="1:5" ht="22.5" x14ac:dyDescent="0.2">
      <c r="A45" s="42"/>
      <c r="B45" s="208" t="s">
        <v>259</v>
      </c>
      <c r="C45" s="44"/>
      <c r="D45" s="204">
        <v>60065.27</v>
      </c>
      <c r="E45" s="6"/>
    </row>
    <row r="46" spans="1:5" ht="38.25" x14ac:dyDescent="0.2">
      <c r="A46" s="12" t="s">
        <v>46</v>
      </c>
      <c r="B46" s="48" t="s">
        <v>47</v>
      </c>
      <c r="C46" s="49"/>
      <c r="D46" s="204"/>
      <c r="E46" s="6"/>
    </row>
    <row r="47" spans="1:5" x14ac:dyDescent="0.2">
      <c r="A47" s="49"/>
      <c r="B47" s="50" t="s">
        <v>48</v>
      </c>
      <c r="C47" s="49"/>
      <c r="D47" s="204"/>
      <c r="E47" s="6"/>
    </row>
    <row r="48" spans="1:5" ht="28.5" customHeight="1" x14ac:dyDescent="0.2">
      <c r="A48" s="31"/>
      <c r="B48" s="51" t="s">
        <v>49</v>
      </c>
      <c r="C48" s="20" t="s">
        <v>6</v>
      </c>
      <c r="D48" s="216">
        <f>D49+D50+D51+D52</f>
        <v>169574.72</v>
      </c>
      <c r="E48" s="6"/>
    </row>
    <row r="49" spans="1:5" ht="22.5" x14ac:dyDescent="0.2">
      <c r="A49" s="33"/>
      <c r="B49" s="28" t="s">
        <v>50</v>
      </c>
      <c r="C49" s="39"/>
      <c r="D49" s="204">
        <v>160460</v>
      </c>
      <c r="E49" s="6"/>
    </row>
    <row r="50" spans="1:5" x14ac:dyDescent="0.2">
      <c r="A50" s="31"/>
      <c r="B50" s="52" t="s">
        <v>102</v>
      </c>
      <c r="C50" s="39"/>
      <c r="D50" s="204">
        <v>0</v>
      </c>
      <c r="E50" s="6"/>
    </row>
    <row r="51" spans="1:5" x14ac:dyDescent="0.2">
      <c r="A51" s="31"/>
      <c r="B51" s="52" t="s">
        <v>103</v>
      </c>
      <c r="C51" s="39"/>
      <c r="D51" s="204">
        <v>2300</v>
      </c>
      <c r="E51" s="6"/>
    </row>
    <row r="52" spans="1:5" ht="22.5" x14ac:dyDescent="0.2">
      <c r="A52" s="31"/>
      <c r="B52" s="52" t="s">
        <v>52</v>
      </c>
      <c r="C52" s="39"/>
      <c r="D52" s="204">
        <v>6814.72</v>
      </c>
      <c r="E52" s="6"/>
    </row>
    <row r="53" spans="1:5" x14ac:dyDescent="0.2">
      <c r="A53" s="33" t="s">
        <v>60</v>
      </c>
      <c r="B53" s="210" t="s">
        <v>252</v>
      </c>
      <c r="C53" s="212" t="s">
        <v>6</v>
      </c>
      <c r="D53" s="216">
        <v>15153.07</v>
      </c>
      <c r="E53" s="6"/>
    </row>
    <row r="54" spans="1:5" x14ac:dyDescent="0.2">
      <c r="A54" s="31" t="s">
        <v>62</v>
      </c>
      <c r="B54" s="211" t="s">
        <v>262</v>
      </c>
      <c r="C54" s="142" t="s">
        <v>6</v>
      </c>
      <c r="D54" s="218">
        <v>31075.68</v>
      </c>
      <c r="E54" s="6"/>
    </row>
    <row r="55" spans="1:5" ht="35.1" customHeight="1" x14ac:dyDescent="0.2">
      <c r="A55" s="31"/>
      <c r="B55" s="54" t="s">
        <v>63</v>
      </c>
      <c r="C55" s="55"/>
      <c r="D55" s="204"/>
      <c r="E55" s="6"/>
    </row>
    <row r="56" spans="1:5" ht="48" x14ac:dyDescent="0.2">
      <c r="A56" s="31" t="s">
        <v>64</v>
      </c>
      <c r="B56" s="182" t="s">
        <v>65</v>
      </c>
      <c r="C56" s="55" t="s">
        <v>6</v>
      </c>
      <c r="D56" s="216">
        <f>95735+3999.69</f>
        <v>99734.69</v>
      </c>
      <c r="E56" s="6"/>
    </row>
    <row r="57" spans="1:5" ht="60" x14ac:dyDescent="0.2">
      <c r="A57" s="31" t="s">
        <v>66</v>
      </c>
      <c r="B57" s="183" t="s">
        <v>257</v>
      </c>
      <c r="C57" s="55" t="s">
        <v>6</v>
      </c>
      <c r="D57" s="216">
        <f>230596.17+10590.12</f>
        <v>241186.29</v>
      </c>
      <c r="E57" s="6"/>
    </row>
    <row r="58" spans="1:5" x14ac:dyDescent="0.2">
      <c r="A58" s="31" t="s">
        <v>68</v>
      </c>
      <c r="B58" s="184" t="s">
        <v>69</v>
      </c>
      <c r="C58" s="55" t="s">
        <v>6</v>
      </c>
      <c r="D58" s="218">
        <f>D15*6%</f>
        <v>60893.268600000003</v>
      </c>
      <c r="E58" s="6"/>
    </row>
    <row r="59" spans="1:5" ht="15.75" x14ac:dyDescent="0.25">
      <c r="A59" s="152" t="s">
        <v>251</v>
      </c>
      <c r="B59" s="185" t="s">
        <v>70</v>
      </c>
      <c r="C59" s="106" t="s">
        <v>6</v>
      </c>
      <c r="D59" s="218">
        <f>D58+D57+D56+D54+D53+D48+D37+D33+D30+D27+D23</f>
        <v>1065416.8086000001</v>
      </c>
      <c r="E59" s="6"/>
    </row>
    <row r="60" spans="1:5" ht="15.75" x14ac:dyDescent="0.25">
      <c r="A60" s="60"/>
      <c r="B60" s="61"/>
      <c r="C60" s="62"/>
      <c r="D60" s="81"/>
      <c r="E60" s="81"/>
    </row>
    <row r="61" spans="1:5" ht="15.75" x14ac:dyDescent="0.25">
      <c r="A61" s="60"/>
      <c r="B61" s="61"/>
      <c r="C61" s="62"/>
      <c r="D61" s="81"/>
      <c r="E61" s="81"/>
    </row>
    <row r="62" spans="1:5" ht="15.75" x14ac:dyDescent="0.25">
      <c r="A62" s="60"/>
      <c r="B62" s="61"/>
      <c r="C62" s="62"/>
      <c r="D62" s="81"/>
      <c r="E62" s="81"/>
    </row>
    <row r="63" spans="1:5" x14ac:dyDescent="0.2">
      <c r="A63" s="238"/>
      <c r="B63" s="233" t="s">
        <v>76</v>
      </c>
      <c r="C63" s="221"/>
      <c r="D63" s="159">
        <f>D5+D15-D59</f>
        <v>-98166.208600000013</v>
      </c>
      <c r="E63" s="81"/>
    </row>
    <row r="64" spans="1:5" ht="15.75" x14ac:dyDescent="0.25">
      <c r="A64" s="60"/>
      <c r="B64" s="5"/>
      <c r="C64" s="110"/>
      <c r="D64" s="2"/>
    </row>
    <row r="65" spans="1:4" x14ac:dyDescent="0.2">
      <c r="A65" s="60"/>
    </row>
    <row r="66" spans="1:4" x14ac:dyDescent="0.2">
      <c r="B66" s="168" t="s">
        <v>72</v>
      </c>
      <c r="C66" s="168"/>
      <c r="D66" s="168" t="s">
        <v>73</v>
      </c>
    </row>
    <row r="67" spans="1:4" x14ac:dyDescent="0.2">
      <c r="B67" s="168" t="s">
        <v>74</v>
      </c>
      <c r="C67" s="168"/>
      <c r="D67" s="168" t="s">
        <v>274</v>
      </c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6"/>
  <sheetViews>
    <sheetView topLeftCell="A47" workbookViewId="0">
      <selection activeCell="G21" sqref="G21:R66"/>
    </sheetView>
  </sheetViews>
  <sheetFormatPr defaultColWidth="9" defaultRowHeight="15" x14ac:dyDescent="0.25"/>
  <cols>
    <col min="1" max="1" width="4.7109375" style="1" customWidth="1"/>
    <col min="2" max="2" width="38.7109375" style="1" customWidth="1"/>
    <col min="3" max="3" width="9" style="1"/>
    <col min="4" max="4" width="15.5703125" style="1" customWidth="1"/>
    <col min="5" max="5" width="15.7109375" style="1" customWidth="1"/>
    <col min="6" max="6" width="11.7109375" style="1" customWidth="1"/>
    <col min="7" max="7" width="11" style="1" customWidth="1"/>
    <col min="8" max="8" width="10.42578125" style="1" customWidth="1"/>
    <col min="9" max="16383" width="9" style="1"/>
  </cols>
  <sheetData>
    <row r="1" spans="1:15" x14ac:dyDescent="0.25">
      <c r="C1" s="2" t="s">
        <v>0</v>
      </c>
      <c r="D1" s="3"/>
    </row>
    <row r="2" spans="1:15" ht="15" customHeight="1" x14ac:dyDescent="0.25">
      <c r="A2" s="298" t="s">
        <v>1</v>
      </c>
      <c r="B2" s="298"/>
      <c r="C2" s="298"/>
      <c r="D2" s="298"/>
      <c r="E2" s="298"/>
      <c r="F2" s="293"/>
    </row>
    <row r="3" spans="1:15" ht="15" customHeight="1" x14ac:dyDescent="0.25">
      <c r="A3" s="4"/>
      <c r="B3" s="299" t="s">
        <v>236</v>
      </c>
      <c r="C3" s="299"/>
      <c r="D3" s="299"/>
      <c r="E3" s="293"/>
    </row>
    <row r="4" spans="1:15" x14ac:dyDescent="0.25">
      <c r="A4" s="4"/>
      <c r="B4" s="293"/>
      <c r="C4" s="293"/>
      <c r="D4" s="293"/>
      <c r="E4" s="293"/>
    </row>
    <row r="5" spans="1:15" x14ac:dyDescent="0.25">
      <c r="A5" s="168"/>
      <c r="B5" s="163" t="s">
        <v>182</v>
      </c>
      <c r="C5" s="163"/>
      <c r="D5" s="163">
        <v>331657.87</v>
      </c>
      <c r="E5" s="168"/>
    </row>
    <row r="6" spans="1:15" x14ac:dyDescent="0.25">
      <c r="A6" s="160"/>
      <c r="B6" s="164" t="s">
        <v>211</v>
      </c>
      <c r="C6" s="167" t="s">
        <v>6</v>
      </c>
      <c r="D6" s="170">
        <v>143931.31</v>
      </c>
      <c r="E6" s="160"/>
    </row>
    <row r="7" spans="1:15" x14ac:dyDescent="0.25">
      <c r="A7" s="160"/>
      <c r="B7" s="164"/>
      <c r="C7" s="167"/>
      <c r="D7" s="170"/>
      <c r="E7" s="160"/>
    </row>
    <row r="8" spans="1:15" x14ac:dyDescent="0.25">
      <c r="A8" s="160"/>
      <c r="B8" s="165" t="s">
        <v>2</v>
      </c>
      <c r="C8" s="167" t="s">
        <v>3</v>
      </c>
      <c r="D8" s="171">
        <v>4724.8100000000004</v>
      </c>
      <c r="E8" s="160"/>
    </row>
    <row r="9" spans="1:15" x14ac:dyDescent="0.25">
      <c r="A9" s="160"/>
      <c r="B9" s="165" t="s">
        <v>4</v>
      </c>
      <c r="C9" s="167" t="s">
        <v>3</v>
      </c>
      <c r="D9" s="171">
        <v>2873.59</v>
      </c>
      <c r="E9" s="160"/>
    </row>
    <row r="10" spans="1:15" x14ac:dyDescent="0.25">
      <c r="A10" s="160"/>
      <c r="B10" s="166" t="s">
        <v>5</v>
      </c>
      <c r="C10" s="164" t="s">
        <v>6</v>
      </c>
      <c r="D10" s="170">
        <v>604436.31000000006</v>
      </c>
      <c r="E10" s="160"/>
    </row>
    <row r="11" spans="1:15" x14ac:dyDescent="0.25">
      <c r="A11" s="160"/>
      <c r="B11" s="164"/>
      <c r="C11" s="164"/>
      <c r="D11" s="171"/>
      <c r="E11" s="160"/>
    </row>
    <row r="12" spans="1:15" x14ac:dyDescent="0.25">
      <c r="A12" s="160"/>
      <c r="B12" s="166" t="s">
        <v>7</v>
      </c>
      <c r="C12" s="164"/>
      <c r="D12" s="171"/>
      <c r="E12" s="160"/>
    </row>
    <row r="13" spans="1:15" x14ac:dyDescent="0.25">
      <c r="A13" s="160">
        <v>1</v>
      </c>
      <c r="B13" s="167" t="s">
        <v>237</v>
      </c>
      <c r="C13" s="167" t="s">
        <v>6</v>
      </c>
      <c r="D13" s="171">
        <v>451919.52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5">
      <c r="A14" s="160">
        <v>2</v>
      </c>
      <c r="B14" s="167" t="s">
        <v>9</v>
      </c>
      <c r="C14" s="167" t="s">
        <v>6</v>
      </c>
      <c r="D14" s="171">
        <f>3000+6300+9000</f>
        <v>18300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5">
      <c r="A15" s="160"/>
      <c r="B15" s="166" t="s">
        <v>10</v>
      </c>
      <c r="C15" s="164" t="s">
        <v>6</v>
      </c>
      <c r="D15" s="170">
        <f>D13+D14</f>
        <v>470219.52000000002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5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5">
      <c r="B17" s="5"/>
      <c r="C17" s="5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5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5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26.25" x14ac:dyDescent="0.25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51.75" customHeight="1" x14ac:dyDescent="0.25">
      <c r="A23" s="22"/>
      <c r="B23" s="25" t="s">
        <v>20</v>
      </c>
      <c r="C23" s="26" t="s">
        <v>6</v>
      </c>
      <c r="D23" s="216">
        <f>D24+D25+D26</f>
        <v>96372.11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81" customHeight="1" x14ac:dyDescent="0.25">
      <c r="A24" s="22"/>
      <c r="B24" s="28" t="s">
        <v>21</v>
      </c>
      <c r="C24" s="29"/>
      <c r="D24" s="204">
        <v>45540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13.25" x14ac:dyDescent="0.25">
      <c r="A25" s="30"/>
      <c r="B25" s="28" t="s">
        <v>22</v>
      </c>
      <c r="C25" s="29"/>
      <c r="D25" s="204">
        <f>39598+649.27+5046.04</f>
        <v>45293.31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23.25" x14ac:dyDescent="0.25">
      <c r="A26" s="31"/>
      <c r="B26" s="40" t="s">
        <v>23</v>
      </c>
      <c r="C26" s="29"/>
      <c r="D26" s="204">
        <v>5538.8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6.25" x14ac:dyDescent="0.25">
      <c r="A27" s="22"/>
      <c r="B27" s="25" t="s">
        <v>24</v>
      </c>
      <c r="C27" s="26" t="s">
        <v>6</v>
      </c>
      <c r="D27" s="216">
        <f>D28+D29</f>
        <v>6328.7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x14ac:dyDescent="0.25">
      <c r="A28" s="33"/>
      <c r="B28" s="70" t="s">
        <v>25</v>
      </c>
      <c r="C28" s="35"/>
      <c r="D28" s="204">
        <v>4944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5">
      <c r="A29" s="22"/>
      <c r="B29" s="70" t="s">
        <v>26</v>
      </c>
      <c r="C29" s="35"/>
      <c r="D29" s="204">
        <v>1384.7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45.75" customHeight="1" x14ac:dyDescent="0.25">
      <c r="A30" s="22" t="s">
        <v>27</v>
      </c>
      <c r="B30" s="25" t="s">
        <v>28</v>
      </c>
      <c r="C30" s="36" t="s">
        <v>6</v>
      </c>
      <c r="D30" s="216">
        <f>D31+D32</f>
        <v>19310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83.25" customHeight="1" x14ac:dyDescent="0.25">
      <c r="A31" s="37"/>
      <c r="B31" s="28" t="s">
        <v>29</v>
      </c>
      <c r="C31" s="29"/>
      <c r="D31" s="204">
        <v>19310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32.25" customHeight="1" x14ac:dyDescent="0.25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39.75" customHeight="1" x14ac:dyDescent="0.25">
      <c r="A33" s="37" t="s">
        <v>31</v>
      </c>
      <c r="B33" s="25" t="s">
        <v>32</v>
      </c>
      <c r="C33" s="12" t="s">
        <v>6</v>
      </c>
      <c r="D33" s="216">
        <f>D34+D35+D36</f>
        <v>3380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9" customHeight="1" x14ac:dyDescent="0.25">
      <c r="A34" s="33"/>
      <c r="B34" s="40" t="s">
        <v>33</v>
      </c>
      <c r="C34" s="39"/>
      <c r="D34" s="204">
        <v>2000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5.5" customHeight="1" x14ac:dyDescent="0.25">
      <c r="A35" s="33"/>
      <c r="B35" s="38" t="s">
        <v>89</v>
      </c>
      <c r="C35" s="39"/>
      <c r="D35" s="204">
        <v>1380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7.75" customHeight="1" x14ac:dyDescent="0.25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7.25" customHeight="1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51630.479999999996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8" customHeight="1" x14ac:dyDescent="0.25">
      <c r="A38" s="42"/>
      <c r="B38" s="43" t="s">
        <v>38</v>
      </c>
      <c r="C38" s="44"/>
      <c r="D38" s="204">
        <v>3101.28</v>
      </c>
      <c r="E38" s="6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27" customHeight="1" x14ac:dyDescent="0.25">
      <c r="A39" s="42"/>
      <c r="B39" s="43" t="s">
        <v>39</v>
      </c>
      <c r="C39" s="44"/>
      <c r="D39" s="204">
        <v>5591.25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1" customHeight="1" x14ac:dyDescent="0.25">
      <c r="A40" s="42"/>
      <c r="B40" s="45" t="s">
        <v>40</v>
      </c>
      <c r="C40" s="44"/>
      <c r="D40" s="204">
        <v>13405.57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39.950000000000003" customHeight="1" x14ac:dyDescent="0.25">
      <c r="A41" s="31"/>
      <c r="B41" s="46" t="s">
        <v>41</v>
      </c>
      <c r="C41" s="44"/>
      <c r="D41" s="204"/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16.5" customHeight="1" x14ac:dyDescent="0.25">
      <c r="A42" s="42"/>
      <c r="B42" s="47" t="s">
        <v>90</v>
      </c>
      <c r="C42" s="44"/>
      <c r="D42" s="204">
        <v>0</v>
      </c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5" customHeight="1" x14ac:dyDescent="0.25">
      <c r="A43" s="42"/>
      <c r="B43" s="47" t="s">
        <v>91</v>
      </c>
      <c r="C43" s="44"/>
      <c r="D43" s="204">
        <v>3691.98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5">
      <c r="A44" s="29"/>
      <c r="B44" s="47" t="s">
        <v>92</v>
      </c>
      <c r="C44" s="44"/>
      <c r="D44" s="204">
        <v>3956.2</v>
      </c>
      <c r="E44" s="6"/>
      <c r="F44" s="153" t="s">
        <v>248</v>
      </c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26.25" customHeight="1" x14ac:dyDescent="0.25">
      <c r="A45" s="42"/>
      <c r="B45" s="208" t="s">
        <v>266</v>
      </c>
      <c r="C45" s="44"/>
      <c r="D45" s="204">
        <v>21884.2</v>
      </c>
      <c r="E45" s="6"/>
      <c r="F45" s="153" t="s">
        <v>247</v>
      </c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45" customHeight="1" x14ac:dyDescent="0.25">
      <c r="A46" s="12" t="s">
        <v>46</v>
      </c>
      <c r="B46" s="48" t="s">
        <v>47</v>
      </c>
      <c r="C46" s="49"/>
      <c r="D46" s="204"/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5">
      <c r="A47" s="49"/>
      <c r="B47" s="50" t="s">
        <v>48</v>
      </c>
      <c r="C47" s="49"/>
      <c r="D47" s="204"/>
      <c r="E47" s="6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7.75" customHeight="1" x14ac:dyDescent="0.25">
      <c r="A48" s="31"/>
      <c r="B48" s="51" t="s">
        <v>49</v>
      </c>
      <c r="C48" s="20" t="s">
        <v>6</v>
      </c>
      <c r="D48" s="216">
        <f>D49+D50+D51</f>
        <v>103806.88</v>
      </c>
      <c r="E48" s="6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7.75" customHeight="1" x14ac:dyDescent="0.25">
      <c r="A49" s="33"/>
      <c r="B49" s="28" t="s">
        <v>50</v>
      </c>
      <c r="C49" s="39"/>
      <c r="D49" s="204">
        <v>103806.88</v>
      </c>
      <c r="E49" s="6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18.75" customHeight="1" x14ac:dyDescent="0.25">
      <c r="A50" s="31"/>
      <c r="B50" s="52" t="s">
        <v>51</v>
      </c>
      <c r="C50" s="39"/>
      <c r="D50" s="204">
        <v>0</v>
      </c>
      <c r="E50" s="6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3.25" x14ac:dyDescent="0.25">
      <c r="A51" s="31"/>
      <c r="B51" s="52" t="s">
        <v>52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5">
      <c r="A52" s="33" t="s">
        <v>60</v>
      </c>
      <c r="B52" s="210" t="s">
        <v>252</v>
      </c>
      <c r="C52" s="12" t="s">
        <v>6</v>
      </c>
      <c r="D52" s="216">
        <v>6986.63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22.5" customHeight="1" x14ac:dyDescent="0.25">
      <c r="A53" s="31" t="s">
        <v>62</v>
      </c>
      <c r="B53" s="107" t="s">
        <v>260</v>
      </c>
      <c r="C53" s="7" t="s">
        <v>6</v>
      </c>
      <c r="D53" s="216">
        <v>0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39" customHeight="1" x14ac:dyDescent="0.25">
      <c r="A54" s="31"/>
      <c r="B54" s="54" t="s">
        <v>63</v>
      </c>
      <c r="C54" s="55"/>
      <c r="D54" s="216"/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48.75" x14ac:dyDescent="0.25">
      <c r="A55" s="31" t="s">
        <v>64</v>
      </c>
      <c r="B55" s="56" t="s">
        <v>65</v>
      </c>
      <c r="C55" s="55" t="s">
        <v>6</v>
      </c>
      <c r="D55" s="216">
        <v>36346.04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60.75" x14ac:dyDescent="0.25">
      <c r="A56" s="31" t="s">
        <v>66</v>
      </c>
      <c r="B56" s="57" t="s">
        <v>98</v>
      </c>
      <c r="C56" s="55" t="s">
        <v>6</v>
      </c>
      <c r="D56" s="216">
        <v>120842.58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5">
      <c r="A57" s="31" t="s">
        <v>68</v>
      </c>
      <c r="B57" s="58" t="s">
        <v>69</v>
      </c>
      <c r="C57" s="55" t="s">
        <v>6</v>
      </c>
      <c r="D57" s="218">
        <f>D15*6%</f>
        <v>28213.171200000001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5">
      <c r="A58" s="31"/>
      <c r="B58" s="59" t="s">
        <v>70</v>
      </c>
      <c r="C58" s="55" t="s">
        <v>6</v>
      </c>
      <c r="D58" s="218">
        <f>D57+D56+D55+D53+D52+D48+D37+D33+D30+D27+D23</f>
        <v>473216.59119999997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.75" x14ac:dyDescent="0.25">
      <c r="A59" s="60"/>
      <c r="B59" s="61"/>
      <c r="C59" s="62"/>
      <c r="D59" s="156"/>
      <c r="E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A60" s="60"/>
      <c r="B60" s="61" t="s">
        <v>76</v>
      </c>
      <c r="C60" s="62"/>
      <c r="D60" s="159">
        <f>D6+D15-D58</f>
        <v>140934.23880000011</v>
      </c>
      <c r="E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B61" s="61"/>
      <c r="C61" s="62"/>
      <c r="D61" s="156"/>
      <c r="E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B62" s="61"/>
      <c r="C62" s="62"/>
      <c r="D62" s="156"/>
      <c r="E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B63" s="61"/>
      <c r="C63" s="62"/>
      <c r="D63" s="159"/>
      <c r="E63" s="15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B64" s="61"/>
      <c r="C64" s="62"/>
      <c r="D64" s="65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 x14ac:dyDescent="0.25">
      <c r="B65" s="66" t="s">
        <v>72</v>
      </c>
      <c r="C65" s="66"/>
      <c r="D65" s="66" t="s">
        <v>73</v>
      </c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 x14ac:dyDescent="0.25">
      <c r="B66" s="66" t="s">
        <v>74</v>
      </c>
      <c r="C66" s="66"/>
      <c r="D66" s="189" t="s">
        <v>273</v>
      </c>
      <c r="G66" s="153"/>
      <c r="H66" s="153"/>
      <c r="I66" s="153"/>
      <c r="J66" s="153"/>
      <c r="K66" s="153"/>
      <c r="L66" s="153"/>
      <c r="M66" s="153"/>
      <c r="N66" s="153"/>
      <c r="O66" s="153"/>
    </row>
  </sheetData>
  <mergeCells count="2">
    <mergeCell ref="A2:E2"/>
    <mergeCell ref="B3:D3"/>
  </mergeCells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41" workbookViewId="0">
      <selection activeCell="L61" sqref="L61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10.28515625" style="1" customWidth="1"/>
    <col min="4" max="4" width="15.5703125" style="1" customWidth="1"/>
    <col min="5" max="5" width="16" style="1" customWidth="1"/>
    <col min="6" max="6" width="11.5703125" style="1" customWidth="1"/>
    <col min="7" max="7" width="10.42578125" style="1" customWidth="1"/>
    <col min="8" max="8" width="11.5703125" style="1" customWidth="1"/>
    <col min="9" max="9" width="11.7109375" style="1" customWidth="1"/>
    <col min="10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111</v>
      </c>
      <c r="B2" s="298"/>
      <c r="C2" s="298"/>
      <c r="D2" s="298"/>
      <c r="E2" s="298"/>
      <c r="F2" s="298"/>
    </row>
    <row r="3" spans="1:14" ht="15" customHeight="1" x14ac:dyDescent="0.2">
      <c r="A3" s="4"/>
      <c r="B3" s="299" t="s">
        <v>238</v>
      </c>
      <c r="C3" s="298"/>
      <c r="D3" s="298"/>
      <c r="E3" s="298"/>
    </row>
    <row r="4" spans="1:14" x14ac:dyDescent="0.2">
      <c r="A4" s="4"/>
      <c r="B4" s="295"/>
      <c r="C4" s="295"/>
      <c r="D4" s="295"/>
      <c r="E4" s="295"/>
    </row>
    <row r="5" spans="1:14" x14ac:dyDescent="0.2">
      <c r="B5" s="169" t="s">
        <v>182</v>
      </c>
      <c r="C5" s="5"/>
      <c r="D5" s="5">
        <v>6135.41</v>
      </c>
    </row>
    <row r="6" spans="1:14" x14ac:dyDescent="0.2">
      <c r="A6" s="6"/>
      <c r="B6" s="7" t="s">
        <v>80</v>
      </c>
      <c r="C6" s="7" t="s">
        <v>6</v>
      </c>
      <c r="D6" s="67">
        <v>-235856.69</v>
      </c>
      <c r="E6" s="6"/>
    </row>
    <row r="7" spans="1:14" x14ac:dyDescent="0.2">
      <c r="A7" s="6"/>
      <c r="B7" s="7"/>
      <c r="C7" s="7"/>
      <c r="D7" s="68"/>
      <c r="E7" s="6"/>
    </row>
    <row r="8" spans="1:14" x14ac:dyDescent="0.2">
      <c r="A8" s="6"/>
      <c r="B8" s="10" t="s">
        <v>2</v>
      </c>
      <c r="C8" s="8" t="s">
        <v>3</v>
      </c>
      <c r="D8" s="68">
        <v>1542</v>
      </c>
      <c r="E8" s="6"/>
    </row>
    <row r="9" spans="1:14" x14ac:dyDescent="0.2">
      <c r="A9" s="6"/>
      <c r="B9" s="10" t="s">
        <v>4</v>
      </c>
      <c r="C9" s="8" t="s">
        <v>3</v>
      </c>
      <c r="D9" s="196">
        <v>628.63</v>
      </c>
      <c r="E9" s="6"/>
    </row>
    <row r="10" spans="1:14" x14ac:dyDescent="0.2">
      <c r="A10" s="6"/>
      <c r="B10" s="12" t="s">
        <v>5</v>
      </c>
      <c r="C10" s="7" t="s">
        <v>6</v>
      </c>
      <c r="D10" s="197">
        <v>51548.42</v>
      </c>
      <c r="E10" s="6"/>
    </row>
    <row r="11" spans="1:14" x14ac:dyDescent="0.2">
      <c r="A11" s="6"/>
      <c r="B11" s="7"/>
      <c r="C11" s="7"/>
      <c r="D11" s="68"/>
      <c r="E11" s="6"/>
    </row>
    <row r="12" spans="1:14" x14ac:dyDescent="0.2">
      <c r="A12" s="6"/>
      <c r="B12" s="12" t="s">
        <v>7</v>
      </c>
      <c r="C12" s="7"/>
      <c r="D12" s="68"/>
      <c r="E12" s="6"/>
      <c r="G12" s="153"/>
      <c r="H12" s="153"/>
      <c r="I12" s="153"/>
      <c r="J12" s="153"/>
      <c r="K12" s="153"/>
      <c r="L12" s="153"/>
      <c r="M12" s="153"/>
      <c r="N12" s="153"/>
    </row>
    <row r="13" spans="1:14" x14ac:dyDescent="0.2">
      <c r="A13" s="6">
        <v>1</v>
      </c>
      <c r="B13" s="8" t="s">
        <v>84</v>
      </c>
      <c r="C13" s="8" t="s">
        <v>6</v>
      </c>
      <c r="D13" s="68">
        <v>50450.83</v>
      </c>
      <c r="E13" s="6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8" t="s">
        <v>9</v>
      </c>
      <c r="C14" s="8" t="s">
        <v>6</v>
      </c>
      <c r="D14" s="68"/>
      <c r="E14" s="6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/>
      <c r="B15" s="8"/>
      <c r="C15" s="7"/>
      <c r="D15" s="67"/>
      <c r="E15" s="6"/>
      <c r="G15" s="153"/>
      <c r="H15" s="153"/>
      <c r="I15" s="153"/>
      <c r="J15" s="153"/>
      <c r="K15" s="153"/>
      <c r="L15" s="153"/>
      <c r="M15" s="153"/>
      <c r="N15" s="153"/>
    </row>
    <row r="16" spans="1:14" ht="15" x14ac:dyDescent="0.25">
      <c r="A16" s="6"/>
      <c r="B16" s="12" t="s">
        <v>10</v>
      </c>
      <c r="C16" s="7" t="s">
        <v>6</v>
      </c>
      <c r="D16" s="27">
        <f>D13+D14+D15</f>
        <v>50450.83</v>
      </c>
      <c r="E16" s="6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</row>
    <row r="23" spans="1:14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55.5" customHeight="1" x14ac:dyDescent="0.2">
      <c r="A24" s="22"/>
      <c r="B24" s="25" t="s">
        <v>20</v>
      </c>
      <c r="C24" s="26" t="s">
        <v>6</v>
      </c>
      <c r="D24" s="216">
        <f>D25+D26+D27</f>
        <v>17934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87" customHeight="1" x14ac:dyDescent="0.2">
      <c r="A25" s="22"/>
      <c r="B25" s="28" t="s">
        <v>21</v>
      </c>
      <c r="C25" s="29"/>
      <c r="D25" s="204">
        <v>8870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117" customHeight="1" x14ac:dyDescent="0.2">
      <c r="A26" s="30"/>
      <c r="B26" s="28" t="s">
        <v>22</v>
      </c>
      <c r="C26" s="29"/>
      <c r="D26" s="204">
        <v>9064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2.5" x14ac:dyDescent="0.2">
      <c r="A27" s="31"/>
      <c r="B27" s="40" t="s">
        <v>23</v>
      </c>
      <c r="C27" s="29"/>
      <c r="D27" s="204">
        <v>0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ht="25.5" x14ac:dyDescent="0.2">
      <c r="A28" s="22"/>
      <c r="B28" s="25" t="s">
        <v>24</v>
      </c>
      <c r="C28" s="26" t="s">
        <v>6</v>
      </c>
      <c r="D28" s="216">
        <f>D29+D30</f>
        <v>0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33"/>
      <c r="B29" s="70" t="s">
        <v>25</v>
      </c>
      <c r="C29" s="35"/>
      <c r="D29" s="204">
        <v>0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x14ac:dyDescent="0.2">
      <c r="A30" s="22"/>
      <c r="B30" s="70" t="s">
        <v>26</v>
      </c>
      <c r="C30" s="35"/>
      <c r="D30" s="204">
        <v>0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42.75" customHeight="1" x14ac:dyDescent="0.2">
      <c r="A31" s="22" t="s">
        <v>27</v>
      </c>
      <c r="B31" s="25" t="s">
        <v>28</v>
      </c>
      <c r="C31" s="36" t="s">
        <v>6</v>
      </c>
      <c r="D31" s="216">
        <f>D32+D33</f>
        <v>1732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78" customHeight="1" x14ac:dyDescent="0.2">
      <c r="A32" s="37"/>
      <c r="B32" s="28" t="s">
        <v>29</v>
      </c>
      <c r="C32" s="29"/>
      <c r="D32" s="204">
        <v>1732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23.1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39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33" customHeight="1" x14ac:dyDescent="0.2">
      <c r="A35" s="33"/>
      <c r="B35" s="40" t="s">
        <v>33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4" customHeight="1" x14ac:dyDescent="0.2">
      <c r="A36" s="33"/>
      <c r="B36" s="38" t="s">
        <v>89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24" customHeight="1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ht="17.25" customHeight="1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7035.43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ht="15" customHeight="1" x14ac:dyDescent="0.2">
      <c r="A39" s="42"/>
      <c r="B39" s="43" t="s">
        <v>38</v>
      </c>
      <c r="C39" s="44"/>
      <c r="D39" s="204">
        <v>897.12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ht="24" customHeight="1" x14ac:dyDescent="0.2">
      <c r="A40" s="42"/>
      <c r="B40" s="43" t="s">
        <v>39</v>
      </c>
      <c r="C40" s="44"/>
      <c r="D40" s="204">
        <v>2275.5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ht="14.1" customHeight="1" x14ac:dyDescent="0.2">
      <c r="A41" s="42"/>
      <c r="B41" s="45" t="s">
        <v>40</v>
      </c>
      <c r="C41" s="44"/>
      <c r="D41" s="204">
        <v>2935.04</v>
      </c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ht="4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ht="13.5" customHeight="1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ht="15" customHeight="1" x14ac:dyDescent="0.2">
      <c r="A44" s="42"/>
      <c r="B44" s="47" t="s">
        <v>91</v>
      </c>
      <c r="C44" s="44"/>
      <c r="D44" s="204">
        <v>376.71</v>
      </c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">
      <c r="A45" s="29"/>
      <c r="B45" s="47" t="s">
        <v>92</v>
      </c>
      <c r="C45" s="44"/>
      <c r="D45" s="204">
        <v>318.56</v>
      </c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21.95" customHeight="1" x14ac:dyDescent="0.2">
      <c r="A46" s="42"/>
      <c r="B46" s="208" t="s">
        <v>266</v>
      </c>
      <c r="C46" s="44"/>
      <c r="D46" s="204">
        <v>232.5</v>
      </c>
      <c r="E46" s="6"/>
      <c r="F46" s="154"/>
      <c r="G46" s="153"/>
      <c r="H46" s="153"/>
      <c r="I46" s="153"/>
      <c r="J46" s="153"/>
      <c r="K46" s="153"/>
      <c r="L46" s="153"/>
      <c r="M46" s="153"/>
      <c r="N46" s="153"/>
    </row>
    <row r="47" spans="1:14" ht="42" customHeight="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5.5" x14ac:dyDescent="0.2">
      <c r="A49" s="31"/>
      <c r="B49" s="51" t="s">
        <v>49</v>
      </c>
      <c r="C49" s="20" t="s">
        <v>6</v>
      </c>
      <c r="D49" s="216">
        <f>D50+D51+D52</f>
        <v>34828.31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34828.31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33" t="s">
        <v>60</v>
      </c>
      <c r="B53" s="210" t="s">
        <v>252</v>
      </c>
      <c r="C53" s="12" t="s">
        <v>6</v>
      </c>
      <c r="D53" s="204">
        <v>1528.4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x14ac:dyDescent="0.2">
      <c r="A54" s="31" t="s">
        <v>62</v>
      </c>
      <c r="B54" s="107" t="s">
        <v>260</v>
      </c>
      <c r="C54" s="7" t="s">
        <v>6</v>
      </c>
      <c r="D54" s="216">
        <v>5250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ht="33.75" x14ac:dyDescent="0.2">
      <c r="A55" s="31"/>
      <c r="B55" s="54" t="s">
        <v>63</v>
      </c>
      <c r="C55" s="55"/>
      <c r="D55" s="216"/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x14ac:dyDescent="0.2">
      <c r="A56" s="31" t="s">
        <v>64</v>
      </c>
      <c r="B56" s="103" t="s">
        <v>153</v>
      </c>
      <c r="C56" s="55" t="s">
        <v>6</v>
      </c>
      <c r="D56" s="216">
        <v>0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ht="15" x14ac:dyDescent="0.25">
      <c r="A57" s="31" t="s">
        <v>66</v>
      </c>
      <c r="B57" s="58" t="s">
        <v>154</v>
      </c>
      <c r="C57" s="55" t="s">
        <v>6</v>
      </c>
      <c r="D57" s="216">
        <v>34386.76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ht="15" x14ac:dyDescent="0.25">
      <c r="A58" s="31" t="s">
        <v>68</v>
      </c>
      <c r="B58" s="58" t="s">
        <v>69</v>
      </c>
      <c r="C58" s="55" t="s">
        <v>6</v>
      </c>
      <c r="D58" s="218">
        <f>D16*6%</f>
        <v>3027.0497999999998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31"/>
      <c r="B59" s="59" t="s">
        <v>70</v>
      </c>
      <c r="C59" s="55" t="s">
        <v>6</v>
      </c>
      <c r="D59" s="218">
        <f>D58+D57+D56+D54+D53+D49+D38+D34+D31+D28+D24</f>
        <v>105721.9498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0"/>
      <c r="B60" s="61"/>
      <c r="C60" s="62"/>
      <c r="D60" s="156"/>
      <c r="E60" s="159"/>
      <c r="G60" s="153"/>
      <c r="H60" s="153"/>
      <c r="I60" s="153"/>
      <c r="J60" s="153"/>
      <c r="K60" s="153"/>
      <c r="L60" s="153"/>
      <c r="M60" s="153"/>
      <c r="N60" s="153"/>
    </row>
    <row r="61" spans="1:14" ht="15.75" x14ac:dyDescent="0.25">
      <c r="A61" s="60"/>
      <c r="B61" s="61" t="s">
        <v>76</v>
      </c>
      <c r="C61" s="62"/>
      <c r="D61" s="159">
        <f>D6+D16-D59</f>
        <v>-291127.80979999999</v>
      </c>
      <c r="E61" s="159"/>
      <c r="G61" s="153"/>
      <c r="H61" s="153"/>
      <c r="I61" s="153"/>
      <c r="J61" s="153"/>
      <c r="K61" s="153"/>
      <c r="L61" s="153"/>
      <c r="M61" s="153"/>
      <c r="N61" s="153"/>
    </row>
    <row r="62" spans="1:14" ht="15.75" x14ac:dyDescent="0.25">
      <c r="B62" s="61"/>
      <c r="C62" s="62"/>
      <c r="D62" s="65"/>
      <c r="G62" s="153"/>
      <c r="H62" s="153"/>
      <c r="I62" s="153"/>
      <c r="J62" s="153"/>
      <c r="K62" s="153"/>
      <c r="L62" s="153"/>
      <c r="M62" s="153"/>
      <c r="N62" s="153"/>
    </row>
    <row r="63" spans="1:14" x14ac:dyDescent="0.2">
      <c r="B63" s="66" t="s">
        <v>72</v>
      </c>
      <c r="C63" s="66"/>
      <c r="D63" s="66" t="s">
        <v>73</v>
      </c>
      <c r="G63" s="153"/>
      <c r="H63" s="153"/>
      <c r="I63" s="153"/>
      <c r="J63" s="153"/>
      <c r="K63" s="153"/>
      <c r="L63" s="153"/>
      <c r="M63" s="153"/>
      <c r="N63" s="153"/>
    </row>
    <row r="64" spans="1:14" x14ac:dyDescent="0.2">
      <c r="B64" s="66" t="s">
        <v>74</v>
      </c>
      <c r="C64" s="66"/>
      <c r="D64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46" workbookViewId="0">
      <selection activeCell="G21" sqref="G21:S65"/>
    </sheetView>
  </sheetViews>
  <sheetFormatPr defaultColWidth="9" defaultRowHeight="14.25" x14ac:dyDescent="0.2"/>
  <cols>
    <col min="1" max="1" width="6.85546875" style="1" customWidth="1"/>
    <col min="2" max="2" width="37.5703125" style="1" customWidth="1"/>
    <col min="3" max="3" width="9" style="1"/>
    <col min="4" max="4" width="11.7109375" style="1" customWidth="1"/>
    <col min="5" max="5" width="10.7109375" style="1" customWidth="1"/>
    <col min="6" max="6" width="9" style="1"/>
    <col min="7" max="7" width="10.140625" style="1" customWidth="1"/>
    <col min="8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239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A5" s="168"/>
      <c r="B5" s="163" t="s">
        <v>182</v>
      </c>
      <c r="C5" s="163"/>
      <c r="D5" s="163">
        <v>380005.79</v>
      </c>
      <c r="E5" s="168"/>
    </row>
    <row r="6" spans="1:16" x14ac:dyDescent="0.2">
      <c r="A6" s="160"/>
      <c r="B6" s="164" t="s">
        <v>211</v>
      </c>
      <c r="C6" s="167" t="s">
        <v>6</v>
      </c>
      <c r="D6" s="170">
        <v>90403.51</v>
      </c>
      <c r="E6" s="160"/>
    </row>
    <row r="7" spans="1:16" x14ac:dyDescent="0.2">
      <c r="A7" s="160"/>
      <c r="B7" s="164"/>
      <c r="C7" s="167"/>
      <c r="D7" s="170"/>
      <c r="E7" s="160"/>
    </row>
    <row r="8" spans="1:16" x14ac:dyDescent="0.2">
      <c r="A8" s="160"/>
      <c r="B8" s="165" t="s">
        <v>2</v>
      </c>
      <c r="C8" s="167" t="s">
        <v>3</v>
      </c>
      <c r="D8" s="171">
        <v>5570.3</v>
      </c>
      <c r="E8" s="160"/>
    </row>
    <row r="9" spans="1:16" x14ac:dyDescent="0.2">
      <c r="A9" s="160"/>
      <c r="B9" s="165" t="s">
        <v>4</v>
      </c>
      <c r="C9" s="167" t="s">
        <v>3</v>
      </c>
      <c r="D9" s="171">
        <v>4438.2</v>
      </c>
      <c r="E9" s="160"/>
    </row>
    <row r="10" spans="1:16" x14ac:dyDescent="0.2">
      <c r="A10" s="160"/>
      <c r="B10" s="166" t="s">
        <v>5</v>
      </c>
      <c r="C10" s="164" t="s">
        <v>6</v>
      </c>
      <c r="D10" s="170">
        <v>860814.94</v>
      </c>
      <c r="E10" s="160"/>
    </row>
    <row r="11" spans="1:16" x14ac:dyDescent="0.2">
      <c r="A11" s="160"/>
      <c r="B11" s="164"/>
      <c r="C11" s="164"/>
      <c r="D11" s="171"/>
      <c r="E11" s="160"/>
    </row>
    <row r="12" spans="1:16" x14ac:dyDescent="0.2">
      <c r="A12" s="160"/>
      <c r="B12" s="166" t="s">
        <v>7</v>
      </c>
      <c r="C12" s="164"/>
      <c r="D12" s="171"/>
      <c r="E12" s="160"/>
    </row>
    <row r="13" spans="1:16" x14ac:dyDescent="0.2">
      <c r="A13" s="160">
        <v>1</v>
      </c>
      <c r="B13" s="167" t="s">
        <v>208</v>
      </c>
      <c r="C13" s="167" t="s">
        <v>6</v>
      </c>
      <c r="D13" s="171">
        <v>699578.33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160">
        <v>2</v>
      </c>
      <c r="B14" s="167" t="s">
        <v>9</v>
      </c>
      <c r="C14" s="167" t="s">
        <v>6</v>
      </c>
      <c r="D14" s="171">
        <f>6000+18000</f>
        <v>24000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160"/>
      <c r="B15" s="166" t="s">
        <v>10</v>
      </c>
      <c r="C15" s="164" t="s">
        <v>6</v>
      </c>
      <c r="D15" s="170">
        <f>D13+D14</f>
        <v>723578.33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51" x14ac:dyDescent="0.2">
      <c r="A23" s="22"/>
      <c r="B23" s="25" t="s">
        <v>20</v>
      </c>
      <c r="C23" s="26" t="s">
        <v>6</v>
      </c>
      <c r="D23" s="216">
        <f>D24+D25+D26</f>
        <v>152578.63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95.25" customHeight="1" x14ac:dyDescent="0.2">
      <c r="A24" s="22"/>
      <c r="B24" s="28" t="s">
        <v>21</v>
      </c>
      <c r="C24" s="29"/>
      <c r="D24" s="204">
        <v>73111.63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17.75" customHeight="1" x14ac:dyDescent="0.2">
      <c r="A25" s="30"/>
      <c r="B25" s="28" t="s">
        <v>22</v>
      </c>
      <c r="C25" s="29"/>
      <c r="D25" s="204">
        <v>70946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2.5" x14ac:dyDescent="0.2">
      <c r="A26" s="31"/>
      <c r="B26" s="40" t="s">
        <v>23</v>
      </c>
      <c r="C26" s="29"/>
      <c r="D26" s="204">
        <v>8521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 x14ac:dyDescent="0.2">
      <c r="A27" s="22"/>
      <c r="B27" s="25" t="s">
        <v>24</v>
      </c>
      <c r="C27" s="26" t="s">
        <v>6</v>
      </c>
      <c r="D27" s="216">
        <f>D28+D29</f>
        <v>6465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">
      <c r="A28" s="33"/>
      <c r="B28" s="70" t="s">
        <v>25</v>
      </c>
      <c r="C28" s="35"/>
      <c r="D28" s="204">
        <v>5400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ht="15.75" customHeight="1" x14ac:dyDescent="0.2">
      <c r="A29" s="22"/>
      <c r="B29" s="70" t="s">
        <v>26</v>
      </c>
      <c r="C29" s="35"/>
      <c r="D29" s="204">
        <v>1065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38.1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29100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82.5" customHeight="1" x14ac:dyDescent="0.2">
      <c r="A31" s="37"/>
      <c r="B31" s="28" t="s">
        <v>29</v>
      </c>
      <c r="C31" s="29"/>
      <c r="D31" s="204">
        <v>29100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22.5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56.1" customHeight="1" x14ac:dyDescent="0.2">
      <c r="A33" s="37" t="s">
        <v>31</v>
      </c>
      <c r="B33" s="25" t="s">
        <v>32</v>
      </c>
      <c r="C33" s="12" t="s">
        <v>6</v>
      </c>
      <c r="D33" s="216">
        <f>D34+D35+D36</f>
        <v>4255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33" customHeight="1" x14ac:dyDescent="0.2">
      <c r="A34" s="33"/>
      <c r="B34" s="40" t="s">
        <v>33</v>
      </c>
      <c r="C34" s="39"/>
      <c r="D34" s="204">
        <v>2089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2.5" x14ac:dyDescent="0.2">
      <c r="A35" s="33"/>
      <c r="B35" s="38" t="s">
        <v>89</v>
      </c>
      <c r="C35" s="39"/>
      <c r="D35" s="204">
        <v>2166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15.75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66636.62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">
      <c r="A38" s="42"/>
      <c r="B38" s="43" t="s">
        <v>38</v>
      </c>
      <c r="C38" s="44"/>
      <c r="D38" s="204">
        <v>3071.88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2.5" x14ac:dyDescent="0.2">
      <c r="A39" s="42"/>
      <c r="B39" s="43" t="s">
        <v>39</v>
      </c>
      <c r="C39" s="44"/>
      <c r="D39" s="204">
        <v>8512.5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5" t="s">
        <v>40</v>
      </c>
      <c r="C40" s="44"/>
      <c r="D40" s="204">
        <v>20727.25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45" x14ac:dyDescent="0.2">
      <c r="A41" s="31"/>
      <c r="B41" s="46" t="s">
        <v>41</v>
      </c>
      <c r="C41" s="44"/>
      <c r="D41" s="204"/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7" t="s">
        <v>90</v>
      </c>
      <c r="C42" s="44"/>
      <c r="D42" s="204">
        <v>0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91</v>
      </c>
      <c r="C43" s="44"/>
      <c r="D43" s="204">
        <v>628.15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29"/>
      <c r="B44" s="47" t="s">
        <v>92</v>
      </c>
      <c r="C44" s="44"/>
      <c r="D44" s="204">
        <v>2249.0700000000002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t="22.5" x14ac:dyDescent="0.2">
      <c r="A45" s="42"/>
      <c r="B45" s="208" t="s">
        <v>266</v>
      </c>
      <c r="C45" s="44"/>
      <c r="D45" s="204">
        <v>31447.77</v>
      </c>
      <c r="E45" s="6"/>
      <c r="F45" s="154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44.1" customHeight="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5.5" x14ac:dyDescent="0.2">
      <c r="A48" s="31"/>
      <c r="B48" s="51" t="s">
        <v>49</v>
      </c>
      <c r="C48" s="20" t="s">
        <v>6</v>
      </c>
      <c r="D48" s="216">
        <f>D49+D50+D51</f>
        <v>103369.65999999999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2.5" x14ac:dyDescent="0.2">
      <c r="A49" s="33"/>
      <c r="B49" s="28" t="s">
        <v>50</v>
      </c>
      <c r="C49" s="39"/>
      <c r="D49" s="204">
        <v>99369.76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x14ac:dyDescent="0.2">
      <c r="A50" s="31"/>
      <c r="B50" s="52" t="s">
        <v>51</v>
      </c>
      <c r="C50" s="39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2.5" x14ac:dyDescent="0.2">
      <c r="A51" s="31"/>
      <c r="B51" s="52" t="s">
        <v>52</v>
      </c>
      <c r="C51" s="39"/>
      <c r="D51" s="204">
        <v>3999.9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33" t="s">
        <v>60</v>
      </c>
      <c r="B52" s="210" t="s">
        <v>252</v>
      </c>
      <c r="C52" s="12" t="s">
        <v>6</v>
      </c>
      <c r="D52" s="216">
        <v>1079.71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8" customHeight="1" x14ac:dyDescent="0.2">
      <c r="A53" s="31" t="s">
        <v>62</v>
      </c>
      <c r="B53" s="107" t="s">
        <v>260</v>
      </c>
      <c r="C53" s="7" t="s">
        <v>6</v>
      </c>
      <c r="D53" s="216">
        <v>81090.36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38.1" customHeight="1" x14ac:dyDescent="0.2">
      <c r="A54" s="31"/>
      <c r="B54" s="54" t="s">
        <v>63</v>
      </c>
      <c r="C54" s="55"/>
      <c r="D54" s="216"/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54" customHeight="1" x14ac:dyDescent="0.2">
      <c r="A55" s="31" t="s">
        <v>64</v>
      </c>
      <c r="B55" s="56" t="s">
        <v>65</v>
      </c>
      <c r="C55" s="55" t="s">
        <v>6</v>
      </c>
      <c r="D55" s="216">
        <v>69990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62.1" customHeight="1" x14ac:dyDescent="0.2">
      <c r="A56" s="31" t="s">
        <v>66</v>
      </c>
      <c r="B56" s="57" t="s">
        <v>98</v>
      </c>
      <c r="C56" s="55" t="s">
        <v>6</v>
      </c>
      <c r="D56" s="216">
        <f>166342.31+6442.25</f>
        <v>172784.56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15" x14ac:dyDescent="0.25">
      <c r="A57" s="31" t="s">
        <v>68</v>
      </c>
      <c r="B57" s="58" t="s">
        <v>69</v>
      </c>
      <c r="C57" s="55" t="s">
        <v>6</v>
      </c>
      <c r="D57" s="218">
        <f>D15*6%</f>
        <v>43414.699799999995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31"/>
      <c r="B58" s="59" t="s">
        <v>70</v>
      </c>
      <c r="C58" s="55" t="s">
        <v>6</v>
      </c>
      <c r="D58" s="218">
        <f>D57+D56+D55+D53+D52+D48+D37+D33+D30+D27+D23</f>
        <v>730764.23979999998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60"/>
      <c r="B59" s="61"/>
      <c r="C59" s="102"/>
      <c r="D59" s="156"/>
      <c r="E59" s="158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5.75" x14ac:dyDescent="0.25">
      <c r="A60" s="60"/>
      <c r="B60" s="61" t="s">
        <v>76</v>
      </c>
      <c r="C60" s="62"/>
      <c r="D60" s="159">
        <f>D6+D15-D58</f>
        <v>83217.600199999986</v>
      </c>
      <c r="E60" s="15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B61" s="61"/>
      <c r="C61" s="62"/>
      <c r="D61" s="156"/>
      <c r="E61" s="156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B62" s="61"/>
      <c r="C62" s="62"/>
      <c r="D62" s="156"/>
      <c r="E62" s="156"/>
      <c r="F62" s="6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.75" x14ac:dyDescent="0.25">
      <c r="B63" s="61"/>
      <c r="C63" s="62"/>
      <c r="D63" s="64"/>
      <c r="E63" s="63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.75" x14ac:dyDescent="0.25">
      <c r="B64" s="61"/>
      <c r="C64" s="62"/>
      <c r="D64" s="65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2:16" x14ac:dyDescent="0.2">
      <c r="B65" s="1" t="s">
        <v>72</v>
      </c>
      <c r="D65" s="1" t="s">
        <v>73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2:16" x14ac:dyDescent="0.2">
      <c r="B66" s="1" t="s">
        <v>74</v>
      </c>
      <c r="D66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49" workbookViewId="0">
      <selection activeCell="G22" sqref="G22:S71"/>
    </sheetView>
  </sheetViews>
  <sheetFormatPr defaultColWidth="9" defaultRowHeight="14.25" x14ac:dyDescent="0.2"/>
  <cols>
    <col min="1" max="1" width="5.85546875" style="1" customWidth="1"/>
    <col min="2" max="2" width="39" style="1" customWidth="1"/>
    <col min="3" max="3" width="9" style="1"/>
    <col min="4" max="4" width="11.7109375" style="1" customWidth="1"/>
    <col min="5" max="5" width="12.7109375" style="1" customWidth="1"/>
    <col min="6" max="6" width="9" style="1"/>
    <col min="7" max="7" width="10.85546875" style="1" customWidth="1"/>
    <col min="8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240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A5" s="168"/>
      <c r="B5" s="163" t="s">
        <v>182</v>
      </c>
      <c r="C5" s="163"/>
      <c r="D5" s="163">
        <v>288682.52</v>
      </c>
      <c r="E5" s="168"/>
    </row>
    <row r="6" spans="1:16" x14ac:dyDescent="0.2">
      <c r="A6" s="160"/>
      <c r="B6" s="164" t="s">
        <v>211</v>
      </c>
      <c r="C6" s="164"/>
      <c r="D6" s="170">
        <v>309930.25</v>
      </c>
      <c r="E6" s="160"/>
    </row>
    <row r="7" spans="1:16" x14ac:dyDescent="0.2">
      <c r="A7" s="160"/>
      <c r="B7" s="164"/>
      <c r="C7" s="164"/>
      <c r="D7" s="170"/>
      <c r="E7" s="160"/>
    </row>
    <row r="8" spans="1:16" x14ac:dyDescent="0.2">
      <c r="A8" s="160"/>
      <c r="B8" s="165" t="s">
        <v>2</v>
      </c>
      <c r="C8" s="164"/>
      <c r="D8" s="171">
        <v>3980.8</v>
      </c>
      <c r="E8" s="160"/>
    </row>
    <row r="9" spans="1:16" x14ac:dyDescent="0.2">
      <c r="A9" s="160"/>
      <c r="B9" s="165" t="s">
        <v>4</v>
      </c>
      <c r="C9" s="164"/>
      <c r="D9" s="171">
        <v>2534.6</v>
      </c>
      <c r="E9" s="160"/>
    </row>
    <row r="10" spans="1:16" x14ac:dyDescent="0.2">
      <c r="A10" s="160"/>
      <c r="B10" s="166" t="s">
        <v>5</v>
      </c>
      <c r="C10" s="164"/>
      <c r="D10" s="170">
        <v>611339.37</v>
      </c>
      <c r="E10" s="160"/>
    </row>
    <row r="11" spans="1:16" x14ac:dyDescent="0.2">
      <c r="A11" s="160"/>
      <c r="B11" s="164"/>
      <c r="C11" s="164"/>
      <c r="D11" s="171"/>
      <c r="E11" s="160"/>
    </row>
    <row r="12" spans="1:16" x14ac:dyDescent="0.2">
      <c r="A12" s="160"/>
      <c r="B12" s="166" t="s">
        <v>7</v>
      </c>
      <c r="C12" s="164"/>
      <c r="D12" s="171"/>
      <c r="E12" s="160"/>
    </row>
    <row r="13" spans="1:16" x14ac:dyDescent="0.2">
      <c r="A13" s="160">
        <v>1</v>
      </c>
      <c r="B13" s="167" t="s">
        <v>84</v>
      </c>
      <c r="C13" s="164"/>
      <c r="D13" s="171">
        <v>484297.45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160">
        <v>2</v>
      </c>
      <c r="B14" s="167" t="s">
        <v>9</v>
      </c>
      <c r="C14" s="167" t="s">
        <v>6</v>
      </c>
      <c r="D14" s="171">
        <f>3000+6300+1800+9000</f>
        <v>20100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160"/>
      <c r="B15" s="167"/>
      <c r="C15" s="167"/>
      <c r="D15" s="171"/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160"/>
      <c r="B16" s="166" t="s">
        <v>10</v>
      </c>
      <c r="C16" s="164"/>
      <c r="D16" s="170">
        <f>D13+D14</f>
        <v>504397.45</v>
      </c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160"/>
      <c r="B17" s="164"/>
      <c r="C17" s="164"/>
      <c r="D17" s="160"/>
      <c r="E17" s="160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3"/>
      <c r="B20" s="14"/>
      <c r="C20" s="14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2">
      <c r="A21" s="15" t="s">
        <v>12</v>
      </c>
      <c r="B21" s="16"/>
      <c r="C21" s="17" t="s">
        <v>117</v>
      </c>
      <c r="D21" s="73" t="s">
        <v>13</v>
      </c>
      <c r="E21" s="7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x14ac:dyDescent="0.2">
      <c r="A22" s="15" t="s">
        <v>15</v>
      </c>
      <c r="B22" s="20" t="s">
        <v>16</v>
      </c>
      <c r="C22" s="20" t="s">
        <v>118</v>
      </c>
      <c r="D22" s="19" t="s">
        <v>17</v>
      </c>
      <c r="E22" s="19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55.5" customHeight="1" x14ac:dyDescent="0.2">
      <c r="A24" s="22"/>
      <c r="B24" s="25" t="s">
        <v>20</v>
      </c>
      <c r="C24" s="26" t="s">
        <v>6</v>
      </c>
      <c r="D24" s="216">
        <f>D25+D26+D27</f>
        <v>79631.350000000006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80.25" customHeight="1" x14ac:dyDescent="0.2">
      <c r="A25" s="22"/>
      <c r="B25" s="28" t="s">
        <v>21</v>
      </c>
      <c r="C25" s="29"/>
      <c r="D25" s="204">
        <v>37414.519999999997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12.5" x14ac:dyDescent="0.2">
      <c r="A26" s="30"/>
      <c r="B26" s="28" t="s">
        <v>22</v>
      </c>
      <c r="C26" s="29"/>
      <c r="D26" s="204">
        <v>37350.400000000001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2.5" x14ac:dyDescent="0.2">
      <c r="A27" s="31"/>
      <c r="B27" s="40" t="s">
        <v>23</v>
      </c>
      <c r="C27" s="69"/>
      <c r="D27" s="204">
        <v>4866.43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5.5" x14ac:dyDescent="0.2">
      <c r="A28" s="22"/>
      <c r="B28" s="25" t="s">
        <v>24</v>
      </c>
      <c r="C28" s="26" t="s">
        <v>6</v>
      </c>
      <c r="D28" s="216">
        <f>D29+D30</f>
        <v>7316.61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33"/>
      <c r="B29" s="70" t="s">
        <v>25</v>
      </c>
      <c r="C29" s="35"/>
      <c r="D29" s="204">
        <v>6100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22"/>
      <c r="B30" s="70" t="s">
        <v>26</v>
      </c>
      <c r="C30" s="35"/>
      <c r="D30" s="204">
        <v>1216.6099999999999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38.25" x14ac:dyDescent="0.2">
      <c r="A31" s="22" t="s">
        <v>27</v>
      </c>
      <c r="B31" s="25" t="s">
        <v>28</v>
      </c>
      <c r="C31" s="36" t="s">
        <v>6</v>
      </c>
      <c r="D31" s="216">
        <f>D32+D33</f>
        <v>22811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84" customHeight="1" x14ac:dyDescent="0.2">
      <c r="A32" s="37"/>
      <c r="B32" s="28" t="s">
        <v>29</v>
      </c>
      <c r="C32" s="29"/>
      <c r="D32" s="204">
        <v>22811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26.1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42.95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3842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33.75" x14ac:dyDescent="0.2">
      <c r="A35" s="33"/>
      <c r="B35" s="40" t="s">
        <v>33</v>
      </c>
      <c r="C35" s="39"/>
      <c r="D35" s="204">
        <v>1844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89</v>
      </c>
      <c r="C36" s="39"/>
      <c r="D36" s="204">
        <v>1998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20" t="s">
        <v>6</v>
      </c>
      <c r="D38" s="216">
        <f>D39+D40+D41+D43+D44+D45</f>
        <v>35159.43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2">
      <c r="A39" s="42"/>
      <c r="B39" s="43" t="s">
        <v>38</v>
      </c>
      <c r="C39" s="44"/>
      <c r="D39" s="204">
        <v>1732.92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t="22.5" x14ac:dyDescent="0.2">
      <c r="A40" s="42"/>
      <c r="B40" s="43" t="s">
        <v>39</v>
      </c>
      <c r="C40" s="44"/>
      <c r="D40" s="204">
        <v>5862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x14ac:dyDescent="0.2">
      <c r="A41" s="42"/>
      <c r="B41" s="45" t="s">
        <v>40</v>
      </c>
      <c r="C41" s="44"/>
      <c r="D41" s="204">
        <v>11833.91</v>
      </c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45" x14ac:dyDescent="0.2">
      <c r="A42" s="31"/>
      <c r="B42" s="46" t="s">
        <v>41</v>
      </c>
      <c r="C42" s="44"/>
      <c r="D42" s="204"/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208" t="s">
        <v>267</v>
      </c>
      <c r="C43" s="44"/>
      <c r="D43" s="204">
        <v>10000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91</v>
      </c>
      <c r="C44" s="44"/>
      <c r="D44" s="204">
        <v>546.17999999999995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29"/>
      <c r="B45" s="92" t="s">
        <v>92</v>
      </c>
      <c r="C45" s="44"/>
      <c r="D45" s="204">
        <v>5184.42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38.25" x14ac:dyDescent="0.2">
      <c r="A46" s="12" t="s">
        <v>46</v>
      </c>
      <c r="B46" s="48" t="s">
        <v>47</v>
      </c>
      <c r="C46" s="49"/>
      <c r="D46" s="204"/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5.5" x14ac:dyDescent="0.2">
      <c r="A48" s="31"/>
      <c r="B48" s="51" t="s">
        <v>49</v>
      </c>
      <c r="C48" s="20" t="s">
        <v>6</v>
      </c>
      <c r="D48" s="216">
        <f>D49+D50+D51</f>
        <v>68797.7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2.5" x14ac:dyDescent="0.2">
      <c r="A49" s="33"/>
      <c r="B49" s="28" t="s">
        <v>50</v>
      </c>
      <c r="C49" s="39"/>
      <c r="D49" s="204">
        <v>67940.72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x14ac:dyDescent="0.2">
      <c r="A50" s="31"/>
      <c r="B50" s="52" t="s">
        <v>51</v>
      </c>
      <c r="C50" s="39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2.5" x14ac:dyDescent="0.2">
      <c r="A51" s="31"/>
      <c r="B51" s="52" t="s">
        <v>52</v>
      </c>
      <c r="C51" s="39"/>
      <c r="D51" s="204">
        <v>856.98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49"/>
      <c r="B52" s="76" t="s">
        <v>168</v>
      </c>
      <c r="C52" s="49"/>
      <c r="D52" s="204"/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17"/>
      <c r="B53" s="77" t="s">
        <v>54</v>
      </c>
      <c r="C53" s="20" t="s">
        <v>6</v>
      </c>
      <c r="D53" s="216">
        <f>D54+D55+D56+D57+D58</f>
        <v>80042.61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17"/>
      <c r="B54" s="78" t="s">
        <v>55</v>
      </c>
      <c r="C54" s="79"/>
      <c r="D54" s="204">
        <v>26452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17"/>
      <c r="B55" s="78" t="s">
        <v>56</v>
      </c>
      <c r="C55" s="39"/>
      <c r="D55" s="204">
        <v>41692.449999999997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2">
      <c r="A56" s="17"/>
      <c r="B56" s="78" t="s">
        <v>57</v>
      </c>
      <c r="C56" s="79"/>
      <c r="D56" s="204">
        <v>4563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">
      <c r="A57" s="17"/>
      <c r="B57" s="78" t="s">
        <v>59</v>
      </c>
      <c r="C57" s="39"/>
      <c r="D57" s="204">
        <v>0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17"/>
      <c r="B58" s="28" t="s">
        <v>97</v>
      </c>
      <c r="C58" s="79"/>
      <c r="D58" s="204">
        <v>7335.16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3" t="s">
        <v>60</v>
      </c>
      <c r="B59" s="210" t="s">
        <v>252</v>
      </c>
      <c r="C59" s="12" t="s">
        <v>6</v>
      </c>
      <c r="D59" s="216">
        <v>6162.44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x14ac:dyDescent="0.2">
      <c r="A60" s="31" t="s">
        <v>62</v>
      </c>
      <c r="B60" s="107" t="s">
        <v>260</v>
      </c>
      <c r="C60" s="7" t="s">
        <v>6</v>
      </c>
      <c r="D60" s="216">
        <v>41984.32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33.75" x14ac:dyDescent="0.2">
      <c r="A61" s="31"/>
      <c r="B61" s="54" t="s">
        <v>63</v>
      </c>
      <c r="C61" s="55"/>
      <c r="D61" s="216"/>
      <c r="E61" s="6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48" x14ac:dyDescent="0.2">
      <c r="A62" s="31" t="s">
        <v>64</v>
      </c>
      <c r="B62" s="56" t="s">
        <v>65</v>
      </c>
      <c r="C62" s="55" t="s">
        <v>6</v>
      </c>
      <c r="D62" s="216">
        <f>38627+1180</f>
        <v>39807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60" x14ac:dyDescent="0.2">
      <c r="A63" s="31" t="s">
        <v>66</v>
      </c>
      <c r="B63" s="57" t="s">
        <v>98</v>
      </c>
      <c r="C63" s="55" t="s">
        <v>6</v>
      </c>
      <c r="D63" s="216">
        <f>94235.17+4603.32</f>
        <v>98838.489999999991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" x14ac:dyDescent="0.25">
      <c r="A64" s="31" t="s">
        <v>68</v>
      </c>
      <c r="B64" s="58" t="s">
        <v>69</v>
      </c>
      <c r="C64" s="55" t="s">
        <v>6</v>
      </c>
      <c r="D64" s="216">
        <f>D16*6%</f>
        <v>30263.846999999998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">
      <c r="A65" s="31"/>
      <c r="B65" s="59" t="s">
        <v>70</v>
      </c>
      <c r="C65" s="55" t="s">
        <v>6</v>
      </c>
      <c r="D65" s="218">
        <f>D64+D63+D62+D60+D59+D53+D48+D38+D34+D31+D28+D24</f>
        <v>514656.79700000002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5.75" x14ac:dyDescent="0.25">
      <c r="A66" s="60"/>
      <c r="B66" s="61"/>
      <c r="C66" s="62"/>
      <c r="D66" s="156"/>
      <c r="E66" s="159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5.75" x14ac:dyDescent="0.25">
      <c r="A67" s="60"/>
      <c r="B67" s="243" t="s">
        <v>116</v>
      </c>
      <c r="C67" s="62"/>
      <c r="D67" s="159">
        <f>D6+D16-D65</f>
        <v>299670.90299999993</v>
      </c>
      <c r="E67" s="159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5.75" x14ac:dyDescent="0.25">
      <c r="B68" s="61"/>
      <c r="C68" s="62"/>
      <c r="D68" s="156"/>
      <c r="E68" s="159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.75" x14ac:dyDescent="0.25">
      <c r="B69" s="61"/>
      <c r="C69" s="62"/>
      <c r="D69" s="156"/>
      <c r="E69" s="159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5.75" x14ac:dyDescent="0.25">
      <c r="B70" s="61"/>
      <c r="C70" s="62"/>
      <c r="D70" s="64"/>
      <c r="E70" s="63"/>
      <c r="F70" s="64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5.75" x14ac:dyDescent="0.25">
      <c r="B71" s="61"/>
      <c r="C71" s="62"/>
      <c r="D71" s="65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15" x14ac:dyDescent="0.25">
      <c r="B72" s="66" t="s">
        <v>72</v>
      </c>
      <c r="C72" s="66"/>
      <c r="D72" s="66" t="s">
        <v>73</v>
      </c>
      <c r="E72" s="101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x14ac:dyDescent="0.2">
      <c r="B73" s="66" t="s">
        <v>74</v>
      </c>
      <c r="C73" s="66"/>
      <c r="D73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49" workbookViewId="0">
      <selection activeCell="G68" sqref="G68"/>
    </sheetView>
  </sheetViews>
  <sheetFormatPr defaultColWidth="9" defaultRowHeight="14.25" x14ac:dyDescent="0.2"/>
  <cols>
    <col min="1" max="1" width="6.140625" style="1" customWidth="1"/>
    <col min="2" max="2" width="37.7109375" style="1" customWidth="1"/>
    <col min="3" max="3" width="9" style="1"/>
    <col min="4" max="4" width="14.140625" style="1" customWidth="1"/>
    <col min="5" max="5" width="12" style="1" customWidth="1"/>
    <col min="6" max="6" width="9" style="1"/>
    <col min="7" max="7" width="11" style="1" customWidth="1"/>
    <col min="8" max="8" width="10.28515625" style="1" customWidth="1"/>
    <col min="9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241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A5" s="168"/>
      <c r="B5" s="163" t="s">
        <v>182</v>
      </c>
      <c r="C5" s="163"/>
      <c r="D5" s="163">
        <v>188923.96</v>
      </c>
      <c r="E5" s="168"/>
    </row>
    <row r="6" spans="1:16" x14ac:dyDescent="0.2">
      <c r="A6" s="160"/>
      <c r="B6" s="164" t="s">
        <v>211</v>
      </c>
      <c r="C6" s="167" t="s">
        <v>6</v>
      </c>
      <c r="D6" s="170">
        <v>-43557</v>
      </c>
      <c r="E6" s="160"/>
    </row>
    <row r="7" spans="1:16" x14ac:dyDescent="0.2">
      <c r="A7" s="160"/>
      <c r="B7" s="164"/>
      <c r="C7" s="167"/>
      <c r="D7" s="170"/>
      <c r="E7" s="160"/>
    </row>
    <row r="8" spans="1:16" x14ac:dyDescent="0.2">
      <c r="A8" s="160"/>
      <c r="B8" s="165" t="s">
        <v>2</v>
      </c>
      <c r="C8" s="167" t="s">
        <v>3</v>
      </c>
      <c r="D8" s="171">
        <v>3741.15</v>
      </c>
      <c r="E8" s="160"/>
    </row>
    <row r="9" spans="1:16" x14ac:dyDescent="0.2">
      <c r="A9" s="160"/>
      <c r="B9" s="165" t="s">
        <v>4</v>
      </c>
      <c r="C9" s="167" t="s">
        <v>3</v>
      </c>
      <c r="D9" s="171">
        <v>2510.94</v>
      </c>
      <c r="E9" s="160"/>
    </row>
    <row r="10" spans="1:16" x14ac:dyDescent="0.2">
      <c r="A10" s="160"/>
      <c r="B10" s="166" t="s">
        <v>5</v>
      </c>
      <c r="C10" s="164" t="s">
        <v>6</v>
      </c>
      <c r="D10" s="170">
        <v>591775.85</v>
      </c>
      <c r="E10" s="160"/>
    </row>
    <row r="11" spans="1:16" x14ac:dyDescent="0.2">
      <c r="A11" s="160"/>
      <c r="B11" s="164"/>
      <c r="C11" s="164"/>
      <c r="D11" s="171"/>
      <c r="E11" s="160"/>
    </row>
    <row r="12" spans="1:16" x14ac:dyDescent="0.2">
      <c r="A12" s="160"/>
      <c r="B12" s="166" t="s">
        <v>7</v>
      </c>
      <c r="C12" s="164"/>
      <c r="D12" s="171"/>
      <c r="E12" s="160"/>
    </row>
    <row r="13" spans="1:16" x14ac:dyDescent="0.2">
      <c r="A13" s="160">
        <v>1</v>
      </c>
      <c r="B13" s="167" t="s">
        <v>208</v>
      </c>
      <c r="C13" s="167" t="s">
        <v>6</v>
      </c>
      <c r="D13" s="171">
        <v>543928.22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160">
        <v>2</v>
      </c>
      <c r="B14" s="167" t="s">
        <v>9</v>
      </c>
      <c r="C14" s="167" t="s">
        <v>6</v>
      </c>
      <c r="D14" s="171">
        <f>3000+1800+5280+9000</f>
        <v>19080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160"/>
      <c r="B15" s="166" t="s">
        <v>10</v>
      </c>
      <c r="C15" s="164" t="s">
        <v>6</v>
      </c>
      <c r="D15" s="170">
        <f>D13+D14</f>
        <v>563008.22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51" x14ac:dyDescent="0.2">
      <c r="A23" s="22"/>
      <c r="B23" s="25" t="s">
        <v>20</v>
      </c>
      <c r="C23" s="26" t="s">
        <v>6</v>
      </c>
      <c r="D23" s="216">
        <f>D24+D25+D26</f>
        <v>85733.63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93" customHeight="1" x14ac:dyDescent="0.2">
      <c r="A24" s="22"/>
      <c r="B24" s="28" t="s">
        <v>21</v>
      </c>
      <c r="C24" s="29"/>
      <c r="D24" s="204">
        <v>43205.66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23.75" x14ac:dyDescent="0.2">
      <c r="A25" s="30"/>
      <c r="B25" s="28" t="s">
        <v>22</v>
      </c>
      <c r="C25" s="29"/>
      <c r="D25" s="204">
        <f>35240+2466.97</f>
        <v>37706.97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2.5" x14ac:dyDescent="0.2">
      <c r="A26" s="31"/>
      <c r="B26" s="40" t="s">
        <v>23</v>
      </c>
      <c r="C26" s="29"/>
      <c r="D26" s="204">
        <v>4821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 x14ac:dyDescent="0.2">
      <c r="A27" s="22"/>
      <c r="B27" s="25" t="s">
        <v>24</v>
      </c>
      <c r="C27" s="26" t="s">
        <v>6</v>
      </c>
      <c r="D27" s="216">
        <f>D28+D29</f>
        <v>7305.25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">
      <c r="A28" s="33"/>
      <c r="B28" s="70" t="s">
        <v>25</v>
      </c>
      <c r="C28" s="35"/>
      <c r="D28" s="204">
        <v>6100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22"/>
      <c r="B29" s="70" t="s">
        <v>26</v>
      </c>
      <c r="C29" s="35"/>
      <c r="D29" s="204">
        <v>1205.25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38.1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18640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78.75" x14ac:dyDescent="0.2">
      <c r="A31" s="37"/>
      <c r="B31" s="28" t="s">
        <v>29</v>
      </c>
      <c r="C31" s="29"/>
      <c r="D31" s="204">
        <v>18640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22.5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51" x14ac:dyDescent="0.2">
      <c r="A33" s="37" t="s">
        <v>31</v>
      </c>
      <c r="B33" s="25" t="s">
        <v>32</v>
      </c>
      <c r="C33" s="12" t="s">
        <v>6</v>
      </c>
      <c r="D33" s="216">
        <f>D34+D35+D36</f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35.1" customHeight="1" x14ac:dyDescent="0.2">
      <c r="A34" s="33"/>
      <c r="B34" s="40" t="s">
        <v>33</v>
      </c>
      <c r="C34" s="39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1" customHeight="1" x14ac:dyDescent="0.2">
      <c r="A35" s="33"/>
      <c r="B35" s="38" t="s">
        <v>89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1" customHeight="1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15.75" x14ac:dyDescent="0.25">
      <c r="A37" s="31" t="s">
        <v>36</v>
      </c>
      <c r="B37" s="41" t="s">
        <v>37</v>
      </c>
      <c r="C37" s="20" t="s">
        <v>6</v>
      </c>
      <c r="D37" s="216">
        <f>D38+D39+D40+D42+D43+D44</f>
        <v>44783.46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">
      <c r="A38" s="42"/>
      <c r="B38" s="43" t="s">
        <v>38</v>
      </c>
      <c r="C38" s="44"/>
      <c r="D38" s="204">
        <v>1732.92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2.5" x14ac:dyDescent="0.2">
      <c r="A39" s="42"/>
      <c r="B39" s="43" t="s">
        <v>39</v>
      </c>
      <c r="C39" s="44"/>
      <c r="D39" s="204">
        <v>3212.25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5" t="s">
        <v>40</v>
      </c>
      <c r="C40" s="44"/>
      <c r="D40" s="204">
        <v>11723.44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45" x14ac:dyDescent="0.2">
      <c r="A41" s="31"/>
      <c r="B41" s="46" t="s">
        <v>41</v>
      </c>
      <c r="C41" s="44"/>
      <c r="D41" s="204"/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7" t="s">
        <v>90</v>
      </c>
      <c r="C42" s="44"/>
      <c r="D42" s="204">
        <v>0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91</v>
      </c>
      <c r="C43" s="44"/>
      <c r="D43" s="204">
        <v>26842.42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29"/>
      <c r="B44" s="47" t="s">
        <v>92</v>
      </c>
      <c r="C44" s="44"/>
      <c r="D44" s="204">
        <v>1272.43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t="42" customHeight="1" x14ac:dyDescent="0.2">
      <c r="A45" s="12" t="s">
        <v>46</v>
      </c>
      <c r="B45" s="48" t="s">
        <v>47</v>
      </c>
      <c r="C45" s="49"/>
      <c r="D45" s="204"/>
      <c r="E45" s="6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">
      <c r="A46" s="49"/>
      <c r="B46" s="50" t="s">
        <v>48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25.5" x14ac:dyDescent="0.2">
      <c r="A47" s="31"/>
      <c r="B47" s="51" t="s">
        <v>49</v>
      </c>
      <c r="C47" s="20" t="s">
        <v>6</v>
      </c>
      <c r="D47" s="216">
        <f>D48+D49+D50</f>
        <v>72165.759999999995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2.5" x14ac:dyDescent="0.2">
      <c r="A48" s="33"/>
      <c r="B48" s="28" t="s">
        <v>50</v>
      </c>
      <c r="C48" s="39"/>
      <c r="D48" s="204">
        <v>69880.47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x14ac:dyDescent="0.2">
      <c r="A49" s="31"/>
      <c r="B49" s="52" t="s">
        <v>51</v>
      </c>
      <c r="C49" s="39"/>
      <c r="D49" s="204">
        <v>0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2.5" x14ac:dyDescent="0.2">
      <c r="A50" s="31"/>
      <c r="B50" s="52" t="s">
        <v>52</v>
      </c>
      <c r="C50" s="39"/>
      <c r="D50" s="204">
        <v>2285.29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x14ac:dyDescent="0.2">
      <c r="A51" s="49"/>
      <c r="B51" s="76" t="s">
        <v>53</v>
      </c>
      <c r="C51" s="49"/>
      <c r="D51" s="204"/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5" customHeight="1" x14ac:dyDescent="0.2">
      <c r="A52" s="17"/>
      <c r="B52" s="77" t="s">
        <v>54</v>
      </c>
      <c r="C52" s="20" t="s">
        <v>6</v>
      </c>
      <c r="D52" s="216">
        <f>D53+D54+D55+D56+D57</f>
        <v>149088.47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17"/>
      <c r="B53" s="78" t="s">
        <v>55</v>
      </c>
      <c r="C53" s="79"/>
      <c r="D53" s="204">
        <v>23368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17"/>
      <c r="B54" s="78" t="s">
        <v>56</v>
      </c>
      <c r="C54" s="79"/>
      <c r="D54" s="204">
        <v>43099.45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17"/>
      <c r="B55" s="78" t="s">
        <v>57</v>
      </c>
      <c r="C55" s="79"/>
      <c r="D55" s="204">
        <v>6240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2">
      <c r="A56" s="17"/>
      <c r="B56" s="78" t="s">
        <v>59</v>
      </c>
      <c r="C56" s="79"/>
      <c r="D56" s="204">
        <v>68589.56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">
      <c r="A57" s="17"/>
      <c r="B57" s="28" t="s">
        <v>97</v>
      </c>
      <c r="C57" s="79"/>
      <c r="D57" s="204">
        <v>7791.46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33" t="s">
        <v>60</v>
      </c>
      <c r="B58" s="210" t="s">
        <v>252</v>
      </c>
      <c r="C58" s="12" t="s">
        <v>6</v>
      </c>
      <c r="D58" s="204">
        <v>6104.91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1" t="s">
        <v>62</v>
      </c>
      <c r="B59" s="107" t="s">
        <v>260</v>
      </c>
      <c r="C59" s="7" t="s">
        <v>6</v>
      </c>
      <c r="D59" s="216">
        <v>6000</v>
      </c>
      <c r="E59" s="6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33.75" x14ac:dyDescent="0.2">
      <c r="A60" s="31"/>
      <c r="B60" s="54" t="s">
        <v>63</v>
      </c>
      <c r="C60" s="55"/>
      <c r="D60" s="216"/>
      <c r="E60" s="6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48" x14ac:dyDescent="0.2">
      <c r="A61" s="31" t="s">
        <v>64</v>
      </c>
      <c r="B61" s="56" t="s">
        <v>65</v>
      </c>
      <c r="C61" s="55" t="s">
        <v>6</v>
      </c>
      <c r="D61" s="216">
        <f>38266+262.37</f>
        <v>38528.370000000003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60" x14ac:dyDescent="0.2">
      <c r="A62" s="31" t="s">
        <v>66</v>
      </c>
      <c r="B62" s="57" t="s">
        <v>98</v>
      </c>
      <c r="C62" s="55" t="s">
        <v>6</v>
      </c>
      <c r="D62" s="216">
        <v>99782.89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" x14ac:dyDescent="0.25">
      <c r="A63" s="31" t="s">
        <v>68</v>
      </c>
      <c r="B63" s="58" t="s">
        <v>69</v>
      </c>
      <c r="C63" s="55" t="s">
        <v>6</v>
      </c>
      <c r="D63" s="218">
        <f>D15*6%</f>
        <v>33780.493199999997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x14ac:dyDescent="0.2">
      <c r="A64" s="31"/>
      <c r="B64" s="59" t="s">
        <v>70</v>
      </c>
      <c r="C64" s="55" t="s">
        <v>6</v>
      </c>
      <c r="D64" s="218">
        <f>D63+D62+D61+D59+D58+D52+D47+D37+D33+D30+D27+D23</f>
        <v>561913.23320000002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5.75" x14ac:dyDescent="0.25">
      <c r="A65" s="60"/>
      <c r="B65" s="61"/>
      <c r="C65" s="62"/>
      <c r="D65" s="156"/>
      <c r="E65" s="159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15.75" x14ac:dyDescent="0.25">
      <c r="A66" s="60"/>
      <c r="B66" s="243" t="s">
        <v>116</v>
      </c>
      <c r="C66" s="62"/>
      <c r="D66" s="159">
        <f>D6+D15-D64</f>
        <v>-42462.013200000045</v>
      </c>
      <c r="E66" s="159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5.75" x14ac:dyDescent="0.25">
      <c r="B67" s="61"/>
      <c r="C67" s="62"/>
      <c r="D67" s="156"/>
      <c r="E67" s="159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5.75" x14ac:dyDescent="0.25">
      <c r="B68" s="61"/>
      <c r="C68" s="62"/>
      <c r="D68" s="156"/>
      <c r="E68" s="159"/>
      <c r="F68" s="64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.75" x14ac:dyDescent="0.25">
      <c r="B69" s="61"/>
      <c r="C69" s="62"/>
      <c r="D69" s="64"/>
      <c r="E69" s="6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5.75" x14ac:dyDescent="0.25">
      <c r="B70" s="61"/>
      <c r="C70" s="62"/>
      <c r="D70" s="65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5" x14ac:dyDescent="0.25">
      <c r="B71" s="66" t="s">
        <v>72</v>
      </c>
      <c r="C71" s="66"/>
      <c r="D71" s="66" t="s">
        <v>73</v>
      </c>
      <c r="E71" s="101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x14ac:dyDescent="0.2">
      <c r="B72" s="66" t="s">
        <v>74</v>
      </c>
      <c r="C72" s="66"/>
      <c r="D72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47" workbookViewId="0">
      <selection activeCell="G21" sqref="G21:R66"/>
    </sheetView>
  </sheetViews>
  <sheetFormatPr defaultColWidth="9" defaultRowHeight="14.25" x14ac:dyDescent="0.2"/>
  <cols>
    <col min="1" max="1" width="5.140625" style="1" customWidth="1"/>
    <col min="2" max="2" width="36.85546875" style="1" customWidth="1"/>
    <col min="3" max="3" width="9" style="1"/>
    <col min="4" max="4" width="13.42578125" style="1" customWidth="1"/>
    <col min="5" max="5" width="13" style="1" customWidth="1"/>
    <col min="6" max="6" width="9" style="1"/>
    <col min="7" max="7" width="10.42578125" style="1" customWidth="1"/>
    <col min="8" max="16384" width="9" style="1"/>
  </cols>
  <sheetData>
    <row r="1" spans="1:16" ht="15" x14ac:dyDescent="0.25">
      <c r="C1" s="2" t="s">
        <v>0</v>
      </c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242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A5" s="168"/>
      <c r="B5" s="163" t="s">
        <v>182</v>
      </c>
      <c r="C5" s="163"/>
      <c r="D5" s="163">
        <v>396056.78</v>
      </c>
      <c r="E5" s="168"/>
    </row>
    <row r="6" spans="1:16" x14ac:dyDescent="0.2">
      <c r="A6" s="160"/>
      <c r="B6" s="164" t="s">
        <v>211</v>
      </c>
      <c r="C6" s="167" t="s">
        <v>6</v>
      </c>
      <c r="D6" s="170">
        <v>493154.12</v>
      </c>
      <c r="E6" s="160"/>
    </row>
    <row r="7" spans="1:16" x14ac:dyDescent="0.2">
      <c r="A7" s="160"/>
      <c r="B7" s="164"/>
      <c r="C7" s="167"/>
      <c r="D7" s="170"/>
      <c r="E7" s="160"/>
    </row>
    <row r="8" spans="1:16" x14ac:dyDescent="0.2">
      <c r="A8" s="160"/>
      <c r="B8" s="165" t="s">
        <v>2</v>
      </c>
      <c r="C8" s="167" t="s">
        <v>3</v>
      </c>
      <c r="D8" s="171">
        <v>5902.23</v>
      </c>
      <c r="E8" s="160"/>
    </row>
    <row r="9" spans="1:16" x14ac:dyDescent="0.2">
      <c r="A9" s="160"/>
      <c r="B9" s="165" t="s">
        <v>4</v>
      </c>
      <c r="C9" s="167" t="s">
        <v>3</v>
      </c>
      <c r="D9" s="171">
        <v>4369.78</v>
      </c>
      <c r="E9" s="160"/>
    </row>
    <row r="10" spans="1:16" x14ac:dyDescent="0.2">
      <c r="A10" s="160"/>
      <c r="B10" s="166" t="s">
        <v>5</v>
      </c>
      <c r="C10" s="164" t="s">
        <v>6</v>
      </c>
      <c r="D10" s="170">
        <v>1004077.27</v>
      </c>
      <c r="E10" s="160"/>
    </row>
    <row r="11" spans="1:16" x14ac:dyDescent="0.2">
      <c r="A11" s="160"/>
      <c r="B11" s="164"/>
      <c r="C11" s="164"/>
      <c r="D11" s="171"/>
      <c r="E11" s="160"/>
    </row>
    <row r="12" spans="1:16" x14ac:dyDescent="0.2">
      <c r="A12" s="160"/>
      <c r="B12" s="166" t="s">
        <v>7</v>
      </c>
      <c r="C12" s="164"/>
      <c r="D12" s="171"/>
      <c r="E12" s="160"/>
    </row>
    <row r="13" spans="1:16" x14ac:dyDescent="0.2">
      <c r="A13" s="160">
        <v>1</v>
      </c>
      <c r="B13" s="167" t="s">
        <v>208</v>
      </c>
      <c r="C13" s="167" t="s">
        <v>6</v>
      </c>
      <c r="D13" s="171">
        <v>768056.81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160">
        <v>2</v>
      </c>
      <c r="B14" s="167" t="s">
        <v>9</v>
      </c>
      <c r="C14" s="167" t="s">
        <v>6</v>
      </c>
      <c r="D14" s="171">
        <f>9000</f>
        <v>9000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160"/>
      <c r="B15" s="166" t="s">
        <v>10</v>
      </c>
      <c r="C15" s="164" t="s">
        <v>6</v>
      </c>
      <c r="D15" s="170">
        <f>D13+D14</f>
        <v>777056.81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B17" s="5"/>
      <c r="C17" s="5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94.5" customHeight="1" x14ac:dyDescent="0.2">
      <c r="A23" s="22"/>
      <c r="B23" s="25" t="s">
        <v>20</v>
      </c>
      <c r="C23" s="26" t="s">
        <v>6</v>
      </c>
      <c r="D23" s="216">
        <f>D24+D25+D26</f>
        <v>165895.32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90" customHeight="1" x14ac:dyDescent="0.2">
      <c r="A24" s="22"/>
      <c r="B24" s="28" t="s">
        <v>21</v>
      </c>
      <c r="C24" s="29"/>
      <c r="D24" s="204">
        <f>77774+2893.87</f>
        <v>80667.87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135" x14ac:dyDescent="0.2">
      <c r="A25" s="30"/>
      <c r="B25" s="28" t="s">
        <v>22</v>
      </c>
      <c r="C25" s="29"/>
      <c r="D25" s="204">
        <v>76233.45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22.5" x14ac:dyDescent="0.2">
      <c r="A26" s="31"/>
      <c r="B26" s="40" t="s">
        <v>23</v>
      </c>
      <c r="C26" s="69"/>
      <c r="D26" s="204">
        <v>8994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5.5" x14ac:dyDescent="0.2">
      <c r="A27" s="22"/>
      <c r="B27" s="25" t="s">
        <v>24</v>
      </c>
      <c r="C27" s="26" t="s">
        <v>6</v>
      </c>
      <c r="D27" s="216">
        <f>D28+D29</f>
        <v>7518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x14ac:dyDescent="0.2">
      <c r="A28" s="33"/>
      <c r="B28" s="70" t="s">
        <v>25</v>
      </c>
      <c r="C28" s="35"/>
      <c r="D28" s="204">
        <v>5420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22"/>
      <c r="B29" s="70" t="s">
        <v>26</v>
      </c>
      <c r="C29" s="35"/>
      <c r="D29" s="204">
        <v>2098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56.1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22130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81" customHeight="1" x14ac:dyDescent="0.2">
      <c r="A31" s="37"/>
      <c r="B31" s="28" t="s">
        <v>29</v>
      </c>
      <c r="C31" s="29"/>
      <c r="D31" s="204">
        <v>22130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22.5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51" x14ac:dyDescent="0.2">
      <c r="A33" s="37" t="s">
        <v>31</v>
      </c>
      <c r="B33" s="25" t="s">
        <v>32</v>
      </c>
      <c r="C33" s="12" t="s">
        <v>6</v>
      </c>
      <c r="D33" s="216">
        <f>D34+D35+D36</f>
        <v>4900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45.75" customHeight="1" x14ac:dyDescent="0.2">
      <c r="A34" s="33"/>
      <c r="B34" s="40" t="s">
        <v>33</v>
      </c>
      <c r="C34" s="39"/>
      <c r="D34" s="204">
        <v>1260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24.95" customHeight="1" x14ac:dyDescent="0.2">
      <c r="A35" s="33"/>
      <c r="B35" s="38" t="s">
        <v>89</v>
      </c>
      <c r="C35" s="39"/>
      <c r="D35" s="204">
        <v>3640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15.75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81779.19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x14ac:dyDescent="0.2">
      <c r="A38" s="42"/>
      <c r="B38" s="43" t="s">
        <v>38</v>
      </c>
      <c r="C38" s="44"/>
      <c r="D38" s="204">
        <v>4317.6000000000004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22.5" x14ac:dyDescent="0.2">
      <c r="A39" s="42"/>
      <c r="B39" s="43" t="s">
        <v>39</v>
      </c>
      <c r="C39" s="44"/>
      <c r="D39" s="204">
        <v>9894.75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5" t="s">
        <v>40</v>
      </c>
      <c r="C40" s="44"/>
      <c r="D40" s="204">
        <v>20402.27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45" x14ac:dyDescent="0.2">
      <c r="A41" s="31"/>
      <c r="B41" s="100" t="s">
        <v>41</v>
      </c>
      <c r="C41" s="44"/>
      <c r="D41" s="204"/>
      <c r="E41" s="6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x14ac:dyDescent="0.2">
      <c r="A42" s="42"/>
      <c r="B42" s="47" t="s">
        <v>90</v>
      </c>
      <c r="C42" s="44"/>
      <c r="D42" s="204">
        <v>0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91</v>
      </c>
      <c r="C43" s="44"/>
      <c r="D43" s="204">
        <v>7237.25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29"/>
      <c r="B44" s="38" t="s">
        <v>92</v>
      </c>
      <c r="C44" s="44"/>
      <c r="D44" s="204">
        <v>2214.4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ht="22.5" x14ac:dyDescent="0.2">
      <c r="A45" s="42"/>
      <c r="B45" s="208" t="s">
        <v>266</v>
      </c>
      <c r="C45" s="44"/>
      <c r="D45" s="204">
        <v>37712.92</v>
      </c>
      <c r="E45" s="6"/>
      <c r="F45" s="154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5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ht="25.5" x14ac:dyDescent="0.2">
      <c r="A48" s="31"/>
      <c r="B48" s="51" t="s">
        <v>49</v>
      </c>
      <c r="C48" s="20" t="s">
        <v>6</v>
      </c>
      <c r="D48" s="216">
        <f>D49+D50+D51</f>
        <v>155666.98000000001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2.5" x14ac:dyDescent="0.2">
      <c r="A49" s="33"/>
      <c r="B49" s="28" t="s">
        <v>50</v>
      </c>
      <c r="C49" s="39"/>
      <c r="D49" s="204">
        <v>151159.25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x14ac:dyDescent="0.2">
      <c r="A50" s="31"/>
      <c r="B50" s="52" t="s">
        <v>51</v>
      </c>
      <c r="C50" s="39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ht="22.5" x14ac:dyDescent="0.2">
      <c r="A51" s="31"/>
      <c r="B51" s="52" t="s">
        <v>52</v>
      </c>
      <c r="C51" s="39"/>
      <c r="D51" s="204">
        <v>4507.7299999999996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x14ac:dyDescent="0.2">
      <c r="A52" s="33" t="s">
        <v>60</v>
      </c>
      <c r="B52" s="210" t="s">
        <v>252</v>
      </c>
      <c r="C52" s="12" t="s">
        <v>6</v>
      </c>
      <c r="D52" s="216">
        <v>10624.36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31" t="s">
        <v>62</v>
      </c>
      <c r="B53" s="107" t="s">
        <v>260</v>
      </c>
      <c r="C53" s="7" t="s">
        <v>6</v>
      </c>
      <c r="D53" s="216">
        <v>68106.84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33.75" x14ac:dyDescent="0.2">
      <c r="A54" s="31"/>
      <c r="B54" s="54" t="s">
        <v>63</v>
      </c>
      <c r="C54" s="55"/>
      <c r="D54" s="216"/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48" x14ac:dyDescent="0.2">
      <c r="A55" s="31" t="s">
        <v>64</v>
      </c>
      <c r="B55" s="56" t="s">
        <v>65</v>
      </c>
      <c r="C55" s="55" t="s">
        <v>6</v>
      </c>
      <c r="D55" s="216">
        <v>67995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60" x14ac:dyDescent="0.2">
      <c r="A56" s="31" t="s">
        <v>66</v>
      </c>
      <c r="B56" s="57" t="s">
        <v>98</v>
      </c>
      <c r="C56" s="55" t="s">
        <v>6</v>
      </c>
      <c r="D56" s="216">
        <f>169460.04+1576.87</f>
        <v>171036.91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15" x14ac:dyDescent="0.25">
      <c r="A57" s="31" t="s">
        <v>68</v>
      </c>
      <c r="B57" s="58" t="s">
        <v>69</v>
      </c>
      <c r="C57" s="55" t="s">
        <v>6</v>
      </c>
      <c r="D57" s="218">
        <f>D15*6%</f>
        <v>46623.408600000002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31"/>
      <c r="B58" s="59" t="s">
        <v>70</v>
      </c>
      <c r="C58" s="55" t="s">
        <v>6</v>
      </c>
      <c r="D58" s="218">
        <f>D57+D56+D55+D53+D52+D48+D37+D33+D30+D27+D23</f>
        <v>802276.00860000006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ht="15.75" x14ac:dyDescent="0.25">
      <c r="A59" s="60"/>
      <c r="B59" s="61"/>
      <c r="C59" s="62"/>
      <c r="D59" s="156"/>
      <c r="E59" s="159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5.75" x14ac:dyDescent="0.25">
      <c r="A60" s="60"/>
      <c r="B60" s="243" t="s">
        <v>116</v>
      </c>
      <c r="C60" s="62"/>
      <c r="D60" s="159">
        <f>D6+D15-D58</f>
        <v>467934.92140000011</v>
      </c>
      <c r="E60" s="159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B61" s="61"/>
      <c r="C61" s="62"/>
      <c r="D61" s="156"/>
      <c r="E61" s="159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B62" s="61"/>
      <c r="C62" s="62"/>
      <c r="D62" s="156"/>
      <c r="E62" s="159"/>
      <c r="F62" s="6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.75" x14ac:dyDescent="0.25">
      <c r="B63" s="61"/>
      <c r="C63" s="62"/>
      <c r="D63" s="159"/>
      <c r="E63" s="156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.75" x14ac:dyDescent="0.25">
      <c r="B64" s="61"/>
      <c r="C64" s="62"/>
      <c r="D64" s="65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2:16" x14ac:dyDescent="0.2">
      <c r="B65" s="66" t="s">
        <v>72</v>
      </c>
      <c r="C65" s="66"/>
      <c r="D65" s="66" t="s">
        <v>73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2:16" x14ac:dyDescent="0.2">
      <c r="B66" s="66" t="s">
        <v>74</v>
      </c>
      <c r="C66" s="66"/>
      <c r="D66" s="189" t="s">
        <v>273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46" workbookViewId="0">
      <selection activeCell="G21" sqref="G21:S64"/>
    </sheetView>
  </sheetViews>
  <sheetFormatPr defaultColWidth="9" defaultRowHeight="14.25" x14ac:dyDescent="0.2"/>
  <cols>
    <col min="1" max="1" width="5.28515625" style="1" customWidth="1"/>
    <col min="2" max="2" width="36.85546875" style="1" customWidth="1"/>
    <col min="3" max="3" width="9" style="1"/>
    <col min="4" max="4" width="12.85546875" style="1" customWidth="1"/>
    <col min="5" max="5" width="10.5703125" style="1" customWidth="1"/>
    <col min="6" max="16384" width="9" style="1"/>
  </cols>
  <sheetData>
    <row r="1" spans="1:17" ht="15" x14ac:dyDescent="0.25">
      <c r="C1" s="2" t="s">
        <v>0</v>
      </c>
      <c r="D1" s="3"/>
    </row>
    <row r="2" spans="1:17" ht="15" customHeight="1" x14ac:dyDescent="0.2">
      <c r="A2" s="298" t="s">
        <v>111</v>
      </c>
      <c r="B2" s="298"/>
      <c r="C2" s="298"/>
      <c r="D2" s="298"/>
      <c r="E2" s="298"/>
      <c r="F2" s="298"/>
    </row>
    <row r="3" spans="1:17" ht="15" customHeight="1" x14ac:dyDescent="0.2">
      <c r="A3" s="4"/>
      <c r="B3" s="299" t="s">
        <v>243</v>
      </c>
      <c r="C3" s="298"/>
      <c r="D3" s="298"/>
      <c r="E3" s="298"/>
    </row>
    <row r="4" spans="1:17" x14ac:dyDescent="0.2">
      <c r="A4" s="4"/>
      <c r="B4" s="293"/>
      <c r="C4" s="293"/>
      <c r="D4" s="293"/>
      <c r="E4" s="293"/>
    </row>
    <row r="5" spans="1:17" x14ac:dyDescent="0.2">
      <c r="A5" s="168"/>
      <c r="B5" s="163" t="s">
        <v>182</v>
      </c>
      <c r="C5" s="163"/>
      <c r="D5" s="163">
        <v>186576.51</v>
      </c>
      <c r="E5" s="168"/>
    </row>
    <row r="6" spans="1:17" x14ac:dyDescent="0.2">
      <c r="A6" s="160"/>
      <c r="B6" s="164" t="s">
        <v>211</v>
      </c>
      <c r="C6" s="167" t="s">
        <v>6</v>
      </c>
      <c r="D6" s="170">
        <v>258402.22</v>
      </c>
      <c r="E6" s="160"/>
    </row>
    <row r="7" spans="1:17" x14ac:dyDescent="0.2">
      <c r="A7" s="160"/>
      <c r="B7" s="164"/>
      <c r="C7" s="167"/>
      <c r="D7" s="170"/>
      <c r="E7" s="160"/>
    </row>
    <row r="8" spans="1:17" x14ac:dyDescent="0.2">
      <c r="A8" s="160"/>
      <c r="B8" s="165" t="s">
        <v>2</v>
      </c>
      <c r="C8" s="167" t="s">
        <v>3</v>
      </c>
      <c r="D8" s="171">
        <v>3713.1</v>
      </c>
      <c r="E8" s="160"/>
    </row>
    <row r="9" spans="1:17" x14ac:dyDescent="0.2">
      <c r="A9" s="160"/>
      <c r="B9" s="165" t="s">
        <v>4</v>
      </c>
      <c r="C9" s="167" t="s">
        <v>3</v>
      </c>
      <c r="D9" s="171">
        <v>2973.08</v>
      </c>
      <c r="E9" s="160"/>
    </row>
    <row r="10" spans="1:17" x14ac:dyDescent="0.2">
      <c r="A10" s="160"/>
      <c r="B10" s="166" t="s">
        <v>5</v>
      </c>
      <c r="C10" s="164" t="s">
        <v>6</v>
      </c>
      <c r="D10" s="170">
        <v>557796.05000000005</v>
      </c>
      <c r="E10" s="160"/>
    </row>
    <row r="11" spans="1:17" x14ac:dyDescent="0.2">
      <c r="A11" s="160"/>
      <c r="B11" s="164"/>
      <c r="C11" s="164"/>
      <c r="D11" s="171"/>
      <c r="E11" s="160"/>
    </row>
    <row r="12" spans="1:17" x14ac:dyDescent="0.2">
      <c r="A12" s="160"/>
      <c r="B12" s="166" t="s">
        <v>7</v>
      </c>
      <c r="C12" s="164"/>
      <c r="D12" s="171"/>
      <c r="E12" s="160"/>
    </row>
    <row r="13" spans="1:17" x14ac:dyDescent="0.2">
      <c r="A13" s="160">
        <v>1</v>
      </c>
      <c r="B13" s="167" t="s">
        <v>208</v>
      </c>
      <c r="C13" s="167" t="s">
        <v>6</v>
      </c>
      <c r="D13" s="171">
        <v>453740.59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x14ac:dyDescent="0.2">
      <c r="A14" s="160">
        <v>2</v>
      </c>
      <c r="B14" s="167" t="s">
        <v>9</v>
      </c>
      <c r="C14" s="167" t="s">
        <v>6</v>
      </c>
      <c r="D14" s="171">
        <f>5280+9000</f>
        <v>14280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x14ac:dyDescent="0.2">
      <c r="A15" s="160"/>
      <c r="B15" s="166" t="s">
        <v>10</v>
      </c>
      <c r="C15" s="164" t="s">
        <v>6</v>
      </c>
      <c r="D15" s="170">
        <f>D13+D14</f>
        <v>468020.59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x14ac:dyDescent="0.2">
      <c r="A17" s="168"/>
      <c r="B17" s="163"/>
      <c r="C17" s="163"/>
      <c r="D17" s="168"/>
      <c r="E17" s="16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51" x14ac:dyDescent="0.2">
      <c r="A23" s="22"/>
      <c r="B23" s="25" t="s">
        <v>20</v>
      </c>
      <c r="C23" s="26" t="s">
        <v>6</v>
      </c>
      <c r="D23" s="216">
        <f>D24+D25+D26</f>
        <v>105557.81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90" customHeight="1" x14ac:dyDescent="0.2">
      <c r="A24" s="22"/>
      <c r="B24" s="28" t="s">
        <v>21</v>
      </c>
      <c r="C24" s="29"/>
      <c r="D24" s="204">
        <f>46858.83+4443.82</f>
        <v>51302.65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7" ht="121.5" customHeight="1" x14ac:dyDescent="0.2">
      <c r="A25" s="30"/>
      <c r="B25" s="28" t="s">
        <v>22</v>
      </c>
      <c r="C25" s="29"/>
      <c r="D25" s="204">
        <f>44983.81+3540</f>
        <v>48523.81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22.5" x14ac:dyDescent="0.2">
      <c r="A26" s="31"/>
      <c r="B26" s="40" t="s">
        <v>23</v>
      </c>
      <c r="C26" s="29"/>
      <c r="D26" s="204">
        <v>5731.35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25.5" x14ac:dyDescent="0.2">
      <c r="A27" s="22"/>
      <c r="B27" s="25" t="s">
        <v>24</v>
      </c>
      <c r="C27" s="26" t="s">
        <v>6</v>
      </c>
      <c r="D27" s="216">
        <f>D28+D29</f>
        <v>5660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x14ac:dyDescent="0.2">
      <c r="A28" s="33"/>
      <c r="B28" s="70" t="s">
        <v>25</v>
      </c>
      <c r="C28" s="35"/>
      <c r="D28" s="204">
        <v>4944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x14ac:dyDescent="0.2">
      <c r="A29" s="22"/>
      <c r="B29" s="70" t="s">
        <v>26</v>
      </c>
      <c r="C29" s="35"/>
      <c r="D29" s="204">
        <v>716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50.25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18552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77.25" customHeight="1" x14ac:dyDescent="0.2">
      <c r="A31" s="37"/>
      <c r="B31" s="28" t="s">
        <v>29</v>
      </c>
      <c r="C31" s="29"/>
      <c r="D31" s="204">
        <v>18552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22.5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51" x14ac:dyDescent="0.2">
      <c r="A33" s="37" t="s">
        <v>31</v>
      </c>
      <c r="B33" s="25" t="s">
        <v>32</v>
      </c>
      <c r="C33" s="12" t="s">
        <v>6</v>
      </c>
      <c r="D33" s="216">
        <f>D34+D35+D36</f>
        <v>3500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45" x14ac:dyDescent="0.2">
      <c r="A34" s="33"/>
      <c r="B34" s="40" t="s">
        <v>33</v>
      </c>
      <c r="C34" s="39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</row>
    <row r="35" spans="1:17" ht="22.5" x14ac:dyDescent="0.2">
      <c r="A35" s="33"/>
      <c r="B35" s="38" t="s">
        <v>89</v>
      </c>
      <c r="C35" s="39"/>
      <c r="D35" s="204">
        <v>3500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26.25" customHeight="1" x14ac:dyDescent="0.2">
      <c r="A36" s="33"/>
      <c r="B36" s="38" t="s">
        <v>35</v>
      </c>
      <c r="C36" s="39"/>
      <c r="D36" s="204">
        <v>0</v>
      </c>
      <c r="E36" s="6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5.75" x14ac:dyDescent="0.25">
      <c r="A37" s="31" t="s">
        <v>36</v>
      </c>
      <c r="B37" s="41" t="s">
        <v>37</v>
      </c>
      <c r="C37" s="20" t="s">
        <v>6</v>
      </c>
      <c r="D37" s="216">
        <f>D38+D39+D40+D42+D43+D44+D45</f>
        <v>98260.049999999988</v>
      </c>
      <c r="E37" s="6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x14ac:dyDescent="0.2">
      <c r="A38" s="42"/>
      <c r="B38" s="43" t="s">
        <v>38</v>
      </c>
      <c r="C38" s="44"/>
      <c r="D38" s="204">
        <v>5287.8</v>
      </c>
      <c r="E38" s="6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22.5" x14ac:dyDescent="0.2">
      <c r="A39" s="42"/>
      <c r="B39" s="43" t="s">
        <v>39</v>
      </c>
      <c r="C39" s="44"/>
      <c r="D39" s="204">
        <v>12366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x14ac:dyDescent="0.2">
      <c r="A40" s="42"/>
      <c r="B40" s="45" t="s">
        <v>40</v>
      </c>
      <c r="C40" s="44"/>
      <c r="D40" s="204">
        <v>13881.15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45" x14ac:dyDescent="0.2">
      <c r="A41" s="31"/>
      <c r="B41" s="46" t="s">
        <v>41</v>
      </c>
      <c r="C41" s="44"/>
      <c r="D41" s="204"/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</row>
    <row r="42" spans="1:17" x14ac:dyDescent="0.2">
      <c r="A42" s="42"/>
      <c r="B42" s="47" t="s">
        <v>90</v>
      </c>
      <c r="C42" s="44"/>
      <c r="D42" s="204">
        <v>0</v>
      </c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x14ac:dyDescent="0.2">
      <c r="A43" s="42"/>
      <c r="B43" s="47" t="s">
        <v>91</v>
      </c>
      <c r="C43" s="44"/>
      <c r="D43" s="204">
        <v>38962.28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x14ac:dyDescent="0.2">
      <c r="A44" s="29"/>
      <c r="B44" s="47" t="s">
        <v>92</v>
      </c>
      <c r="C44" s="44"/>
      <c r="D44" s="204">
        <v>5878.62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1:17" ht="22.5" x14ac:dyDescent="0.2">
      <c r="A45" s="42"/>
      <c r="B45" s="208" t="s">
        <v>266</v>
      </c>
      <c r="C45" s="44"/>
      <c r="D45" s="204">
        <v>21884.2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ht="5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1:17" ht="25.5" x14ac:dyDescent="0.2">
      <c r="A48" s="31"/>
      <c r="B48" s="51" t="s">
        <v>49</v>
      </c>
      <c r="C48" s="20" t="s">
        <v>6</v>
      </c>
      <c r="D48" s="216">
        <f>D49+D50+D51</f>
        <v>123354.68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22.5" x14ac:dyDescent="0.2">
      <c r="A49" s="33"/>
      <c r="B49" s="28" t="s">
        <v>50</v>
      </c>
      <c r="C49" s="39"/>
      <c r="D49" s="204">
        <v>119926.75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7" x14ac:dyDescent="0.2">
      <c r="A50" s="31"/>
      <c r="B50" s="52" t="s">
        <v>51</v>
      </c>
      <c r="C50" s="39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1:17" ht="22.5" x14ac:dyDescent="0.2">
      <c r="A51" s="31"/>
      <c r="B51" s="52" t="s">
        <v>52</v>
      </c>
      <c r="C51" s="39"/>
      <c r="D51" s="204">
        <v>3427.93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x14ac:dyDescent="0.2">
      <c r="A52" s="33" t="s">
        <v>60</v>
      </c>
      <c r="B52" s="210" t="s">
        <v>252</v>
      </c>
      <c r="C52" s="12" t="s">
        <v>6</v>
      </c>
      <c r="D52" s="216">
        <v>7228.53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15.75" customHeight="1" x14ac:dyDescent="0.2">
      <c r="A53" s="31" t="s">
        <v>62</v>
      </c>
      <c r="B53" s="107" t="s">
        <v>260</v>
      </c>
      <c r="C53" s="7" t="s">
        <v>6</v>
      </c>
      <c r="D53" s="216">
        <v>209859.65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33.75" x14ac:dyDescent="0.2">
      <c r="A54" s="31"/>
      <c r="B54" s="54" t="s">
        <v>63</v>
      </c>
      <c r="C54" s="55"/>
      <c r="D54" s="216"/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7" ht="48" x14ac:dyDescent="0.2">
      <c r="A55" s="31" t="s">
        <v>64</v>
      </c>
      <c r="B55" s="56" t="s">
        <v>65</v>
      </c>
      <c r="C55" s="55" t="s">
        <v>6</v>
      </c>
      <c r="D55" s="216">
        <v>45998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</row>
    <row r="56" spans="1:17" ht="60" x14ac:dyDescent="0.2">
      <c r="A56" s="31" t="s">
        <v>66</v>
      </c>
      <c r="B56" s="57" t="s">
        <v>98</v>
      </c>
      <c r="C56" s="55" t="s">
        <v>6</v>
      </c>
      <c r="D56" s="216">
        <f>111555.03+5077.82</f>
        <v>116632.85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</row>
    <row r="57" spans="1:17" ht="15" x14ac:dyDescent="0.25">
      <c r="A57" s="31" t="s">
        <v>68</v>
      </c>
      <c r="B57" s="58" t="s">
        <v>69</v>
      </c>
      <c r="C57" s="55" t="s">
        <v>6</v>
      </c>
      <c r="D57" s="218">
        <f>D15*6%</f>
        <v>28081.235400000001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</row>
    <row r="58" spans="1:17" x14ac:dyDescent="0.2">
      <c r="A58" s="31"/>
      <c r="B58" s="59" t="s">
        <v>70</v>
      </c>
      <c r="C58" s="55" t="s">
        <v>6</v>
      </c>
      <c r="D58" s="218">
        <f>D57+D56+D55+D53+D52+D48+D37+D33+D30+D27+D23</f>
        <v>762684.80540000019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</row>
    <row r="59" spans="1:17" ht="15.75" x14ac:dyDescent="0.25">
      <c r="A59" s="60"/>
      <c r="B59" s="61"/>
      <c r="C59" s="62"/>
      <c r="D59" s="159"/>
      <c r="E59" s="159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5.75" x14ac:dyDescent="0.25">
      <c r="A60" s="60"/>
      <c r="B60" s="243" t="s">
        <v>116</v>
      </c>
      <c r="C60" s="62"/>
      <c r="D60" s="159">
        <f>D6+D15-D58</f>
        <v>-36261.995400000131</v>
      </c>
      <c r="E60" s="159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1" spans="1:17" ht="15.75" x14ac:dyDescent="0.25">
      <c r="B61" s="61"/>
      <c r="C61" s="62"/>
      <c r="D61" s="156"/>
      <c r="E61" s="159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5.75" x14ac:dyDescent="0.25">
      <c r="B62" s="61"/>
      <c r="C62" s="62"/>
      <c r="D62" s="156"/>
      <c r="E62" s="159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5.75" x14ac:dyDescent="0.25">
      <c r="B63" s="61"/>
      <c r="C63" s="62"/>
      <c r="D63" s="65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x14ac:dyDescent="0.2">
      <c r="B64" s="66" t="s">
        <v>72</v>
      </c>
      <c r="C64" s="66"/>
      <c r="D64" s="66" t="s">
        <v>73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4" x14ac:dyDescent="0.2">
      <c r="B65" s="66" t="s">
        <v>74</v>
      </c>
      <c r="C65" s="66"/>
      <c r="D65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2" workbookViewId="0">
      <selection activeCell="G22" sqref="G22:R77"/>
    </sheetView>
  </sheetViews>
  <sheetFormatPr defaultColWidth="9" defaultRowHeight="14.25" x14ac:dyDescent="0.2"/>
  <cols>
    <col min="1" max="1" width="5.7109375" style="1" customWidth="1"/>
    <col min="2" max="2" width="38" style="1" customWidth="1"/>
    <col min="3" max="3" width="9" style="1"/>
    <col min="4" max="4" width="13.7109375" style="1" customWidth="1"/>
    <col min="5" max="5" width="11.42578125" style="1" customWidth="1"/>
    <col min="6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9" t="s">
        <v>244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B5" s="169" t="s">
        <v>182</v>
      </c>
      <c r="C5" s="5"/>
      <c r="D5" s="5">
        <v>177512.93</v>
      </c>
    </row>
    <row r="6" spans="1:15" ht="15" x14ac:dyDescent="0.25">
      <c r="A6" s="6"/>
      <c r="B6" s="7" t="s">
        <v>116</v>
      </c>
      <c r="C6" s="7" t="s">
        <v>6</v>
      </c>
      <c r="D6" s="27">
        <v>218095.33</v>
      </c>
      <c r="E6" s="6"/>
    </row>
    <row r="7" spans="1:15" x14ac:dyDescent="0.2">
      <c r="A7" s="6"/>
      <c r="B7" s="7"/>
      <c r="C7" s="7"/>
      <c r="D7" s="68"/>
      <c r="E7" s="6"/>
    </row>
    <row r="8" spans="1:15" x14ac:dyDescent="0.2">
      <c r="A8" s="6"/>
      <c r="B8" s="10" t="s">
        <v>2</v>
      </c>
      <c r="C8" s="8" t="s">
        <v>3</v>
      </c>
      <c r="D8" s="11">
        <v>7687.9</v>
      </c>
      <c r="E8" s="6"/>
    </row>
    <row r="9" spans="1:15" x14ac:dyDescent="0.2">
      <c r="A9" s="6"/>
      <c r="B9" s="10" t="s">
        <v>4</v>
      </c>
      <c r="C9" s="8" t="s">
        <v>3</v>
      </c>
      <c r="D9" s="11">
        <v>4959.9399999999996</v>
      </c>
      <c r="E9" s="6"/>
    </row>
    <row r="10" spans="1:15" x14ac:dyDescent="0.2">
      <c r="A10" s="6"/>
      <c r="B10" s="12" t="s">
        <v>5</v>
      </c>
      <c r="C10" s="7" t="s">
        <v>6</v>
      </c>
      <c r="D10" s="9">
        <v>751835.76</v>
      </c>
      <c r="E10" s="6"/>
    </row>
    <row r="11" spans="1:15" x14ac:dyDescent="0.2">
      <c r="A11" s="6"/>
      <c r="B11" s="7"/>
      <c r="C11" s="7"/>
      <c r="D11" s="68"/>
      <c r="E11" s="6"/>
    </row>
    <row r="12" spans="1:15" x14ac:dyDescent="0.2">
      <c r="A12" s="6"/>
      <c r="B12" s="12" t="s">
        <v>7</v>
      </c>
      <c r="C12" s="7"/>
      <c r="D12" s="68"/>
      <c r="E12" s="6"/>
    </row>
    <row r="13" spans="1:15" x14ac:dyDescent="0.2">
      <c r="A13" s="6">
        <v>1</v>
      </c>
      <c r="B13" s="8" t="s">
        <v>84</v>
      </c>
      <c r="C13" s="8" t="s">
        <v>6</v>
      </c>
      <c r="D13" s="11">
        <v>691500.54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8" t="s">
        <v>9</v>
      </c>
      <c r="C14" s="8" t="s">
        <v>6</v>
      </c>
      <c r="D14" s="11">
        <f>5280+312000+6000+9000</f>
        <v>332280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8"/>
      <c r="C15" s="7"/>
      <c r="D15" s="11"/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2" t="s">
        <v>10</v>
      </c>
      <c r="C16" s="7" t="s">
        <v>6</v>
      </c>
      <c r="D16" s="9">
        <f>D13+D14+D15</f>
        <v>1023780.54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x14ac:dyDescent="0.2">
      <c r="A21" s="15" t="s">
        <v>12</v>
      </c>
      <c r="B21" s="16"/>
      <c r="C21" s="17" t="s">
        <v>85</v>
      </c>
      <c r="D21" s="241" t="s">
        <v>13</v>
      </c>
      <c r="E21" s="242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x14ac:dyDescent="0.2">
      <c r="A22" s="15" t="s">
        <v>15</v>
      </c>
      <c r="B22" s="20" t="s">
        <v>16</v>
      </c>
      <c r="C22" s="20" t="s">
        <v>87</v>
      </c>
      <c r="D22" s="241" t="s">
        <v>17</v>
      </c>
      <c r="E22" s="22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204"/>
      <c r="E23" s="204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3.25" customHeight="1" x14ac:dyDescent="0.2">
      <c r="A24" s="22"/>
      <c r="B24" s="25" t="s">
        <v>20</v>
      </c>
      <c r="C24" s="26" t="s">
        <v>6</v>
      </c>
      <c r="D24" s="216">
        <f>D25+D26+D27</f>
        <v>175356.83000000002</v>
      </c>
      <c r="E24" s="204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80.25" customHeight="1" x14ac:dyDescent="0.2">
      <c r="A25" s="22"/>
      <c r="B25" s="28" t="s">
        <v>21</v>
      </c>
      <c r="C25" s="29"/>
      <c r="D25" s="204">
        <v>72886.460000000006</v>
      </c>
      <c r="E25" s="204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4" customHeight="1" x14ac:dyDescent="0.2">
      <c r="A26" s="30"/>
      <c r="B26" s="28" t="s">
        <v>22</v>
      </c>
      <c r="C26" s="29"/>
      <c r="D26" s="204">
        <f>71300+25215.68</f>
        <v>96515.68</v>
      </c>
      <c r="E26" s="204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5954.69</v>
      </c>
      <c r="E27" s="204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13881.880000000001</v>
      </c>
      <c r="E28" s="204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11500</v>
      </c>
      <c r="E29" s="204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/>
      <c r="D30" s="204">
        <v>2381.88</v>
      </c>
      <c r="E30" s="204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44.25" customHeight="1" x14ac:dyDescent="0.2">
      <c r="A31" s="22" t="s">
        <v>27</v>
      </c>
      <c r="B31" s="25" t="s">
        <v>28</v>
      </c>
      <c r="C31" s="36" t="s">
        <v>6</v>
      </c>
      <c r="D31" s="216">
        <f>D32+D33</f>
        <v>34000</v>
      </c>
      <c r="E31" s="204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81.75" customHeight="1" x14ac:dyDescent="0.2">
      <c r="A32" s="37"/>
      <c r="B32" s="28" t="s">
        <v>29</v>
      </c>
      <c r="C32" s="29"/>
      <c r="D32" s="204">
        <v>34000</v>
      </c>
      <c r="E32" s="204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9.25" customHeight="1" x14ac:dyDescent="0.2">
      <c r="A33" s="37"/>
      <c r="B33" s="38" t="s">
        <v>30</v>
      </c>
      <c r="C33" s="39"/>
      <c r="D33" s="204">
        <v>0</v>
      </c>
      <c r="E33" s="204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55.5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0</v>
      </c>
      <c r="E34" s="204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9" customHeight="1" x14ac:dyDescent="0.2">
      <c r="A35" s="33"/>
      <c r="B35" s="40" t="s">
        <v>33</v>
      </c>
      <c r="C35" s="39"/>
      <c r="D35" s="204">
        <v>0</v>
      </c>
      <c r="E35" s="204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8.5" customHeight="1" x14ac:dyDescent="0.2">
      <c r="A36" s="33"/>
      <c r="B36" s="38" t="s">
        <v>89</v>
      </c>
      <c r="C36" s="39"/>
      <c r="D36" s="204">
        <v>0</v>
      </c>
      <c r="E36" s="204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5.5" customHeight="1" x14ac:dyDescent="0.2">
      <c r="A37" s="33"/>
      <c r="B37" s="38" t="s">
        <v>35</v>
      </c>
      <c r="C37" s="39"/>
      <c r="D37" s="204">
        <v>0</v>
      </c>
      <c r="E37" s="204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 t="s">
        <v>36</v>
      </c>
      <c r="B38" s="41" t="s">
        <v>37</v>
      </c>
      <c r="C38" s="20" t="s">
        <v>6</v>
      </c>
      <c r="D38" s="216">
        <f>D39+D40+D41+D43+D44+D45</f>
        <v>36290.100000000006</v>
      </c>
      <c r="E38" s="204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3" t="s">
        <v>38</v>
      </c>
      <c r="C39" s="44"/>
      <c r="D39" s="204">
        <v>1064.28</v>
      </c>
      <c r="E39" s="204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2.5" x14ac:dyDescent="0.2">
      <c r="A40" s="42"/>
      <c r="B40" s="43" t="s">
        <v>39</v>
      </c>
      <c r="C40" s="44"/>
      <c r="D40" s="204">
        <v>8554.5</v>
      </c>
      <c r="E40" s="204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/>
      <c r="B41" s="45" t="s">
        <v>40</v>
      </c>
      <c r="C41" s="44"/>
      <c r="D41" s="204">
        <v>23157.69</v>
      </c>
      <c r="E41" s="204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45" x14ac:dyDescent="0.2">
      <c r="A42" s="31"/>
      <c r="B42" s="46" t="s">
        <v>41</v>
      </c>
      <c r="C42" s="44"/>
      <c r="D42" s="204"/>
      <c r="E42" s="204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109</v>
      </c>
      <c r="C43" s="44"/>
      <c r="D43" s="204">
        <v>0</v>
      </c>
      <c r="E43" s="204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1000.16</v>
      </c>
      <c r="E44" s="204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42"/>
      <c r="B45" s="47" t="s">
        <v>92</v>
      </c>
      <c r="C45" s="44"/>
      <c r="D45" s="204">
        <v>2513.4699999999998</v>
      </c>
      <c r="E45" s="204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44.25" customHeight="1" x14ac:dyDescent="0.2">
      <c r="A46" s="12" t="s">
        <v>46</v>
      </c>
      <c r="B46" s="48" t="s">
        <v>47</v>
      </c>
      <c r="C46" s="49"/>
      <c r="D46" s="204"/>
      <c r="E46" s="204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49"/>
      <c r="B47" s="50" t="s">
        <v>48</v>
      </c>
      <c r="C47" s="49"/>
      <c r="D47" s="204"/>
      <c r="E47" s="204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5.5" x14ac:dyDescent="0.2">
      <c r="A48" s="31"/>
      <c r="B48" s="51" t="s">
        <v>49</v>
      </c>
      <c r="C48" s="20" t="s">
        <v>6</v>
      </c>
      <c r="D48" s="216">
        <f>D49+D50+D51</f>
        <v>94537.83</v>
      </c>
      <c r="E48" s="204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2.5" x14ac:dyDescent="0.2">
      <c r="A49" s="33"/>
      <c r="B49" s="28" t="s">
        <v>50</v>
      </c>
      <c r="C49" s="39"/>
      <c r="D49" s="204">
        <v>90538.58</v>
      </c>
      <c r="E49" s="204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x14ac:dyDescent="0.2">
      <c r="A50" s="31"/>
      <c r="B50" s="52" t="s">
        <v>51</v>
      </c>
      <c r="C50" s="39"/>
      <c r="D50" s="204">
        <v>0</v>
      </c>
      <c r="E50" s="204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2.5" x14ac:dyDescent="0.2">
      <c r="A51" s="31"/>
      <c r="B51" s="52" t="s">
        <v>52</v>
      </c>
      <c r="C51" s="39"/>
      <c r="D51" s="204">
        <v>3999.25</v>
      </c>
      <c r="E51" s="204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49"/>
      <c r="B52" s="76" t="s">
        <v>53</v>
      </c>
      <c r="C52" s="49"/>
      <c r="D52" s="204"/>
      <c r="E52" s="204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17"/>
      <c r="B53" s="77" t="s">
        <v>54</v>
      </c>
      <c r="C53" s="20" t="s">
        <v>6</v>
      </c>
      <c r="D53" s="216">
        <f>D54+D55+D56+D57+D58</f>
        <v>316064.2</v>
      </c>
      <c r="E53" s="204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8" t="s">
        <v>55</v>
      </c>
      <c r="C54" s="79"/>
      <c r="D54" s="204">
        <v>49870</v>
      </c>
      <c r="E54" s="204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56</v>
      </c>
      <c r="C55" s="39"/>
      <c r="D55" s="204">
        <v>81904.94</v>
      </c>
      <c r="E55" s="204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57</v>
      </c>
      <c r="C56" s="79"/>
      <c r="D56" s="204">
        <v>13230</v>
      </c>
      <c r="E56" s="204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59</v>
      </c>
      <c r="C57" s="39"/>
      <c r="D57" s="204">
        <v>159388.20000000001</v>
      </c>
      <c r="E57" s="204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28" t="s">
        <v>97</v>
      </c>
      <c r="C58" s="79"/>
      <c r="D58" s="204">
        <v>11671.06</v>
      </c>
      <c r="E58" s="204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3" t="s">
        <v>60</v>
      </c>
      <c r="B59" s="107" t="s">
        <v>260</v>
      </c>
      <c r="C59" s="39"/>
      <c r="D59" s="216">
        <v>125809.77</v>
      </c>
      <c r="E59" s="204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1" t="s">
        <v>62</v>
      </c>
      <c r="B60" s="210" t="s">
        <v>252</v>
      </c>
      <c r="C60" s="12" t="s">
        <v>6</v>
      </c>
      <c r="D60" s="216">
        <v>12059.23</v>
      </c>
      <c r="E60" s="204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48" x14ac:dyDescent="0.2">
      <c r="A61" s="31" t="s">
        <v>64</v>
      </c>
      <c r="B61" s="56" t="s">
        <v>65</v>
      </c>
      <c r="C61" s="53" t="s">
        <v>6</v>
      </c>
      <c r="D61" s="216">
        <v>78750</v>
      </c>
      <c r="E61" s="204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60" x14ac:dyDescent="0.2">
      <c r="A62" s="31" t="s">
        <v>251</v>
      </c>
      <c r="B62" s="57" t="s">
        <v>98</v>
      </c>
      <c r="C62" s="55" t="s">
        <v>6</v>
      </c>
      <c r="D62" s="216">
        <f>182953.36+11610.94</f>
        <v>194564.3</v>
      </c>
      <c r="E62" s="204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" x14ac:dyDescent="0.25">
      <c r="A63" s="31" t="s">
        <v>68</v>
      </c>
      <c r="B63" s="58" t="s">
        <v>69</v>
      </c>
      <c r="C63" s="55" t="s">
        <v>6</v>
      </c>
      <c r="D63" s="218">
        <f>D16*6%</f>
        <v>61426.832399999999</v>
      </c>
      <c r="E63" s="204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x14ac:dyDescent="0.2">
      <c r="A64" s="31"/>
      <c r="B64" s="59" t="s">
        <v>70</v>
      </c>
      <c r="C64" s="55" t="s">
        <v>6</v>
      </c>
      <c r="D64" s="218">
        <f>D63+D62+D61+D60+D53+D48+D38+D34+D31+D28+D24+D59</f>
        <v>1142740.9723999999</v>
      </c>
      <c r="E64" s="204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/>
      <c r="B65" s="96"/>
      <c r="C65" s="6"/>
      <c r="D65" s="216"/>
      <c r="E65" s="204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x14ac:dyDescent="0.2">
      <c r="A66" s="81"/>
      <c r="B66" s="97"/>
      <c r="C66" s="98"/>
      <c r="D66" s="158"/>
      <c r="E66" s="15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" x14ac:dyDescent="0.25">
      <c r="A67" s="81"/>
      <c r="B67" s="99" t="s">
        <v>76</v>
      </c>
      <c r="C67" s="64"/>
      <c r="D67" s="159">
        <f>D6+D16-D64</f>
        <v>99134.897600000259</v>
      </c>
      <c r="E67" s="153"/>
      <c r="F67" s="81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" x14ac:dyDescent="0.25">
      <c r="A68" s="81"/>
      <c r="B68" s="99"/>
      <c r="C68" s="64"/>
      <c r="D68" s="159"/>
      <c r="E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" x14ac:dyDescent="0.25">
      <c r="A69" s="81"/>
      <c r="B69" s="99"/>
      <c r="C69" s="64"/>
      <c r="D69" s="64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" x14ac:dyDescent="0.25">
      <c r="A70" s="81"/>
      <c r="B70" s="99"/>
      <c r="C70" s="64"/>
      <c r="D70" s="64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" x14ac:dyDescent="0.25">
      <c r="A71" s="81"/>
      <c r="B71" s="99"/>
      <c r="C71" s="63"/>
      <c r="D71" s="81"/>
      <c r="E71" s="80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B72" s="66" t="s">
        <v>72</v>
      </c>
      <c r="C72" s="66"/>
      <c r="D72" s="66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">
      <c r="B73" s="66" t="s">
        <v>74</v>
      </c>
      <c r="C73" s="66"/>
      <c r="D73" s="189" t="s">
        <v>273</v>
      </c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5" x14ac:dyDescent="0.25">
      <c r="B74" s="99"/>
      <c r="C74" s="63"/>
      <c r="D74" s="81"/>
      <c r="E74" s="80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15" x14ac:dyDescent="0.25">
      <c r="B75" s="99"/>
      <c r="C75" s="63"/>
      <c r="D75" s="81"/>
      <c r="E75" s="80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15" x14ac:dyDescent="0.25">
      <c r="B76" s="99"/>
      <c r="C76" s="63"/>
      <c r="D76" s="81"/>
      <c r="E76" s="80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15" x14ac:dyDescent="0.25">
      <c r="B77" s="99"/>
      <c r="C77" s="63"/>
      <c r="D77" s="81"/>
      <c r="E77" s="80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1:15" ht="15" x14ac:dyDescent="0.25">
      <c r="B78" s="99"/>
      <c r="C78" s="63"/>
      <c r="D78" s="81"/>
      <c r="E78" s="80"/>
    </row>
    <row r="79" spans="1:15" ht="15" x14ac:dyDescent="0.25">
      <c r="B79" s="99"/>
      <c r="C79" s="63"/>
      <c r="D79" s="81"/>
      <c r="E79" s="80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52" workbookViewId="0">
      <selection activeCell="G21" sqref="G21:R75"/>
    </sheetView>
  </sheetViews>
  <sheetFormatPr defaultColWidth="9" defaultRowHeight="14.25" x14ac:dyDescent="0.2"/>
  <cols>
    <col min="1" max="1" width="5.42578125" style="1" customWidth="1"/>
    <col min="2" max="2" width="40" style="1" customWidth="1"/>
    <col min="3" max="3" width="9" style="1"/>
    <col min="4" max="4" width="12.7109375" style="1" customWidth="1"/>
    <col min="5" max="5" width="10.5703125" style="1" customWidth="1"/>
    <col min="6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9" t="s">
        <v>245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A5" s="168"/>
      <c r="B5" s="163" t="s">
        <v>182</v>
      </c>
      <c r="C5" s="163"/>
      <c r="D5" s="163">
        <v>341583.97</v>
      </c>
      <c r="E5" s="168"/>
    </row>
    <row r="6" spans="1:15" x14ac:dyDescent="0.2">
      <c r="A6" s="160"/>
      <c r="B6" s="164" t="s">
        <v>211</v>
      </c>
      <c r="C6" s="164" t="s">
        <v>6</v>
      </c>
      <c r="D6" s="170">
        <v>120423.54</v>
      </c>
      <c r="E6" s="160"/>
    </row>
    <row r="7" spans="1:15" x14ac:dyDescent="0.2">
      <c r="A7" s="160"/>
      <c r="B7" s="164"/>
      <c r="C7" s="164"/>
      <c r="D7" s="170"/>
      <c r="E7" s="160"/>
    </row>
    <row r="8" spans="1:15" x14ac:dyDescent="0.2">
      <c r="A8" s="160"/>
      <c r="B8" s="165" t="s">
        <v>2</v>
      </c>
      <c r="C8" s="164"/>
      <c r="D8" s="171">
        <v>6018.32</v>
      </c>
      <c r="E8" s="160"/>
    </row>
    <row r="9" spans="1:15" x14ac:dyDescent="0.2">
      <c r="A9" s="160"/>
      <c r="B9" s="165" t="s">
        <v>4</v>
      </c>
      <c r="C9" s="164"/>
      <c r="D9" s="171">
        <v>4346.8900000000003</v>
      </c>
      <c r="E9" s="160"/>
    </row>
    <row r="10" spans="1:15" x14ac:dyDescent="0.2">
      <c r="A10" s="160"/>
      <c r="B10" s="166" t="s">
        <v>5</v>
      </c>
      <c r="C10" s="164" t="s">
        <v>6</v>
      </c>
      <c r="D10" s="170">
        <v>1067299.78</v>
      </c>
      <c r="E10" s="160"/>
    </row>
    <row r="11" spans="1:15" x14ac:dyDescent="0.2">
      <c r="A11" s="160"/>
      <c r="B11" s="164"/>
      <c r="C11" s="164"/>
      <c r="D11" s="171"/>
      <c r="E11" s="160"/>
    </row>
    <row r="12" spans="1:15" x14ac:dyDescent="0.2">
      <c r="A12" s="160"/>
      <c r="B12" s="166" t="s">
        <v>7</v>
      </c>
      <c r="C12" s="164"/>
      <c r="D12" s="171"/>
      <c r="E12" s="160"/>
    </row>
    <row r="13" spans="1:15" x14ac:dyDescent="0.2">
      <c r="A13" s="160">
        <v>1</v>
      </c>
      <c r="B13" s="167" t="s">
        <v>208</v>
      </c>
      <c r="C13" s="164" t="s">
        <v>6</v>
      </c>
      <c r="D13" s="171">
        <v>943378.3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160">
        <v>2</v>
      </c>
      <c r="B14" s="167" t="s">
        <v>9</v>
      </c>
      <c r="C14" s="164"/>
      <c r="D14" s="171">
        <f>9816+9000</f>
        <v>18816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160"/>
      <c r="B15" s="166" t="s">
        <v>10</v>
      </c>
      <c r="C15" s="164" t="s">
        <v>6</v>
      </c>
      <c r="D15" s="170">
        <f>D13+D14</f>
        <v>962194.3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160"/>
      <c r="B16" s="164"/>
      <c r="C16" s="164"/>
      <c r="D16" s="160"/>
      <c r="E16" s="160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168"/>
      <c r="B17" s="163"/>
      <c r="C17" s="163"/>
      <c r="D17" s="168"/>
      <c r="E17" s="168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 t="s">
        <v>11</v>
      </c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A19" s="13"/>
      <c r="B19" s="14"/>
      <c r="C19" s="14"/>
      <c r="D19" s="13"/>
      <c r="E19" s="1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15</v>
      </c>
      <c r="B21" s="20" t="s">
        <v>16</v>
      </c>
      <c r="C21" s="20" t="s">
        <v>87</v>
      </c>
      <c r="D21" s="18" t="s">
        <v>17</v>
      </c>
      <c r="E21" s="21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25.5" x14ac:dyDescent="0.2">
      <c r="A22" s="22" t="s">
        <v>18</v>
      </c>
      <c r="B22" s="23" t="s">
        <v>88</v>
      </c>
      <c r="C22" s="24"/>
      <c r="D22" s="6"/>
      <c r="E22" s="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51" x14ac:dyDescent="0.2">
      <c r="A23" s="22"/>
      <c r="B23" s="25" t="s">
        <v>20</v>
      </c>
      <c r="C23" s="7" t="s">
        <v>6</v>
      </c>
      <c r="D23" s="216">
        <f>D24+D25+D26</f>
        <v>138645.70000000001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78.75" x14ac:dyDescent="0.2">
      <c r="A24" s="22"/>
      <c r="B24" s="28" t="s">
        <v>21</v>
      </c>
      <c r="C24" s="29"/>
      <c r="D24" s="204">
        <v>68599.19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12.5" x14ac:dyDescent="0.2">
      <c r="A25" s="30"/>
      <c r="B25" s="28" t="s">
        <v>22</v>
      </c>
      <c r="C25" s="29"/>
      <c r="D25" s="204">
        <f>59300+1118.51</f>
        <v>60418.51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22.5" x14ac:dyDescent="0.2">
      <c r="A26" s="31"/>
      <c r="B26" s="40" t="s">
        <v>23</v>
      </c>
      <c r="C26" s="69"/>
      <c r="D26" s="204">
        <v>9628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5.5" x14ac:dyDescent="0.2">
      <c r="A27" s="22"/>
      <c r="B27" s="25" t="s">
        <v>24</v>
      </c>
      <c r="C27" s="7" t="s">
        <v>6</v>
      </c>
      <c r="D27" s="216">
        <f>D28+D29</f>
        <v>9343.25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x14ac:dyDescent="0.2">
      <c r="A28" s="33"/>
      <c r="B28" s="70" t="s">
        <v>25</v>
      </c>
      <c r="C28" s="35"/>
      <c r="D28" s="204">
        <v>8300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22"/>
      <c r="B29" s="70" t="s">
        <v>26</v>
      </c>
      <c r="C29" s="35"/>
      <c r="D29" s="204">
        <v>1043.25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45.75" customHeight="1" x14ac:dyDescent="0.2">
      <c r="A30" s="22" t="s">
        <v>27</v>
      </c>
      <c r="B30" s="25" t="s">
        <v>28</v>
      </c>
      <c r="C30" s="36" t="s">
        <v>6</v>
      </c>
      <c r="D30" s="216">
        <f>D31+D32</f>
        <v>28700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71.25" customHeight="1" x14ac:dyDescent="0.2">
      <c r="A31" s="37"/>
      <c r="B31" s="28" t="s">
        <v>29</v>
      </c>
      <c r="C31" s="29"/>
      <c r="D31" s="204">
        <v>28700</v>
      </c>
      <c r="E31" s="6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31.5" customHeight="1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44.25" customHeight="1" x14ac:dyDescent="0.2">
      <c r="A33" s="37" t="s">
        <v>31</v>
      </c>
      <c r="B33" s="25" t="s">
        <v>32</v>
      </c>
      <c r="C33" s="7" t="s">
        <v>6</v>
      </c>
      <c r="D33" s="216">
        <f>D34+D35+D36</f>
        <v>6800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42" customHeight="1" x14ac:dyDescent="0.2">
      <c r="A34" s="33"/>
      <c r="B34" s="40" t="s">
        <v>33</v>
      </c>
      <c r="C34" s="39"/>
      <c r="D34" s="204">
        <v>2000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2.5" x14ac:dyDescent="0.2">
      <c r="A35" s="33"/>
      <c r="B35" s="38" t="s">
        <v>89</v>
      </c>
      <c r="C35" s="39"/>
      <c r="D35" s="204">
        <v>4800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6.25" customHeight="1" x14ac:dyDescent="0.2">
      <c r="A36" s="33"/>
      <c r="B36" s="38" t="s">
        <v>169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5.75" x14ac:dyDescent="0.25">
      <c r="A37" s="31" t="s">
        <v>36</v>
      </c>
      <c r="B37" s="41" t="s">
        <v>37</v>
      </c>
      <c r="C37" s="7" t="s">
        <v>6</v>
      </c>
      <c r="D37" s="216">
        <f>D38+D39+D40+D42+D43+D44</f>
        <v>46379.97</v>
      </c>
      <c r="E37" s="6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">
      <c r="A38" s="42"/>
      <c r="B38" s="43" t="s">
        <v>38</v>
      </c>
      <c r="C38" s="44"/>
      <c r="D38" s="204">
        <v>3465.84</v>
      </c>
      <c r="E38" s="6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22.5" x14ac:dyDescent="0.2">
      <c r="A39" s="42"/>
      <c r="B39" s="43" t="s">
        <v>39</v>
      </c>
      <c r="C39" s="44"/>
      <c r="D39" s="204">
        <v>8142.08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18.75" customHeight="1" x14ac:dyDescent="0.2">
      <c r="A40" s="42"/>
      <c r="B40" s="45" t="s">
        <v>40</v>
      </c>
      <c r="C40" s="44"/>
      <c r="D40" s="204">
        <v>20295.400000000001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41.25" customHeight="1" x14ac:dyDescent="0.2">
      <c r="A41" s="31"/>
      <c r="B41" s="46" t="s">
        <v>41</v>
      </c>
      <c r="C41" s="44"/>
      <c r="D41" s="204"/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x14ac:dyDescent="0.2">
      <c r="A42" s="42"/>
      <c r="B42" s="208" t="s">
        <v>267</v>
      </c>
      <c r="C42" s="44"/>
      <c r="D42" s="204">
        <v>10000</v>
      </c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91</v>
      </c>
      <c r="C43" s="44"/>
      <c r="D43" s="204">
        <v>973.85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7.25" customHeight="1" x14ac:dyDescent="0.2">
      <c r="A44" s="29"/>
      <c r="B44" s="47" t="s">
        <v>92</v>
      </c>
      <c r="C44" s="44"/>
      <c r="D44" s="204">
        <v>3502.8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43.5" customHeight="1" x14ac:dyDescent="0.2">
      <c r="A45" s="12" t="s">
        <v>46</v>
      </c>
      <c r="B45" s="48" t="s">
        <v>47</v>
      </c>
      <c r="C45" s="49"/>
      <c r="D45" s="204"/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x14ac:dyDescent="0.2">
      <c r="A46" s="49"/>
      <c r="B46" s="50" t="s">
        <v>48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5.5" x14ac:dyDescent="0.2">
      <c r="A47" s="31"/>
      <c r="B47" s="51" t="s">
        <v>49</v>
      </c>
      <c r="C47" s="7" t="s">
        <v>6</v>
      </c>
      <c r="D47" s="216">
        <f>D48+D49+D50</f>
        <v>126976.33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2.5" x14ac:dyDescent="0.2">
      <c r="A48" s="33"/>
      <c r="B48" s="28" t="s">
        <v>50</v>
      </c>
      <c r="C48" s="39"/>
      <c r="D48" s="204">
        <v>122028.69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31"/>
      <c r="B49" s="52" t="s">
        <v>51</v>
      </c>
      <c r="C49" s="75"/>
      <c r="D49" s="204">
        <v>0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1"/>
      <c r="B50" s="52" t="s">
        <v>52</v>
      </c>
      <c r="C50" s="75"/>
      <c r="D50" s="204">
        <v>4947.6400000000003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49"/>
      <c r="B51" s="76" t="s">
        <v>53</v>
      </c>
      <c r="C51" s="49"/>
      <c r="D51" s="204"/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17"/>
      <c r="B52" s="77" t="s">
        <v>54</v>
      </c>
      <c r="C52" s="7" t="s">
        <v>6</v>
      </c>
      <c r="D52" s="216">
        <f>D53+D54+D55+D56+D57</f>
        <v>249059.79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17"/>
      <c r="B53" s="78" t="s">
        <v>55</v>
      </c>
      <c r="C53" s="79"/>
      <c r="D53" s="204">
        <v>40831.79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8" t="s">
        <v>56</v>
      </c>
      <c r="C54" s="39"/>
      <c r="D54" s="204">
        <v>71200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57</v>
      </c>
      <c r="C55" s="79"/>
      <c r="D55" s="204">
        <v>10112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59</v>
      </c>
      <c r="C56" s="39"/>
      <c r="D56" s="204">
        <v>115823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28" t="s">
        <v>97</v>
      </c>
      <c r="C57" s="79"/>
      <c r="D57" s="204">
        <v>11093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33" t="s">
        <v>60</v>
      </c>
      <c r="B58" s="210" t="s">
        <v>252</v>
      </c>
      <c r="C58" s="12" t="s">
        <v>6</v>
      </c>
      <c r="D58" s="216">
        <v>10568.71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1" t="s">
        <v>62</v>
      </c>
      <c r="B59" s="107" t="s">
        <v>260</v>
      </c>
      <c r="C59" s="7" t="s">
        <v>6</v>
      </c>
      <c r="D59" s="218">
        <v>97366.29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33.75" x14ac:dyDescent="0.2">
      <c r="A60" s="31"/>
      <c r="B60" s="54" t="s">
        <v>63</v>
      </c>
      <c r="C60" s="55"/>
      <c r="D60" s="218"/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48" x14ac:dyDescent="0.2">
      <c r="A61" s="31" t="s">
        <v>64</v>
      </c>
      <c r="B61" s="56" t="s">
        <v>65</v>
      </c>
      <c r="C61" s="7" t="s">
        <v>6</v>
      </c>
      <c r="D61" s="218">
        <v>67246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60" x14ac:dyDescent="0.2">
      <c r="A62" s="31" t="s">
        <v>66</v>
      </c>
      <c r="B62" s="57" t="s">
        <v>98</v>
      </c>
      <c r="C62" s="7" t="s">
        <v>6</v>
      </c>
      <c r="D62" s="218">
        <f>164733.8+5800</f>
        <v>170533.8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" x14ac:dyDescent="0.25">
      <c r="A63" s="31" t="s">
        <v>68</v>
      </c>
      <c r="B63" s="58" t="s">
        <v>69</v>
      </c>
      <c r="C63" s="7" t="s">
        <v>6</v>
      </c>
      <c r="D63" s="218">
        <f>D15*6%</f>
        <v>57731.658000000003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x14ac:dyDescent="0.2">
      <c r="A64" s="31"/>
      <c r="B64" s="59" t="s">
        <v>70</v>
      </c>
      <c r="C64" s="7" t="s">
        <v>6</v>
      </c>
      <c r="D64" s="218">
        <f>D63+D62+D61+D59+D58+D52+D47+D37+D33+D30+D27+D23</f>
        <v>1009351.4979999999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.75" x14ac:dyDescent="0.25">
      <c r="A65" s="60"/>
      <c r="B65" s="61"/>
      <c r="C65" s="62"/>
      <c r="D65" s="153"/>
      <c r="E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243" t="s">
        <v>116</v>
      </c>
      <c r="C66" s="62"/>
      <c r="D66" s="234">
        <f>D6+D15-D64</f>
        <v>73266.342000000179</v>
      </c>
      <c r="E66" s="153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B67" s="61"/>
      <c r="C67" s="62"/>
      <c r="D67" s="234"/>
      <c r="E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B68" s="61"/>
      <c r="C68" s="62"/>
      <c r="D68" s="234"/>
      <c r="E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B69" s="61"/>
      <c r="C69" s="62"/>
      <c r="D69" s="65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x14ac:dyDescent="0.2">
      <c r="B70" s="66" t="s">
        <v>72</v>
      </c>
      <c r="C70" s="66"/>
      <c r="D70" s="66" t="s">
        <v>73</v>
      </c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x14ac:dyDescent="0.2">
      <c r="B71" s="66" t="s">
        <v>74</v>
      </c>
      <c r="C71" s="66"/>
      <c r="D71" s="189" t="s">
        <v>273</v>
      </c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5.75" x14ac:dyDescent="0.25">
      <c r="B72" s="61"/>
      <c r="C72" s="62"/>
      <c r="D72" s="65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5.75" x14ac:dyDescent="0.25">
      <c r="B73" s="61"/>
      <c r="C73" s="62"/>
      <c r="D73" s="65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5.75" x14ac:dyDescent="0.25">
      <c r="B74" s="61"/>
      <c r="C74" s="62"/>
      <c r="D74" s="65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15.75" x14ac:dyDescent="0.25">
      <c r="B75" s="61"/>
      <c r="C75" s="62"/>
      <c r="D75" s="65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15.75" x14ac:dyDescent="0.25">
      <c r="B76" s="61"/>
      <c r="C76" s="62"/>
      <c r="D76" s="65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55" workbookViewId="0">
      <selection activeCell="N72" sqref="N72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7.5703125" style="1" customWidth="1"/>
    <col min="4" max="4" width="12.7109375" style="1" customWidth="1"/>
    <col min="5" max="5" width="11.5703125" style="1" customWidth="1"/>
    <col min="6" max="6" width="12.42578125" style="1" customWidth="1"/>
    <col min="7" max="7" width="10.85546875" style="1" customWidth="1"/>
    <col min="8" max="8" width="13" style="1" customWidth="1"/>
    <col min="9" max="9" width="12.140625" style="1" customWidth="1"/>
    <col min="10" max="10" width="9.28515625" style="1" customWidth="1"/>
    <col min="11" max="11" width="10.5703125" style="1" customWidth="1"/>
    <col min="12" max="16384" width="9" style="1"/>
  </cols>
  <sheetData>
    <row r="1" spans="1:14" ht="15" x14ac:dyDescent="0.25">
      <c r="B1" s="82" t="s">
        <v>0</v>
      </c>
      <c r="C1" s="2"/>
      <c r="D1" s="3"/>
    </row>
    <row r="2" spans="1:14" ht="15" customHeight="1" x14ac:dyDescent="0.2">
      <c r="A2" s="298" t="s">
        <v>111</v>
      </c>
      <c r="B2" s="298"/>
      <c r="C2" s="298"/>
      <c r="D2" s="298"/>
      <c r="E2" s="298"/>
      <c r="F2" s="4"/>
    </row>
    <row r="3" spans="1:14" ht="15" customHeight="1" x14ac:dyDescent="0.2">
      <c r="A3" s="4"/>
      <c r="B3" s="299" t="s">
        <v>225</v>
      </c>
      <c r="C3" s="298"/>
      <c r="D3" s="298"/>
      <c r="E3" s="298"/>
    </row>
    <row r="4" spans="1:14" x14ac:dyDescent="0.2">
      <c r="A4" s="4"/>
      <c r="B4" s="293"/>
      <c r="C4" s="293"/>
      <c r="D4" s="293"/>
      <c r="E4" s="293"/>
    </row>
    <row r="5" spans="1:14" x14ac:dyDescent="0.2">
      <c r="B5" s="163" t="s">
        <v>182</v>
      </c>
      <c r="C5" s="163"/>
      <c r="D5" s="163">
        <v>215698.81</v>
      </c>
      <c r="E5" s="168"/>
    </row>
    <row r="6" spans="1:14" x14ac:dyDescent="0.2">
      <c r="A6" s="6"/>
      <c r="B6" s="164" t="s">
        <v>211</v>
      </c>
      <c r="C6" s="167" t="s">
        <v>6</v>
      </c>
      <c r="D6" s="170">
        <v>711063.57</v>
      </c>
      <c r="E6" s="160"/>
    </row>
    <row r="7" spans="1:14" x14ac:dyDescent="0.2">
      <c r="A7" s="6"/>
      <c r="B7" s="164"/>
      <c r="C7" s="167"/>
      <c r="D7" s="170"/>
      <c r="E7" s="160"/>
    </row>
    <row r="8" spans="1:14" x14ac:dyDescent="0.2">
      <c r="A8" s="6"/>
      <c r="B8" s="165" t="s">
        <v>2</v>
      </c>
      <c r="C8" s="167" t="s">
        <v>3</v>
      </c>
      <c r="D8" s="171">
        <v>7399.64</v>
      </c>
      <c r="E8" s="160"/>
    </row>
    <row r="9" spans="1:14" x14ac:dyDescent="0.2">
      <c r="A9" s="6"/>
      <c r="B9" s="165" t="s">
        <v>4</v>
      </c>
      <c r="C9" s="167" t="s">
        <v>3</v>
      </c>
      <c r="D9" s="171">
        <v>5058.1000000000004</v>
      </c>
      <c r="E9" s="160"/>
    </row>
    <row r="10" spans="1:14" x14ac:dyDescent="0.2">
      <c r="A10" s="6"/>
      <c r="B10" s="166" t="s">
        <v>5</v>
      </c>
      <c r="C10" s="164" t="s">
        <v>6</v>
      </c>
      <c r="D10" s="170">
        <v>1169748.57</v>
      </c>
      <c r="E10" s="160"/>
    </row>
    <row r="11" spans="1:14" x14ac:dyDescent="0.2">
      <c r="A11" s="6"/>
      <c r="B11" s="164"/>
      <c r="C11" s="164"/>
      <c r="D11" s="171"/>
      <c r="E11" s="160"/>
    </row>
    <row r="12" spans="1:14" x14ac:dyDescent="0.2">
      <c r="A12" s="6"/>
      <c r="B12" s="166" t="s">
        <v>7</v>
      </c>
      <c r="C12" s="164"/>
      <c r="D12" s="171"/>
      <c r="E12" s="160"/>
    </row>
    <row r="13" spans="1:14" x14ac:dyDescent="0.2">
      <c r="A13" s="6">
        <v>1</v>
      </c>
      <c r="B13" s="167" t="s">
        <v>84</v>
      </c>
      <c r="C13" s="167" t="s">
        <v>6</v>
      </c>
      <c r="D13" s="171">
        <v>1102154.55</v>
      </c>
      <c r="E13" s="160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167" t="s">
        <v>9</v>
      </c>
      <c r="C14" s="167" t="s">
        <v>6</v>
      </c>
      <c r="D14" s="171">
        <f>18000</f>
        <v>18000</v>
      </c>
      <c r="E14" s="160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>
        <v>3</v>
      </c>
      <c r="B15" s="167" t="s">
        <v>106</v>
      </c>
      <c r="C15" s="167" t="s">
        <v>6</v>
      </c>
      <c r="D15" s="171">
        <v>9199.77</v>
      </c>
      <c r="E15" s="160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166" t="s">
        <v>10</v>
      </c>
      <c r="C16" s="164" t="s">
        <v>6</v>
      </c>
      <c r="D16" s="170">
        <f>D13+D14+D15</f>
        <v>1129354.32</v>
      </c>
      <c r="E16" s="160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164"/>
      <c r="C17" s="164"/>
      <c r="D17" s="160"/>
      <c r="E17" s="160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B20" s="5"/>
      <c r="C20" s="5"/>
      <c r="G20" s="153"/>
      <c r="H20" s="153"/>
      <c r="I20" s="153"/>
      <c r="J20" s="153"/>
      <c r="K20" s="153"/>
      <c r="L20" s="153"/>
      <c r="M20" s="153"/>
      <c r="N20" s="153"/>
    </row>
    <row r="21" spans="1:14" x14ac:dyDescent="0.2">
      <c r="A21" s="13"/>
      <c r="B21" s="14"/>
      <c r="C21" s="14"/>
      <c r="D21" s="13"/>
      <c r="E21" s="13"/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12</v>
      </c>
      <c r="B22" s="16"/>
      <c r="C22" s="17" t="s">
        <v>85</v>
      </c>
      <c r="D22" s="18" t="s">
        <v>13</v>
      </c>
      <c r="E22" s="19"/>
      <c r="G22" s="153"/>
      <c r="H22" s="153"/>
      <c r="I22" s="153"/>
      <c r="J22" s="153"/>
      <c r="K22" s="153"/>
      <c r="L22" s="153"/>
      <c r="M22" s="153"/>
      <c r="N22" s="153"/>
    </row>
    <row r="23" spans="1:14" ht="15" x14ac:dyDescent="0.25">
      <c r="A23" s="15" t="s">
        <v>15</v>
      </c>
      <c r="B23" s="20" t="s">
        <v>16</v>
      </c>
      <c r="C23" s="20" t="s">
        <v>87</v>
      </c>
      <c r="D23" s="18" t="s">
        <v>17</v>
      </c>
      <c r="E23" s="19"/>
      <c r="G23" s="153"/>
      <c r="H23" s="153"/>
      <c r="I23" s="153"/>
      <c r="J23" s="153"/>
      <c r="K23" s="153"/>
      <c r="L23" s="153"/>
      <c r="M23" s="153"/>
      <c r="N23" s="153"/>
    </row>
    <row r="24" spans="1:14" ht="25.5" x14ac:dyDescent="0.2">
      <c r="A24" s="22" t="s">
        <v>18</v>
      </c>
      <c r="B24" s="23" t="s">
        <v>88</v>
      </c>
      <c r="C24" s="24"/>
      <c r="D24" s="204"/>
      <c r="E24" s="204"/>
      <c r="G24" s="153"/>
      <c r="H24" s="153"/>
      <c r="I24" s="153"/>
      <c r="J24" s="153"/>
      <c r="K24" s="153"/>
      <c r="L24" s="153"/>
      <c r="M24" s="153"/>
      <c r="N24" s="153"/>
    </row>
    <row r="25" spans="1:14" ht="55.5" customHeight="1" x14ac:dyDescent="0.2">
      <c r="A25" s="22"/>
      <c r="B25" s="25" t="s">
        <v>20</v>
      </c>
      <c r="C25" s="7" t="s">
        <v>6</v>
      </c>
      <c r="D25" s="216">
        <f>D26+D27+D28</f>
        <v>480024.43000000005</v>
      </c>
      <c r="E25" s="204"/>
      <c r="G25" s="153"/>
      <c r="H25" s="153"/>
      <c r="I25" s="153"/>
      <c r="J25" s="153"/>
      <c r="K25" s="153"/>
      <c r="L25" s="153"/>
      <c r="M25" s="153"/>
      <c r="N25" s="153"/>
    </row>
    <row r="26" spans="1:14" ht="83.25" customHeight="1" x14ac:dyDescent="0.2">
      <c r="A26" s="22"/>
      <c r="B26" s="28" t="s">
        <v>21</v>
      </c>
      <c r="C26" s="29"/>
      <c r="D26" s="204">
        <v>166600.28</v>
      </c>
      <c r="E26" s="204"/>
      <c r="G26" s="153"/>
      <c r="H26" s="153"/>
      <c r="I26" s="153"/>
      <c r="J26" s="153"/>
      <c r="K26" s="153"/>
      <c r="L26" s="153"/>
      <c r="M26" s="153"/>
      <c r="N26" s="153"/>
    </row>
    <row r="27" spans="1:14" ht="112.5" x14ac:dyDescent="0.2">
      <c r="A27" s="30"/>
      <c r="B27" s="28" t="s">
        <v>22</v>
      </c>
      <c r="C27" s="29"/>
      <c r="D27" s="204">
        <v>304900</v>
      </c>
      <c r="E27" s="204"/>
      <c r="G27" s="153"/>
      <c r="H27" s="153"/>
      <c r="I27" s="153"/>
      <c r="J27" s="153"/>
      <c r="K27" s="153"/>
      <c r="L27" s="153"/>
      <c r="M27" s="153"/>
      <c r="N27" s="153"/>
    </row>
    <row r="28" spans="1:14" ht="22.5" x14ac:dyDescent="0.2">
      <c r="A28" s="31"/>
      <c r="B28" s="40" t="s">
        <v>23</v>
      </c>
      <c r="C28" s="29"/>
      <c r="D28" s="204">
        <v>8524.15</v>
      </c>
      <c r="E28" s="204"/>
      <c r="G28" s="153"/>
      <c r="H28" s="153"/>
      <c r="I28" s="153"/>
      <c r="J28" s="153"/>
      <c r="K28" s="153"/>
      <c r="L28" s="153"/>
      <c r="M28" s="153"/>
      <c r="N28" s="153"/>
    </row>
    <row r="29" spans="1:14" ht="25.5" x14ac:dyDescent="0.2">
      <c r="A29" s="22"/>
      <c r="B29" s="25" t="s">
        <v>24</v>
      </c>
      <c r="C29" s="7" t="s">
        <v>6</v>
      </c>
      <c r="D29" s="216">
        <f>D30+D31</f>
        <v>13624</v>
      </c>
      <c r="E29" s="204"/>
      <c r="G29" s="153"/>
      <c r="H29" s="153"/>
      <c r="I29" s="153"/>
      <c r="J29" s="153"/>
      <c r="K29" s="153"/>
      <c r="L29" s="153"/>
      <c r="M29" s="153"/>
      <c r="N29" s="153"/>
    </row>
    <row r="30" spans="1:14" x14ac:dyDescent="0.2">
      <c r="A30" s="33"/>
      <c r="B30" s="70" t="s">
        <v>25</v>
      </c>
      <c r="C30" s="35"/>
      <c r="D30" s="204">
        <v>11500</v>
      </c>
      <c r="E30" s="204"/>
      <c r="G30" s="153"/>
      <c r="H30" s="153"/>
      <c r="I30" s="153"/>
      <c r="J30" s="153"/>
      <c r="K30" s="153"/>
      <c r="L30" s="153"/>
      <c r="M30" s="153"/>
      <c r="N30" s="153"/>
    </row>
    <row r="31" spans="1:14" x14ac:dyDescent="0.2">
      <c r="A31" s="22"/>
      <c r="B31" s="70" t="s">
        <v>26</v>
      </c>
      <c r="C31" s="94"/>
      <c r="D31" s="204">
        <v>2124</v>
      </c>
      <c r="E31" s="204"/>
      <c r="G31" s="153"/>
      <c r="H31" s="153"/>
      <c r="I31" s="153"/>
      <c r="J31" s="153"/>
      <c r="K31" s="153"/>
      <c r="L31" s="153"/>
      <c r="M31" s="153"/>
      <c r="N31" s="153"/>
    </row>
    <row r="32" spans="1:14" ht="45" customHeight="1" x14ac:dyDescent="0.2">
      <c r="A32" s="22" t="s">
        <v>27</v>
      </c>
      <c r="B32" s="25" t="s">
        <v>28</v>
      </c>
      <c r="C32" s="7" t="s">
        <v>6</v>
      </c>
      <c r="D32" s="216">
        <f>D33+D34</f>
        <v>39455</v>
      </c>
      <c r="E32" s="204"/>
      <c r="G32" s="153"/>
      <c r="H32" s="153"/>
      <c r="I32" s="153"/>
      <c r="J32" s="153"/>
      <c r="K32" s="153"/>
      <c r="L32" s="153"/>
      <c r="M32" s="153"/>
      <c r="N32" s="153"/>
    </row>
    <row r="33" spans="1:14" ht="81.95" customHeight="1" x14ac:dyDescent="0.2">
      <c r="A33" s="37"/>
      <c r="B33" s="28" t="s">
        <v>29</v>
      </c>
      <c r="C33" s="29"/>
      <c r="D33" s="204">
        <v>39455</v>
      </c>
      <c r="E33" s="204"/>
      <c r="G33" s="153"/>
      <c r="H33" s="153"/>
      <c r="I33" s="153"/>
      <c r="J33" s="153"/>
      <c r="K33" s="153"/>
      <c r="L33" s="153"/>
      <c r="M33" s="153"/>
      <c r="N33" s="153"/>
    </row>
    <row r="34" spans="1:14" ht="27" customHeight="1" x14ac:dyDescent="0.2">
      <c r="A34" s="37"/>
      <c r="B34" s="38" t="s">
        <v>30</v>
      </c>
      <c r="C34" s="39"/>
      <c r="D34" s="204">
        <v>0</v>
      </c>
      <c r="E34" s="204"/>
      <c r="G34" s="153"/>
      <c r="H34" s="153"/>
      <c r="I34" s="153"/>
      <c r="J34" s="153"/>
      <c r="K34" s="153"/>
      <c r="L34" s="153"/>
      <c r="M34" s="153"/>
      <c r="N34" s="153"/>
    </row>
    <row r="35" spans="1:14" ht="42.75" customHeight="1" x14ac:dyDescent="0.2">
      <c r="A35" s="37" t="s">
        <v>31</v>
      </c>
      <c r="B35" s="25" t="s">
        <v>32</v>
      </c>
      <c r="C35" s="7" t="s">
        <v>6</v>
      </c>
      <c r="D35" s="216">
        <f>D36+D37+D38</f>
        <v>3926</v>
      </c>
      <c r="E35" s="204"/>
      <c r="G35" s="153"/>
      <c r="H35" s="153"/>
      <c r="I35" s="153"/>
      <c r="J35" s="153"/>
      <c r="K35" s="153"/>
      <c r="L35" s="153"/>
      <c r="M35" s="153"/>
      <c r="N35" s="153"/>
    </row>
    <row r="36" spans="1:14" ht="33.75" x14ac:dyDescent="0.2">
      <c r="A36" s="33"/>
      <c r="B36" s="40" t="s">
        <v>33</v>
      </c>
      <c r="C36" s="39"/>
      <c r="D36" s="204">
        <v>1826</v>
      </c>
      <c r="E36" s="204"/>
      <c r="G36" s="153"/>
      <c r="H36" s="153"/>
      <c r="I36" s="153"/>
      <c r="J36" s="153"/>
      <c r="K36" s="153"/>
      <c r="L36" s="153"/>
      <c r="M36" s="153"/>
      <c r="N36" s="153"/>
    </row>
    <row r="37" spans="1:14" ht="22.5" x14ac:dyDescent="0.2">
      <c r="A37" s="33"/>
      <c r="B37" s="38" t="s">
        <v>89</v>
      </c>
      <c r="C37" s="39"/>
      <c r="D37" s="204">
        <v>2100</v>
      </c>
      <c r="E37" s="204"/>
      <c r="G37" s="153"/>
      <c r="H37" s="153"/>
      <c r="I37" s="153"/>
      <c r="J37" s="153"/>
      <c r="K37" s="153"/>
      <c r="L37" s="153"/>
      <c r="M37" s="153"/>
      <c r="N37" s="153"/>
    </row>
    <row r="38" spans="1:14" ht="28.5" customHeight="1" x14ac:dyDescent="0.2">
      <c r="A38" s="33"/>
      <c r="B38" s="38" t="s">
        <v>35</v>
      </c>
      <c r="C38" s="39"/>
      <c r="D38" s="204">
        <v>0</v>
      </c>
      <c r="E38" s="204"/>
      <c r="G38" s="153"/>
      <c r="H38" s="153"/>
      <c r="I38" s="153"/>
      <c r="J38" s="153"/>
      <c r="K38" s="153"/>
      <c r="L38" s="153"/>
      <c r="M38" s="153"/>
      <c r="N38" s="153"/>
    </row>
    <row r="39" spans="1:14" ht="15.75" x14ac:dyDescent="0.25">
      <c r="A39" s="31" t="s">
        <v>36</v>
      </c>
      <c r="B39" s="41" t="s">
        <v>37</v>
      </c>
      <c r="C39" s="7" t="s">
        <v>6</v>
      </c>
      <c r="D39" s="216">
        <f>D40+D41+D42+D44+D45+D46</f>
        <v>62386.85</v>
      </c>
      <c r="E39" s="204"/>
      <c r="G39" s="153"/>
      <c r="H39" s="153"/>
      <c r="I39" s="153"/>
      <c r="J39" s="153"/>
      <c r="K39" s="153"/>
      <c r="L39" s="153"/>
      <c r="M39" s="153"/>
      <c r="N39" s="153"/>
    </row>
    <row r="40" spans="1:14" x14ac:dyDescent="0.2">
      <c r="A40" s="42"/>
      <c r="B40" s="43" t="s">
        <v>38</v>
      </c>
      <c r="C40" s="44"/>
      <c r="D40" s="204">
        <v>3683.4</v>
      </c>
      <c r="E40" s="204"/>
      <c r="G40" s="153"/>
      <c r="H40" s="153"/>
      <c r="I40" s="153"/>
      <c r="J40" s="153"/>
      <c r="K40" s="153"/>
      <c r="L40" s="153"/>
      <c r="M40" s="153"/>
      <c r="N40" s="153"/>
    </row>
    <row r="41" spans="1:14" ht="22.5" x14ac:dyDescent="0.2">
      <c r="A41" s="42"/>
      <c r="B41" s="43" t="s">
        <v>39</v>
      </c>
      <c r="C41" s="44"/>
      <c r="D41" s="204">
        <v>5549.25</v>
      </c>
      <c r="E41" s="204"/>
      <c r="G41" s="153"/>
      <c r="H41" s="153"/>
      <c r="I41" s="153"/>
      <c r="J41" s="153"/>
      <c r="K41" s="153"/>
      <c r="L41" s="153"/>
      <c r="M41" s="153"/>
      <c r="N41" s="153"/>
    </row>
    <row r="42" spans="1:14" x14ac:dyDescent="0.2">
      <c r="A42" s="42"/>
      <c r="B42" s="45" t="s">
        <v>40</v>
      </c>
      <c r="C42" s="44"/>
      <c r="D42" s="204">
        <v>23616</v>
      </c>
      <c r="E42" s="204"/>
      <c r="G42" s="153"/>
      <c r="H42" s="153"/>
      <c r="I42" s="153"/>
      <c r="J42" s="153"/>
      <c r="K42" s="153"/>
      <c r="L42" s="153"/>
      <c r="M42" s="153"/>
      <c r="N42" s="153"/>
    </row>
    <row r="43" spans="1:14" ht="45" x14ac:dyDescent="0.2">
      <c r="A43" s="31"/>
      <c r="B43" s="46" t="s">
        <v>41</v>
      </c>
      <c r="C43" s="44"/>
      <c r="D43" s="204"/>
      <c r="E43" s="204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">
      <c r="A44" s="42"/>
      <c r="B44" s="47" t="s">
        <v>109</v>
      </c>
      <c r="C44" s="44"/>
      <c r="D44" s="204">
        <v>0</v>
      </c>
      <c r="E44" s="204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">
      <c r="A45" s="42"/>
      <c r="B45" s="47" t="s">
        <v>91</v>
      </c>
      <c r="C45" s="44"/>
      <c r="D45" s="204">
        <v>26974.99</v>
      </c>
      <c r="E45" s="204"/>
      <c r="G45" s="153"/>
      <c r="H45" s="153"/>
      <c r="I45" s="153"/>
      <c r="J45" s="153"/>
      <c r="K45" s="153"/>
      <c r="L45" s="153"/>
      <c r="M45" s="153"/>
      <c r="N45" s="153"/>
    </row>
    <row r="46" spans="1:14" ht="17.25" customHeight="1" x14ac:dyDescent="0.2">
      <c r="A46" s="29"/>
      <c r="B46" s="47" t="s">
        <v>92</v>
      </c>
      <c r="C46" s="44"/>
      <c r="D46" s="204">
        <v>2563.21</v>
      </c>
      <c r="E46" s="204"/>
      <c r="G46" s="153"/>
      <c r="H46" s="153"/>
      <c r="I46" s="153"/>
      <c r="J46" s="153"/>
      <c r="K46" s="153"/>
      <c r="L46" s="153"/>
      <c r="M46" s="153"/>
      <c r="N46" s="153"/>
    </row>
    <row r="47" spans="1:14" ht="45" customHeight="1" x14ac:dyDescent="0.2">
      <c r="A47" s="12" t="s">
        <v>46</v>
      </c>
      <c r="B47" s="48" t="s">
        <v>47</v>
      </c>
      <c r="C47" s="49"/>
      <c r="D47" s="204"/>
      <c r="E47" s="204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204"/>
      <c r="G48" s="153"/>
      <c r="H48" s="153"/>
      <c r="I48" s="153"/>
      <c r="J48" s="153"/>
      <c r="K48" s="153"/>
      <c r="L48" s="153"/>
      <c r="M48" s="153"/>
      <c r="N48" s="153"/>
    </row>
    <row r="49" spans="1:14" ht="25.5" x14ac:dyDescent="0.2">
      <c r="A49" s="31"/>
      <c r="B49" s="51" t="s">
        <v>49</v>
      </c>
      <c r="C49" s="7" t="s">
        <v>6</v>
      </c>
      <c r="D49" s="216">
        <f>D50+D51+D52</f>
        <v>100957.81999999999</v>
      </c>
      <c r="E49" s="204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95358.87</v>
      </c>
      <c r="E50" s="204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39"/>
      <c r="D51" s="204">
        <v>0</v>
      </c>
      <c r="E51" s="204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39"/>
      <c r="D52" s="204">
        <v>5598.95</v>
      </c>
      <c r="E52" s="204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49"/>
      <c r="B53" s="76" t="s">
        <v>53</v>
      </c>
      <c r="C53" s="49"/>
      <c r="D53" s="204"/>
      <c r="E53" s="204"/>
      <c r="G53" s="153"/>
      <c r="H53" s="153"/>
      <c r="I53" s="153"/>
      <c r="J53" s="153"/>
      <c r="K53" s="153"/>
      <c r="L53" s="153"/>
      <c r="M53" s="153"/>
      <c r="N53" s="153"/>
    </row>
    <row r="54" spans="1:14" x14ac:dyDescent="0.2">
      <c r="A54" s="17"/>
      <c r="B54" s="77" t="s">
        <v>54</v>
      </c>
      <c r="C54" s="7" t="s">
        <v>6</v>
      </c>
      <c r="D54" s="216">
        <f>D55+D56+D57+D58+D59</f>
        <v>253540.63</v>
      </c>
      <c r="E54" s="204"/>
      <c r="G54" s="153"/>
      <c r="H54" s="153"/>
      <c r="I54" s="153"/>
      <c r="J54" s="153"/>
      <c r="K54" s="153"/>
      <c r="L54" s="153"/>
      <c r="M54" s="153"/>
      <c r="N54" s="153"/>
    </row>
    <row r="55" spans="1:14" x14ac:dyDescent="0.2">
      <c r="A55" s="17"/>
      <c r="B55" s="78" t="s">
        <v>55</v>
      </c>
      <c r="C55" s="79"/>
      <c r="D55" s="204">
        <v>42588.87</v>
      </c>
      <c r="E55" s="204"/>
      <c r="G55" s="153"/>
      <c r="H55" s="153"/>
      <c r="I55" s="153"/>
      <c r="J55" s="153"/>
      <c r="K55" s="153"/>
      <c r="L55" s="153"/>
      <c r="M55" s="153"/>
      <c r="N55" s="153"/>
    </row>
    <row r="56" spans="1:14" x14ac:dyDescent="0.2">
      <c r="A56" s="17"/>
      <c r="B56" s="78" t="s">
        <v>56</v>
      </c>
      <c r="C56" s="79"/>
      <c r="D56" s="204">
        <v>79174</v>
      </c>
      <c r="E56" s="204"/>
      <c r="G56" s="153"/>
      <c r="H56" s="153"/>
      <c r="I56" s="153"/>
      <c r="J56" s="153"/>
      <c r="K56" s="153"/>
      <c r="L56" s="153"/>
      <c r="M56" s="153"/>
      <c r="N56" s="153"/>
    </row>
    <row r="57" spans="1:14" x14ac:dyDescent="0.2">
      <c r="A57" s="17"/>
      <c r="B57" s="78" t="s">
        <v>57</v>
      </c>
      <c r="C57" s="79"/>
      <c r="D57" s="204">
        <v>9989</v>
      </c>
      <c r="E57" s="204"/>
      <c r="G57" s="153"/>
      <c r="H57" s="153"/>
      <c r="I57" s="153"/>
      <c r="J57" s="153"/>
      <c r="K57" s="153"/>
      <c r="L57" s="153"/>
      <c r="M57" s="153"/>
      <c r="N57" s="153"/>
    </row>
    <row r="58" spans="1:14" x14ac:dyDescent="0.2">
      <c r="A58" s="17"/>
      <c r="B58" s="78" t="s">
        <v>59</v>
      </c>
      <c r="C58" s="79"/>
      <c r="D58" s="204">
        <v>112654.9</v>
      </c>
      <c r="E58" s="204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17"/>
      <c r="B59" s="28" t="s">
        <v>97</v>
      </c>
      <c r="C59" s="79"/>
      <c r="D59" s="204">
        <v>9133.86</v>
      </c>
      <c r="E59" s="204"/>
      <c r="G59" s="153"/>
      <c r="H59" s="153"/>
      <c r="I59" s="153"/>
      <c r="J59" s="153"/>
      <c r="K59" s="153"/>
      <c r="L59" s="153"/>
      <c r="M59" s="153"/>
      <c r="N59" s="153"/>
    </row>
    <row r="60" spans="1:14" x14ac:dyDescent="0.2">
      <c r="A60" s="33" t="s">
        <v>60</v>
      </c>
      <c r="B60" s="210" t="s">
        <v>252</v>
      </c>
      <c r="C60" s="12" t="s">
        <v>6</v>
      </c>
      <c r="D60" s="216">
        <v>12297.89</v>
      </c>
      <c r="E60" s="204"/>
      <c r="G60" s="153"/>
      <c r="H60" s="153"/>
      <c r="I60" s="153"/>
      <c r="J60" s="153"/>
      <c r="K60" s="153"/>
      <c r="L60" s="153"/>
      <c r="M60" s="153"/>
      <c r="N60" s="153"/>
    </row>
    <row r="61" spans="1:14" x14ac:dyDescent="0.2">
      <c r="A61" s="31" t="s">
        <v>62</v>
      </c>
      <c r="B61" s="107" t="s">
        <v>260</v>
      </c>
      <c r="C61" s="7" t="s">
        <v>6</v>
      </c>
      <c r="D61" s="218">
        <v>110476.46</v>
      </c>
      <c r="E61" s="204"/>
      <c r="G61" s="153"/>
      <c r="H61" s="153"/>
      <c r="I61" s="153"/>
      <c r="J61" s="153"/>
      <c r="K61" s="153"/>
      <c r="L61" s="153"/>
      <c r="M61" s="153"/>
      <c r="N61" s="153"/>
    </row>
    <row r="62" spans="1:14" ht="33.75" x14ac:dyDescent="0.2">
      <c r="A62" s="31"/>
      <c r="B62" s="54" t="s">
        <v>63</v>
      </c>
      <c r="C62" s="55"/>
      <c r="D62" s="218"/>
      <c r="E62" s="204"/>
      <c r="G62" s="153"/>
      <c r="H62" s="153"/>
      <c r="I62" s="153"/>
      <c r="J62" s="153"/>
      <c r="K62" s="153"/>
      <c r="L62" s="153"/>
      <c r="M62" s="153"/>
      <c r="N62" s="153"/>
    </row>
    <row r="63" spans="1:14" ht="48" x14ac:dyDescent="0.2">
      <c r="A63" s="31" t="s">
        <v>64</v>
      </c>
      <c r="B63" s="56" t="s">
        <v>65</v>
      </c>
      <c r="C63" s="7" t="s">
        <v>6</v>
      </c>
      <c r="D63" s="218">
        <v>73024.800000000003</v>
      </c>
      <c r="E63" s="204"/>
      <c r="G63" s="153"/>
      <c r="H63" s="153"/>
      <c r="I63" s="153"/>
      <c r="J63" s="153"/>
      <c r="K63" s="153"/>
      <c r="L63" s="153"/>
      <c r="M63" s="153"/>
      <c r="N63" s="153"/>
    </row>
    <row r="64" spans="1:14" ht="60" x14ac:dyDescent="0.2">
      <c r="A64" s="31" t="s">
        <v>66</v>
      </c>
      <c r="B64" s="57" t="s">
        <v>98</v>
      </c>
      <c r="C64" s="7" t="s">
        <v>6</v>
      </c>
      <c r="D64" s="218">
        <f>194618.23+5952.04+3088.72</f>
        <v>203658.99000000002</v>
      </c>
      <c r="E64" s="204"/>
      <c r="G64" s="153"/>
      <c r="H64" s="153"/>
      <c r="I64" s="153"/>
      <c r="J64" s="153"/>
      <c r="K64" s="153"/>
      <c r="L64" s="153"/>
      <c r="M64" s="153"/>
      <c r="N64" s="153"/>
    </row>
    <row r="65" spans="1:14" ht="15" x14ac:dyDescent="0.25">
      <c r="A65" s="31" t="s">
        <v>68</v>
      </c>
      <c r="B65" s="58" t="s">
        <v>69</v>
      </c>
      <c r="C65" s="7" t="s">
        <v>6</v>
      </c>
      <c r="D65" s="218">
        <f>D16*6%</f>
        <v>67761.2592</v>
      </c>
      <c r="E65" s="204"/>
      <c r="G65" s="153"/>
      <c r="H65" s="153"/>
      <c r="I65" s="153"/>
      <c r="J65" s="153"/>
      <c r="K65" s="153"/>
      <c r="L65" s="153"/>
      <c r="M65" s="153"/>
      <c r="N65" s="153"/>
    </row>
    <row r="66" spans="1:14" x14ac:dyDescent="0.2">
      <c r="A66" s="31"/>
      <c r="B66" s="59" t="s">
        <v>70</v>
      </c>
      <c r="C66" s="7" t="s">
        <v>6</v>
      </c>
      <c r="D66" s="218">
        <f>D65+D64+D63+D61+D60+D54+D49+D39+D35+D32+D29+D25</f>
        <v>1421134.1291999999</v>
      </c>
      <c r="E66" s="204"/>
      <c r="G66" s="153"/>
      <c r="H66" s="153"/>
      <c r="I66" s="153"/>
      <c r="J66" s="153"/>
      <c r="K66" s="153"/>
      <c r="L66" s="153"/>
      <c r="M66" s="153"/>
      <c r="N66" s="153"/>
    </row>
    <row r="67" spans="1:14" ht="15.75" x14ac:dyDescent="0.25">
      <c r="A67" s="60"/>
      <c r="B67" s="61"/>
      <c r="C67" s="62"/>
      <c r="D67" s="159"/>
      <c r="E67" s="159"/>
      <c r="G67" s="153"/>
      <c r="H67" s="153"/>
      <c r="I67" s="153"/>
      <c r="J67" s="153"/>
      <c r="K67" s="153"/>
      <c r="L67" s="153"/>
      <c r="M67" s="153"/>
      <c r="N67" s="153"/>
    </row>
    <row r="68" spans="1:14" ht="15.75" x14ac:dyDescent="0.25">
      <c r="A68" s="60"/>
      <c r="B68" s="61" t="s">
        <v>76</v>
      </c>
      <c r="C68" s="62"/>
      <c r="D68" s="159">
        <f>D6+D16-D66</f>
        <v>419283.76080000028</v>
      </c>
      <c r="E68" s="64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B69" s="61"/>
      <c r="C69" s="62"/>
      <c r="D69" s="64"/>
      <c r="E69" s="64"/>
      <c r="G69" s="153"/>
      <c r="H69" s="153"/>
      <c r="I69" s="153"/>
      <c r="J69" s="153"/>
      <c r="K69" s="153"/>
      <c r="L69" s="153"/>
      <c r="M69" s="153"/>
      <c r="N69" s="153"/>
    </row>
    <row r="70" spans="1:14" ht="15.75" x14ac:dyDescent="0.25">
      <c r="B70" s="61"/>
      <c r="C70" s="62"/>
      <c r="D70" s="64"/>
      <c r="E70" s="64"/>
      <c r="G70" s="153"/>
      <c r="H70" s="153"/>
      <c r="I70" s="153"/>
      <c r="J70" s="153"/>
      <c r="K70" s="153"/>
      <c r="L70" s="153"/>
      <c r="M70" s="153"/>
      <c r="N70" s="153"/>
    </row>
    <row r="71" spans="1:14" ht="15.75" x14ac:dyDescent="0.25">
      <c r="B71" s="61"/>
      <c r="C71" s="62"/>
      <c r="D71" s="65"/>
      <c r="G71" s="153"/>
      <c r="H71" s="153"/>
      <c r="I71" s="153"/>
      <c r="J71" s="153"/>
      <c r="K71" s="153"/>
      <c r="L71" s="153"/>
      <c r="M71" s="153"/>
      <c r="N71" s="153"/>
    </row>
    <row r="72" spans="1:14" x14ac:dyDescent="0.2">
      <c r="B72" s="66" t="s">
        <v>72</v>
      </c>
      <c r="C72" s="66"/>
      <c r="D72" s="66" t="s">
        <v>73</v>
      </c>
      <c r="G72" s="153"/>
      <c r="H72" s="153"/>
      <c r="I72" s="153"/>
      <c r="J72" s="153"/>
      <c r="K72" s="153"/>
      <c r="L72" s="153"/>
      <c r="M72" s="153"/>
      <c r="N72" s="153"/>
    </row>
    <row r="73" spans="1:14" x14ac:dyDescent="0.2">
      <c r="B73" s="66" t="s">
        <v>74</v>
      </c>
      <c r="C73" s="66"/>
      <c r="D73" s="189" t="s">
        <v>273</v>
      </c>
      <c r="G73" s="153"/>
      <c r="H73" s="153"/>
      <c r="I73" s="153"/>
      <c r="J73" s="153"/>
      <c r="K73" s="153"/>
      <c r="L73" s="153"/>
      <c r="M73" s="153"/>
      <c r="N73" s="153"/>
    </row>
    <row r="74" spans="1:14" ht="15.75" x14ac:dyDescent="0.25">
      <c r="B74" s="61"/>
      <c r="C74" s="62"/>
      <c r="D74" s="65"/>
      <c r="G74" s="153"/>
      <c r="H74" s="153"/>
      <c r="I74" s="153"/>
      <c r="J74" s="153"/>
      <c r="K74" s="153"/>
      <c r="L74" s="153"/>
      <c r="M74" s="153"/>
      <c r="N74" s="153"/>
    </row>
    <row r="75" spans="1:14" ht="15.75" x14ac:dyDescent="0.25">
      <c r="B75" s="61"/>
      <c r="C75" s="62"/>
      <c r="D75" s="65"/>
      <c r="G75" s="153"/>
      <c r="H75" s="153"/>
      <c r="I75" s="153"/>
      <c r="J75" s="153"/>
      <c r="K75" s="153"/>
      <c r="L75" s="153"/>
      <c r="M75" s="153"/>
      <c r="N75" s="153"/>
    </row>
    <row r="76" spans="1:14" ht="15.75" x14ac:dyDescent="0.25">
      <c r="B76" s="61"/>
      <c r="C76" s="62"/>
      <c r="D76" s="65"/>
      <c r="G76" s="153"/>
      <c r="H76" s="153"/>
      <c r="I76" s="153"/>
      <c r="J76" s="153"/>
      <c r="K76" s="153"/>
      <c r="L76" s="153"/>
      <c r="M76" s="153"/>
      <c r="N76" s="153"/>
    </row>
    <row r="77" spans="1:14" ht="15.75" x14ac:dyDescent="0.25">
      <c r="B77" s="61"/>
      <c r="C77" s="62"/>
      <c r="D77" s="65"/>
      <c r="G77" s="153"/>
      <c r="H77" s="153"/>
      <c r="I77" s="153"/>
      <c r="J77" s="153"/>
      <c r="K77" s="153"/>
      <c r="L77" s="153"/>
      <c r="M77" s="153"/>
      <c r="N77" s="153"/>
    </row>
    <row r="78" spans="1:14" ht="15.75" x14ac:dyDescent="0.25">
      <c r="B78" s="61"/>
      <c r="C78" s="62"/>
      <c r="D78" s="65"/>
      <c r="G78" s="153"/>
      <c r="H78" s="153"/>
      <c r="I78" s="153"/>
      <c r="J78" s="153"/>
      <c r="K78" s="153"/>
      <c r="L78" s="153"/>
      <c r="M78" s="153"/>
      <c r="N78" s="153"/>
    </row>
    <row r="79" spans="1:14" ht="15.75" x14ac:dyDescent="0.25">
      <c r="B79" s="61"/>
      <c r="C79" s="62"/>
      <c r="D79" s="65"/>
      <c r="G79" s="153"/>
      <c r="H79" s="153"/>
      <c r="I79" s="153"/>
      <c r="J79" s="153"/>
      <c r="K79" s="153"/>
      <c r="L79" s="153"/>
      <c r="M79" s="153"/>
      <c r="N79" s="153"/>
    </row>
    <row r="80" spans="1:14" ht="15.75" x14ac:dyDescent="0.25">
      <c r="B80" s="61"/>
      <c r="C80" s="62"/>
      <c r="D80" s="65"/>
      <c r="G80" s="153"/>
      <c r="H80" s="153"/>
      <c r="I80" s="153"/>
      <c r="J80" s="153"/>
      <c r="K80" s="153"/>
      <c r="L80" s="153"/>
      <c r="M80" s="153"/>
      <c r="N80" s="153"/>
    </row>
    <row r="81" spans="2:14" ht="15.75" x14ac:dyDescent="0.25">
      <c r="B81" s="61"/>
      <c r="C81" s="62"/>
      <c r="D81" s="65"/>
      <c r="G81" s="153"/>
      <c r="H81" s="153"/>
      <c r="I81" s="153"/>
      <c r="J81" s="153"/>
      <c r="K81" s="153"/>
      <c r="L81" s="153"/>
      <c r="M81" s="153"/>
      <c r="N81" s="153"/>
    </row>
    <row r="82" spans="2:14" ht="15.75" x14ac:dyDescent="0.25">
      <c r="B82" s="61"/>
      <c r="C82" s="62"/>
      <c r="D82" s="65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50" workbookViewId="0">
      <selection activeCell="F21" sqref="F21:Q72"/>
    </sheetView>
  </sheetViews>
  <sheetFormatPr defaultColWidth="9" defaultRowHeight="14.25" x14ac:dyDescent="0.2"/>
  <cols>
    <col min="1" max="1" width="5.28515625" style="1" customWidth="1"/>
    <col min="2" max="2" width="38.7109375" style="1" customWidth="1"/>
    <col min="3" max="3" width="8.140625" style="1" customWidth="1"/>
    <col min="4" max="4" width="12.140625" style="1" customWidth="1"/>
    <col min="5" max="5" width="13.7109375" style="1" customWidth="1"/>
    <col min="6" max="6" width="12.5703125" style="1" customWidth="1"/>
    <col min="7" max="7" width="12" style="1" customWidth="1"/>
    <col min="8" max="8" width="12.140625" style="1" customWidth="1"/>
    <col min="9" max="9" width="11.85546875" style="1" customWidth="1"/>
    <col min="10" max="16384" width="9" style="1"/>
  </cols>
  <sheetData>
    <row r="1" spans="1:6" ht="15" x14ac:dyDescent="0.25">
      <c r="B1" s="82" t="s">
        <v>0</v>
      </c>
      <c r="C1" s="2"/>
      <c r="D1" s="3"/>
    </row>
    <row r="2" spans="1:6" ht="15" customHeight="1" x14ac:dyDescent="0.2">
      <c r="A2" s="4"/>
      <c r="B2" s="298" t="s">
        <v>105</v>
      </c>
      <c r="C2" s="298"/>
      <c r="D2" s="298"/>
      <c r="E2" s="298"/>
      <c r="F2" s="4"/>
    </row>
    <row r="3" spans="1:6" ht="15" customHeight="1" x14ac:dyDescent="0.2">
      <c r="A3" s="4"/>
      <c r="B3" s="298" t="s">
        <v>186</v>
      </c>
      <c r="C3" s="298"/>
      <c r="D3" s="298"/>
      <c r="E3" s="298"/>
    </row>
    <row r="4" spans="1:6" x14ac:dyDescent="0.2">
      <c r="B4" s="5"/>
      <c r="C4" s="5"/>
      <c r="D4" s="5"/>
    </row>
    <row r="5" spans="1:6" x14ac:dyDescent="0.2">
      <c r="B5" s="5" t="s">
        <v>182</v>
      </c>
      <c r="C5" s="5"/>
      <c r="D5" s="163">
        <v>765865.19</v>
      </c>
    </row>
    <row r="6" spans="1:6" x14ac:dyDescent="0.2">
      <c r="A6" s="6"/>
      <c r="B6" s="164" t="s">
        <v>212</v>
      </c>
      <c r="C6" s="8" t="s">
        <v>6</v>
      </c>
      <c r="D6" s="161">
        <v>-452553.58</v>
      </c>
      <c r="E6" s="6"/>
    </row>
    <row r="7" spans="1:6" x14ac:dyDescent="0.2">
      <c r="A7" s="6"/>
      <c r="B7" s="164"/>
      <c r="C7" s="8"/>
      <c r="D7" s="161"/>
      <c r="E7" s="6"/>
    </row>
    <row r="8" spans="1:6" x14ac:dyDescent="0.2">
      <c r="A8" s="6"/>
      <c r="B8" s="165" t="s">
        <v>2</v>
      </c>
      <c r="C8" s="8" t="s">
        <v>3</v>
      </c>
      <c r="D8" s="160">
        <v>12664</v>
      </c>
      <c r="E8" s="6"/>
    </row>
    <row r="9" spans="1:6" x14ac:dyDescent="0.2">
      <c r="A9" s="6"/>
      <c r="B9" s="165" t="s">
        <v>4</v>
      </c>
      <c r="C9" s="8" t="s">
        <v>3</v>
      </c>
      <c r="D9" s="160">
        <v>8677.7000000000007</v>
      </c>
      <c r="E9" s="6"/>
    </row>
    <row r="10" spans="1:6" x14ac:dyDescent="0.2">
      <c r="A10" s="6"/>
      <c r="B10" s="166" t="s">
        <v>5</v>
      </c>
      <c r="C10" s="7" t="s">
        <v>6</v>
      </c>
      <c r="D10" s="161">
        <v>2137330.64</v>
      </c>
      <c r="E10" s="6"/>
    </row>
    <row r="11" spans="1:6" x14ac:dyDescent="0.2">
      <c r="A11" s="6"/>
      <c r="B11" s="164"/>
      <c r="C11" s="7"/>
      <c r="D11" s="160"/>
      <c r="E11" s="6"/>
    </row>
    <row r="12" spans="1:6" x14ac:dyDescent="0.2">
      <c r="A12" s="6"/>
      <c r="B12" s="166" t="s">
        <v>7</v>
      </c>
      <c r="C12" s="7"/>
      <c r="D12" s="160"/>
      <c r="E12" s="6"/>
    </row>
    <row r="13" spans="1:6" x14ac:dyDescent="0.2">
      <c r="A13" s="6">
        <v>1</v>
      </c>
      <c r="B13" s="167" t="s">
        <v>84</v>
      </c>
      <c r="C13" s="8" t="s">
        <v>6</v>
      </c>
      <c r="D13" s="160">
        <v>2022132.38</v>
      </c>
      <c r="E13" s="6"/>
    </row>
    <row r="14" spans="1:6" x14ac:dyDescent="0.2">
      <c r="A14" s="6">
        <v>2</v>
      </c>
      <c r="B14" s="167" t="s">
        <v>106</v>
      </c>
      <c r="C14" s="8" t="s">
        <v>6</v>
      </c>
      <c r="D14" s="160">
        <v>16101.83</v>
      </c>
      <c r="E14" s="6"/>
    </row>
    <row r="15" spans="1:6" x14ac:dyDescent="0.2">
      <c r="A15" s="6">
        <v>3</v>
      </c>
      <c r="B15" s="167" t="s">
        <v>9</v>
      </c>
      <c r="C15" s="8" t="s">
        <v>6</v>
      </c>
      <c r="D15" s="160">
        <f>12000+18900+12600+1800+27000</f>
        <v>72300</v>
      </c>
      <c r="E15" s="6"/>
    </row>
    <row r="16" spans="1:6" x14ac:dyDescent="0.2">
      <c r="A16" s="6"/>
      <c r="B16" s="166" t="s">
        <v>10</v>
      </c>
      <c r="C16" s="7" t="s">
        <v>6</v>
      </c>
      <c r="D16" s="161">
        <f>D13+D14+D15</f>
        <v>2110534.21</v>
      </c>
      <c r="E16" s="6"/>
    </row>
    <row r="17" spans="1:5" x14ac:dyDescent="0.2">
      <c r="A17" s="6"/>
      <c r="B17" s="7"/>
      <c r="C17" s="7"/>
      <c r="D17" s="6"/>
      <c r="E17" s="6"/>
    </row>
    <row r="18" spans="1:5" x14ac:dyDescent="0.2">
      <c r="B18" s="5"/>
      <c r="C18" s="5"/>
    </row>
    <row r="19" spans="1:5" x14ac:dyDescent="0.2">
      <c r="B19" s="87" t="s">
        <v>11</v>
      </c>
      <c r="C19" s="5"/>
    </row>
    <row r="20" spans="1:5" x14ac:dyDescent="0.2">
      <c r="B20" s="5"/>
      <c r="C20" s="5"/>
    </row>
    <row r="21" spans="1:5" ht="15" x14ac:dyDescent="0.25">
      <c r="A21" s="7" t="s">
        <v>12</v>
      </c>
      <c r="B21" s="7"/>
      <c r="C21" s="12" t="s">
        <v>100</v>
      </c>
      <c r="D21" s="27" t="s">
        <v>107</v>
      </c>
      <c r="E21" s="27" t="s">
        <v>86</v>
      </c>
    </row>
    <row r="22" spans="1:5" ht="15" x14ac:dyDescent="0.25">
      <c r="A22" s="7" t="s">
        <v>15</v>
      </c>
      <c r="B22" s="12" t="s">
        <v>16</v>
      </c>
      <c r="C22" s="12"/>
      <c r="D22" s="27" t="s">
        <v>108</v>
      </c>
      <c r="E22" s="27"/>
    </row>
    <row r="23" spans="1:5" ht="25.5" x14ac:dyDescent="0.2">
      <c r="A23" s="22" t="s">
        <v>18</v>
      </c>
      <c r="B23" s="23" t="s">
        <v>88</v>
      </c>
      <c r="C23" s="24"/>
      <c r="D23" s="6"/>
      <c r="E23" s="6"/>
    </row>
    <row r="24" spans="1:5" ht="51" x14ac:dyDescent="0.2">
      <c r="A24" s="22"/>
      <c r="B24" s="25" t="s">
        <v>20</v>
      </c>
      <c r="C24" s="26" t="s">
        <v>6</v>
      </c>
      <c r="D24" s="216">
        <f>D25+D26+D27</f>
        <v>341071.1</v>
      </c>
      <c r="E24" s="6"/>
    </row>
    <row r="25" spans="1:5" ht="90" x14ac:dyDescent="0.2">
      <c r="A25" s="22"/>
      <c r="B25" s="28" t="s">
        <v>21</v>
      </c>
      <c r="C25" s="29"/>
      <c r="D25" s="204">
        <f>143668.62+8000</f>
        <v>151668.62</v>
      </c>
      <c r="E25" s="6"/>
    </row>
    <row r="26" spans="1:5" ht="112.5" x14ac:dyDescent="0.2">
      <c r="A26" s="30"/>
      <c r="B26" s="28" t="s">
        <v>22</v>
      </c>
      <c r="C26" s="29"/>
      <c r="D26" s="204">
        <f>164187.15+8540.33</f>
        <v>172727.47999999998</v>
      </c>
      <c r="E26" s="6"/>
    </row>
    <row r="27" spans="1:5" ht="22.5" x14ac:dyDescent="0.2">
      <c r="A27" s="31"/>
      <c r="B27" s="40" t="s">
        <v>23</v>
      </c>
      <c r="C27" s="69"/>
      <c r="D27" s="204">
        <v>16675</v>
      </c>
      <c r="E27" s="6"/>
    </row>
    <row r="28" spans="1:5" ht="25.5" x14ac:dyDescent="0.2">
      <c r="A28" s="22"/>
      <c r="B28" s="25" t="s">
        <v>24</v>
      </c>
      <c r="C28" s="26" t="s">
        <v>6</v>
      </c>
      <c r="D28" s="216">
        <f>D29+D30</f>
        <v>12322</v>
      </c>
      <c r="E28" s="6"/>
    </row>
    <row r="29" spans="1:5" x14ac:dyDescent="0.2">
      <c r="A29" s="33"/>
      <c r="B29" s="70" t="s">
        <v>25</v>
      </c>
      <c r="C29" s="35"/>
      <c r="D29" s="204">
        <v>8157</v>
      </c>
      <c r="E29" s="6"/>
    </row>
    <row r="30" spans="1:5" x14ac:dyDescent="0.2">
      <c r="A30" s="22"/>
      <c r="B30" s="70" t="s">
        <v>26</v>
      </c>
      <c r="C30" s="35"/>
      <c r="D30" s="204">
        <v>4165</v>
      </c>
      <c r="E30" s="6"/>
    </row>
    <row r="31" spans="1:5" ht="38.25" x14ac:dyDescent="0.2">
      <c r="A31" s="22" t="s">
        <v>27</v>
      </c>
      <c r="B31" s="25" t="s">
        <v>28</v>
      </c>
      <c r="C31" s="36" t="s">
        <v>6</v>
      </c>
      <c r="D31" s="216">
        <f>D32+D33</f>
        <v>45858</v>
      </c>
      <c r="E31" s="6"/>
    </row>
    <row r="32" spans="1:5" ht="78.75" x14ac:dyDescent="0.2">
      <c r="A32" s="37"/>
      <c r="B32" s="28" t="s">
        <v>29</v>
      </c>
      <c r="C32" s="29"/>
      <c r="D32" s="204">
        <v>45858</v>
      </c>
      <c r="E32" s="6"/>
    </row>
    <row r="33" spans="1:5" ht="22.5" x14ac:dyDescent="0.2">
      <c r="A33" s="37"/>
      <c r="B33" s="38" t="s">
        <v>30</v>
      </c>
      <c r="C33" s="39"/>
      <c r="D33" s="204">
        <v>0</v>
      </c>
      <c r="E33" s="6"/>
    </row>
    <row r="34" spans="1:5" ht="51" x14ac:dyDescent="0.2">
      <c r="A34" s="37" t="s">
        <v>31</v>
      </c>
      <c r="B34" s="25" t="s">
        <v>32</v>
      </c>
      <c r="C34" s="12" t="s">
        <v>6</v>
      </c>
      <c r="D34" s="216">
        <f>D35+D36+D37</f>
        <v>16500</v>
      </c>
      <c r="E34" s="6"/>
    </row>
    <row r="35" spans="1:5" ht="33.75" x14ac:dyDescent="0.2">
      <c r="A35" s="33"/>
      <c r="B35" s="40" t="s">
        <v>33</v>
      </c>
      <c r="C35" s="39"/>
      <c r="D35" s="204">
        <v>8300</v>
      </c>
      <c r="E35" s="6"/>
    </row>
    <row r="36" spans="1:5" ht="22.5" x14ac:dyDescent="0.2">
      <c r="A36" s="33"/>
      <c r="B36" s="38" t="s">
        <v>89</v>
      </c>
      <c r="C36" s="39"/>
      <c r="D36" s="204">
        <v>8200</v>
      </c>
      <c r="E36" s="6"/>
    </row>
    <row r="37" spans="1:5" ht="22.5" x14ac:dyDescent="0.2">
      <c r="A37" s="33"/>
      <c r="B37" s="38" t="s">
        <v>35</v>
      </c>
      <c r="C37" s="39"/>
      <c r="D37" s="204">
        <v>0</v>
      </c>
      <c r="E37" s="6"/>
    </row>
    <row r="38" spans="1:5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100890.98</v>
      </c>
      <c r="E38" s="6"/>
    </row>
    <row r="39" spans="1:5" x14ac:dyDescent="0.2">
      <c r="A39" s="42"/>
      <c r="B39" s="43" t="s">
        <v>38</v>
      </c>
      <c r="C39" s="44"/>
      <c r="D39" s="204">
        <v>8913.24</v>
      </c>
      <c r="E39" s="6"/>
    </row>
    <row r="40" spans="1:5" ht="22.5" x14ac:dyDescent="0.2">
      <c r="A40" s="42"/>
      <c r="B40" s="43" t="s">
        <v>39</v>
      </c>
      <c r="C40" s="44"/>
      <c r="D40" s="204">
        <v>8000</v>
      </c>
      <c r="E40" s="6"/>
    </row>
    <row r="41" spans="1:5" x14ac:dyDescent="0.2">
      <c r="A41" s="42"/>
      <c r="B41" s="45" t="s">
        <v>40</v>
      </c>
      <c r="C41" s="44"/>
      <c r="D41" s="204">
        <v>40515.72</v>
      </c>
      <c r="E41" s="6"/>
    </row>
    <row r="42" spans="1:5" ht="45" x14ac:dyDescent="0.2">
      <c r="A42" s="31"/>
      <c r="B42" s="46" t="s">
        <v>41</v>
      </c>
      <c r="C42" s="44"/>
      <c r="D42" s="204"/>
      <c r="E42" s="6"/>
    </row>
    <row r="43" spans="1:5" x14ac:dyDescent="0.2">
      <c r="A43" s="42"/>
      <c r="B43" s="47" t="s">
        <v>109</v>
      </c>
      <c r="C43" s="44"/>
      <c r="D43" s="204">
        <v>0</v>
      </c>
      <c r="E43" s="6"/>
    </row>
    <row r="44" spans="1:5" x14ac:dyDescent="0.2">
      <c r="A44" s="42"/>
      <c r="B44" s="47" t="s">
        <v>91</v>
      </c>
      <c r="C44" s="44"/>
      <c r="D44" s="204">
        <v>35454.89</v>
      </c>
      <c r="E44" s="6"/>
    </row>
    <row r="45" spans="1:5" x14ac:dyDescent="0.2">
      <c r="A45" s="29"/>
      <c r="B45" s="47" t="s">
        <v>92</v>
      </c>
      <c r="C45" s="44"/>
      <c r="D45" s="204">
        <v>7547.45</v>
      </c>
      <c r="E45" s="6"/>
    </row>
    <row r="46" spans="1:5" ht="22.5" x14ac:dyDescent="0.2">
      <c r="A46" s="42"/>
      <c r="B46" s="47" t="s">
        <v>45</v>
      </c>
      <c r="C46" s="44"/>
      <c r="D46" s="204">
        <v>459.68</v>
      </c>
      <c r="E46" s="6"/>
    </row>
    <row r="47" spans="1:5" ht="41.25" customHeight="1" x14ac:dyDescent="0.2">
      <c r="A47" s="12" t="s">
        <v>46</v>
      </c>
      <c r="B47" s="48" t="s">
        <v>47</v>
      </c>
      <c r="C47" s="49"/>
      <c r="D47" s="204"/>
      <c r="E47" s="6"/>
    </row>
    <row r="48" spans="1:5" x14ac:dyDescent="0.2">
      <c r="A48" s="49"/>
      <c r="B48" s="50" t="s">
        <v>48</v>
      </c>
      <c r="C48" s="49"/>
      <c r="D48" s="204"/>
      <c r="E48" s="6"/>
    </row>
    <row r="49" spans="1:5" ht="25.5" x14ac:dyDescent="0.2">
      <c r="A49" s="31"/>
      <c r="B49" s="51" t="s">
        <v>49</v>
      </c>
      <c r="C49" s="20" t="s">
        <v>6</v>
      </c>
      <c r="D49" s="216">
        <f>D50+D51+D52</f>
        <v>254252.71000000002</v>
      </c>
      <c r="E49" s="6"/>
    </row>
    <row r="50" spans="1:5" ht="22.5" x14ac:dyDescent="0.2">
      <c r="A50" s="33"/>
      <c r="B50" s="28" t="s">
        <v>50</v>
      </c>
      <c r="C50" s="39"/>
      <c r="D50" s="204">
        <v>243968.92</v>
      </c>
      <c r="E50" s="6"/>
    </row>
    <row r="51" spans="1:5" x14ac:dyDescent="0.2">
      <c r="A51" s="31"/>
      <c r="B51" s="52" t="s">
        <v>51</v>
      </c>
      <c r="C51" s="39"/>
      <c r="D51" s="204">
        <v>0</v>
      </c>
      <c r="E51" s="6"/>
    </row>
    <row r="52" spans="1:5" ht="22.5" x14ac:dyDescent="0.2">
      <c r="A52" s="31"/>
      <c r="B52" s="52" t="s">
        <v>52</v>
      </c>
      <c r="C52" s="39"/>
      <c r="D52" s="204">
        <v>10283.790000000001</v>
      </c>
      <c r="E52" s="6"/>
    </row>
    <row r="53" spans="1:5" x14ac:dyDescent="0.2">
      <c r="A53" s="49"/>
      <c r="B53" s="76" t="s">
        <v>53</v>
      </c>
      <c r="C53" s="49"/>
      <c r="D53" s="204"/>
      <c r="E53" s="6"/>
    </row>
    <row r="54" spans="1:5" x14ac:dyDescent="0.2">
      <c r="A54" s="17"/>
      <c r="B54" s="77" t="s">
        <v>54</v>
      </c>
      <c r="C54" s="20" t="s">
        <v>6</v>
      </c>
      <c r="D54" s="216">
        <f>D55+D56+D57+D58+D59</f>
        <v>562392.43000000005</v>
      </c>
      <c r="E54" s="6"/>
    </row>
    <row r="55" spans="1:5" x14ac:dyDescent="0.2">
      <c r="A55" s="17"/>
      <c r="B55" s="78" t="s">
        <v>55</v>
      </c>
      <c r="C55" s="79"/>
      <c r="D55" s="204">
        <v>98655</v>
      </c>
      <c r="E55" s="6"/>
    </row>
    <row r="56" spans="1:5" x14ac:dyDescent="0.2">
      <c r="A56" s="17"/>
      <c r="B56" s="78" t="s">
        <v>56</v>
      </c>
      <c r="C56" s="39"/>
      <c r="D56" s="204">
        <v>172588.64</v>
      </c>
      <c r="E56" s="6"/>
    </row>
    <row r="57" spans="1:5" x14ac:dyDescent="0.2">
      <c r="A57" s="17"/>
      <c r="B57" s="78" t="s">
        <v>57</v>
      </c>
      <c r="C57" s="79"/>
      <c r="D57" s="204">
        <v>18740</v>
      </c>
      <c r="E57" s="6"/>
    </row>
    <row r="58" spans="1:5" x14ac:dyDescent="0.2">
      <c r="A58" s="17"/>
      <c r="B58" s="78" t="s">
        <v>59</v>
      </c>
      <c r="C58" s="39"/>
      <c r="D58" s="204">
        <v>237831.03</v>
      </c>
      <c r="E58" s="6"/>
    </row>
    <row r="59" spans="1:5" x14ac:dyDescent="0.2">
      <c r="A59" s="17"/>
      <c r="B59" s="28" t="s">
        <v>97</v>
      </c>
      <c r="C59" s="79"/>
      <c r="D59" s="204">
        <v>34577.760000000002</v>
      </c>
      <c r="E59" s="6"/>
    </row>
    <row r="60" spans="1:5" x14ac:dyDescent="0.2">
      <c r="A60" s="33" t="s">
        <v>60</v>
      </c>
      <c r="B60" s="210" t="s">
        <v>252</v>
      </c>
      <c r="C60" s="212" t="s">
        <v>6</v>
      </c>
      <c r="D60" s="216">
        <v>21098.32</v>
      </c>
      <c r="E60" s="6"/>
    </row>
    <row r="61" spans="1:5" x14ac:dyDescent="0.2">
      <c r="A61" s="31" t="s">
        <v>62</v>
      </c>
      <c r="B61" s="211" t="s">
        <v>253</v>
      </c>
      <c r="C61" s="142" t="s">
        <v>6</v>
      </c>
      <c r="D61" s="216">
        <v>130617.32</v>
      </c>
      <c r="E61" s="6"/>
    </row>
    <row r="62" spans="1:5" ht="33.75" x14ac:dyDescent="0.2">
      <c r="A62" s="31"/>
      <c r="B62" s="54" t="s">
        <v>63</v>
      </c>
      <c r="C62" s="55"/>
      <c r="D62" s="204"/>
      <c r="E62" s="6"/>
    </row>
    <row r="63" spans="1:5" ht="48" x14ac:dyDescent="0.2">
      <c r="A63" s="31" t="s">
        <v>64</v>
      </c>
      <c r="B63" s="56" t="s">
        <v>65</v>
      </c>
      <c r="C63" s="55" t="s">
        <v>6</v>
      </c>
      <c r="D63" s="216">
        <v>143299.06</v>
      </c>
      <c r="E63" s="6"/>
    </row>
    <row r="64" spans="1:5" ht="60" x14ac:dyDescent="0.2">
      <c r="A64" s="31" t="s">
        <v>66</v>
      </c>
      <c r="B64" s="57" t="s">
        <v>67</v>
      </c>
      <c r="C64" s="55" t="s">
        <v>6</v>
      </c>
      <c r="D64" s="216">
        <v>331380.95</v>
      </c>
      <c r="E64" s="6"/>
    </row>
    <row r="65" spans="1:15" ht="15" x14ac:dyDescent="0.25">
      <c r="A65" s="31" t="s">
        <v>68</v>
      </c>
      <c r="B65" s="58" t="s">
        <v>69</v>
      </c>
      <c r="C65" s="55" t="s">
        <v>6</v>
      </c>
      <c r="D65" s="218">
        <f>D16*6%</f>
        <v>126632.0526</v>
      </c>
      <c r="E65" s="6"/>
    </row>
    <row r="66" spans="1:15" ht="15.75" x14ac:dyDescent="0.25">
      <c r="A66" s="152"/>
      <c r="B66" s="59" t="s">
        <v>70</v>
      </c>
      <c r="C66" s="106" t="s">
        <v>6</v>
      </c>
      <c r="D66" s="218">
        <f>D65+D64+D63+D61+D60+D54+D49+D38+D34+D31+D28+D24</f>
        <v>2086314.9226000002</v>
      </c>
      <c r="E66" s="6"/>
    </row>
    <row r="67" spans="1:15" ht="15.75" x14ac:dyDescent="0.25">
      <c r="A67" s="60"/>
      <c r="B67" s="61"/>
      <c r="C67" s="62"/>
      <c r="D67" s="156"/>
      <c r="E67" s="156"/>
    </row>
    <row r="68" spans="1:15" ht="15.75" x14ac:dyDescent="0.25">
      <c r="A68" s="60"/>
      <c r="B68" s="61"/>
      <c r="C68" s="62"/>
      <c r="D68" s="156"/>
      <c r="E68" s="156"/>
    </row>
    <row r="69" spans="1:15" ht="15.75" x14ac:dyDescent="0.25">
      <c r="A69" s="60"/>
      <c r="B69" s="61" t="s">
        <v>110</v>
      </c>
      <c r="C69" s="62"/>
      <c r="D69" s="159">
        <f>D6+D16-D66</f>
        <v>-428334.29260000028</v>
      </c>
      <c r="E69" s="156"/>
    </row>
    <row r="70" spans="1:15" ht="15.75" x14ac:dyDescent="0.25">
      <c r="A70" s="60"/>
      <c r="B70" s="61"/>
      <c r="C70" s="62"/>
      <c r="D70" s="156"/>
      <c r="E70" s="156"/>
    </row>
    <row r="71" spans="1:15" ht="15.75" x14ac:dyDescent="0.25">
      <c r="A71" s="60"/>
      <c r="B71" s="61"/>
      <c r="C71" s="62"/>
      <c r="D71" s="156"/>
      <c r="E71" s="156"/>
    </row>
    <row r="72" spans="1:15" ht="15" x14ac:dyDescent="0.25">
      <c r="A72" s="60"/>
      <c r="B72" s="2" t="s">
        <v>72</v>
      </c>
      <c r="C72" s="2"/>
      <c r="D72" s="2" t="s">
        <v>73</v>
      </c>
    </row>
    <row r="73" spans="1:15" ht="15" x14ac:dyDescent="0.25">
      <c r="A73" s="60"/>
      <c r="B73" s="2" t="s">
        <v>74</v>
      </c>
      <c r="C73" s="2"/>
      <c r="D73" s="2" t="s">
        <v>273</v>
      </c>
      <c r="G73" s="153"/>
      <c r="H73" s="153"/>
      <c r="I73" s="153"/>
      <c r="J73" s="153"/>
      <c r="K73" s="153"/>
      <c r="L73" s="153"/>
      <c r="M73" s="153"/>
      <c r="N73" s="153"/>
      <c r="O73" s="153"/>
    </row>
  </sheetData>
  <mergeCells count="2">
    <mergeCell ref="B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50" workbookViewId="0">
      <selection activeCell="G38" sqref="G38:R72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8.85546875" style="1" customWidth="1"/>
    <col min="4" max="4" width="12.140625" style="1" customWidth="1"/>
    <col min="5" max="5" width="11.42578125" style="1" customWidth="1"/>
    <col min="6" max="6" width="10.28515625" style="1" customWidth="1"/>
    <col min="7" max="7" width="10.85546875" style="1" customWidth="1"/>
    <col min="8" max="8" width="11.140625" style="1" customWidth="1"/>
    <col min="9" max="9" width="12.28515625" style="1" customWidth="1"/>
    <col min="10" max="10" width="9.28515625" style="1" customWidth="1"/>
    <col min="11" max="12" width="9.5703125" style="1" customWidth="1"/>
    <col min="13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298"/>
    </row>
    <row r="3" spans="1:15" ht="15" customHeight="1" x14ac:dyDescent="0.2">
      <c r="A3" s="4"/>
      <c r="B3" s="299" t="s">
        <v>226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B5" s="163" t="s">
        <v>182</v>
      </c>
      <c r="C5" s="163"/>
      <c r="D5" s="163">
        <v>256836.75</v>
      </c>
      <c r="E5" s="168"/>
    </row>
    <row r="6" spans="1:15" x14ac:dyDescent="0.2">
      <c r="A6" s="6"/>
      <c r="B6" s="164" t="s">
        <v>211</v>
      </c>
      <c r="C6" s="167" t="s">
        <v>6</v>
      </c>
      <c r="D6" s="170">
        <v>-44246.92</v>
      </c>
      <c r="E6" s="160"/>
    </row>
    <row r="7" spans="1:15" x14ac:dyDescent="0.2">
      <c r="A7" s="6"/>
      <c r="B7" s="164"/>
      <c r="C7" s="167"/>
      <c r="D7" s="170"/>
      <c r="E7" s="160"/>
    </row>
    <row r="8" spans="1:15" x14ac:dyDescent="0.2">
      <c r="A8" s="6"/>
      <c r="B8" s="165" t="s">
        <v>2</v>
      </c>
      <c r="C8" s="167" t="s">
        <v>3</v>
      </c>
      <c r="D8" s="171">
        <v>4874.6000000000004</v>
      </c>
      <c r="E8" s="160"/>
    </row>
    <row r="9" spans="1:15" x14ac:dyDescent="0.2">
      <c r="A9" s="6"/>
      <c r="B9" s="165" t="s">
        <v>4</v>
      </c>
      <c r="C9" s="167" t="s">
        <v>3</v>
      </c>
      <c r="D9" s="171">
        <v>3506.6</v>
      </c>
      <c r="E9" s="160"/>
    </row>
    <row r="10" spans="1:15" ht="15" customHeight="1" x14ac:dyDescent="0.2">
      <c r="A10" s="6"/>
      <c r="B10" s="166" t="s">
        <v>5</v>
      </c>
      <c r="C10" s="164" t="s">
        <v>6</v>
      </c>
      <c r="D10" s="170">
        <v>773081.3</v>
      </c>
      <c r="E10" s="160"/>
    </row>
    <row r="11" spans="1:15" ht="17.25" customHeight="1" x14ac:dyDescent="0.2">
      <c r="A11" s="6"/>
      <c r="B11" s="164"/>
      <c r="C11" s="164"/>
      <c r="D11" s="171"/>
      <c r="E11" s="160"/>
    </row>
    <row r="12" spans="1:15" x14ac:dyDescent="0.2">
      <c r="A12" s="6"/>
      <c r="B12" s="166" t="s">
        <v>7</v>
      </c>
      <c r="C12" s="164"/>
      <c r="D12" s="171"/>
      <c r="E12" s="160"/>
    </row>
    <row r="13" spans="1:15" x14ac:dyDescent="0.2">
      <c r="A13" s="6">
        <v>1</v>
      </c>
      <c r="B13" s="167" t="s">
        <v>208</v>
      </c>
      <c r="C13" s="167" t="s">
        <v>6</v>
      </c>
      <c r="D13" s="171">
        <v>654231.19999999995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4.25" customHeight="1" x14ac:dyDescent="0.2">
      <c r="A14" s="6">
        <v>2</v>
      </c>
      <c r="B14" s="167" t="s">
        <v>106</v>
      </c>
      <c r="C14" s="167" t="s">
        <v>6</v>
      </c>
      <c r="D14" s="171">
        <v>6729.55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2" customHeight="1" x14ac:dyDescent="0.2">
      <c r="A15" s="6">
        <v>3</v>
      </c>
      <c r="B15" s="167" t="s">
        <v>9</v>
      </c>
      <c r="C15" s="167" t="s">
        <v>6</v>
      </c>
      <c r="D15" s="171">
        <f>9000+9000</f>
        <v>18000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678960.75</v>
      </c>
      <c r="E16" s="160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164"/>
      <c r="C17" s="164"/>
      <c r="D17" s="160"/>
      <c r="E17" s="160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 t="s">
        <v>178</v>
      </c>
      <c r="H23" s="153" t="s">
        <v>246</v>
      </c>
      <c r="I23" s="153" t="s">
        <v>254</v>
      </c>
      <c r="J23" s="153"/>
      <c r="K23" s="153"/>
      <c r="L23" s="153"/>
      <c r="M23" s="153"/>
      <c r="N23" s="153"/>
      <c r="O23" s="153"/>
    </row>
    <row r="24" spans="1:15" ht="55.5" customHeight="1" x14ac:dyDescent="0.2">
      <c r="A24" s="22"/>
      <c r="B24" s="25" t="s">
        <v>20</v>
      </c>
      <c r="C24" s="26" t="s">
        <v>6</v>
      </c>
      <c r="D24" s="216">
        <f>D25+D26+D27</f>
        <v>109516.84999999999</v>
      </c>
      <c r="E24" s="6"/>
      <c r="G24" s="153">
        <v>144433.73000000001</v>
      </c>
      <c r="H24" s="153">
        <v>81.599999999999994</v>
      </c>
      <c r="I24" s="153">
        <v>2226.27</v>
      </c>
      <c r="J24" s="153">
        <f>G24+H24+I24</f>
        <v>146741.6</v>
      </c>
      <c r="K24" s="153">
        <v>0</v>
      </c>
      <c r="L24" s="153">
        <f>J24-K24</f>
        <v>146741.6</v>
      </c>
      <c r="M24" s="153"/>
      <c r="N24" s="153"/>
      <c r="O24" s="153"/>
    </row>
    <row r="25" spans="1:15" ht="80.099999999999994" customHeight="1" x14ac:dyDescent="0.2">
      <c r="A25" s="22"/>
      <c r="B25" s="28" t="s">
        <v>21</v>
      </c>
      <c r="C25" s="29"/>
      <c r="D25" s="204">
        <f>47862.64+5001</f>
        <v>52863.64</v>
      </c>
      <c r="E25" s="6"/>
      <c r="G25" s="153"/>
      <c r="H25" s="153">
        <f>D24+D28+D31+D34</f>
        <v>146741.59999999998</v>
      </c>
      <c r="I25" s="153"/>
      <c r="J25" s="153">
        <f>L24-H25</f>
        <v>0</v>
      </c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v>49920.54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6732.67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26" t="s">
        <v>6</v>
      </c>
      <c r="D28" s="216">
        <f>D29+D30</f>
        <v>8624.75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6100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x14ac:dyDescent="0.2">
      <c r="A30" s="22"/>
      <c r="B30" s="70" t="s">
        <v>26</v>
      </c>
      <c r="C30" s="35"/>
      <c r="D30" s="204">
        <v>2524.75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38.25" x14ac:dyDescent="0.2">
      <c r="A31" s="22" t="s">
        <v>27</v>
      </c>
      <c r="B31" s="25" t="s">
        <v>28</v>
      </c>
      <c r="C31" s="36" t="s">
        <v>6</v>
      </c>
      <c r="D31" s="216">
        <f>D32+D33</f>
        <v>25300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8.75" x14ac:dyDescent="0.2">
      <c r="A32" s="37"/>
      <c r="B32" s="28" t="s">
        <v>29</v>
      </c>
      <c r="C32" s="29"/>
      <c r="D32" s="204">
        <v>25300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24.95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9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3300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950000000000003" customHeight="1" x14ac:dyDescent="0.2">
      <c r="A35" s="33"/>
      <c r="B35" s="40" t="s">
        <v>33</v>
      </c>
      <c r="C35" s="39"/>
      <c r="D35" s="204">
        <v>1200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1.95" customHeight="1" x14ac:dyDescent="0.2">
      <c r="A36" s="33"/>
      <c r="B36" s="38" t="s">
        <v>89</v>
      </c>
      <c r="C36" s="39"/>
      <c r="D36" s="204">
        <v>2100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4" customHeight="1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7.25" customHeight="1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34446.090000000004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5" customHeight="1" x14ac:dyDescent="0.2">
      <c r="A39" s="42"/>
      <c r="B39" s="43" t="s">
        <v>38</v>
      </c>
      <c r="C39" s="44"/>
      <c r="D39" s="204">
        <v>3515.4</v>
      </c>
      <c r="E39" s="6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1.95" customHeight="1" x14ac:dyDescent="0.2">
      <c r="A40" s="42"/>
      <c r="B40" s="43" t="s">
        <v>39</v>
      </c>
      <c r="C40" s="44"/>
      <c r="D40" s="204">
        <v>4570.13</v>
      </c>
      <c r="E40" s="6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5" customHeight="1" x14ac:dyDescent="0.2">
      <c r="A41" s="42"/>
      <c r="B41" s="45" t="s">
        <v>40</v>
      </c>
      <c r="C41" s="44"/>
      <c r="D41" s="204">
        <v>16372.13</v>
      </c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5.1" customHeight="1" x14ac:dyDescent="0.2">
      <c r="A42" s="31"/>
      <c r="B42" s="46" t="s">
        <v>41</v>
      </c>
      <c r="C42" s="44"/>
      <c r="D42" s="204"/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4.1" customHeight="1" x14ac:dyDescent="0.2">
      <c r="A43" s="42"/>
      <c r="B43" s="47" t="s">
        <v>90</v>
      </c>
      <c r="C43" s="44"/>
      <c r="D43" s="204">
        <v>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5" customHeight="1" x14ac:dyDescent="0.2">
      <c r="A44" s="42"/>
      <c r="B44" s="47" t="s">
        <v>91</v>
      </c>
      <c r="C44" s="44"/>
      <c r="D44" s="204">
        <v>3894.05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29"/>
      <c r="B45" s="47" t="s">
        <v>92</v>
      </c>
      <c r="C45" s="44"/>
      <c r="D45" s="204">
        <v>5676.98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1.75" customHeight="1" x14ac:dyDescent="0.2">
      <c r="A46" s="42"/>
      <c r="B46" s="47" t="s">
        <v>45</v>
      </c>
      <c r="C46" s="44"/>
      <c r="D46" s="204">
        <v>417.4</v>
      </c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47.25" customHeight="1" x14ac:dyDescent="0.2">
      <c r="A47" s="12" t="s">
        <v>46</v>
      </c>
      <c r="B47" s="48" t="s">
        <v>47</v>
      </c>
      <c r="C47" s="49"/>
      <c r="D47" s="204"/>
      <c r="E47" s="6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31"/>
      <c r="B49" s="51" t="s">
        <v>49</v>
      </c>
      <c r="C49" s="20" t="s">
        <v>6</v>
      </c>
      <c r="D49" s="216">
        <f>D50+D51+D52</f>
        <v>99443.38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3"/>
      <c r="B50" s="28" t="s">
        <v>50</v>
      </c>
      <c r="C50" s="39"/>
      <c r="D50" s="204">
        <v>98300.74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5" x14ac:dyDescent="0.2">
      <c r="A52" s="31"/>
      <c r="B52" s="52" t="s">
        <v>52</v>
      </c>
      <c r="C52" s="39"/>
      <c r="D52" s="204">
        <v>1142.6400000000001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49"/>
      <c r="B53" s="76" t="s">
        <v>53</v>
      </c>
      <c r="C53" s="49"/>
      <c r="D53" s="216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7" t="s">
        <v>54</v>
      </c>
      <c r="C54" s="20" t="s">
        <v>6</v>
      </c>
      <c r="D54" s="216">
        <f>D55+D56+D57+D58</f>
        <v>160262.63999999998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78" t="s">
        <v>55</v>
      </c>
      <c r="C55" s="79"/>
      <c r="D55" s="204">
        <v>51612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17"/>
      <c r="B56" s="78" t="s">
        <v>56</v>
      </c>
      <c r="C56" s="39"/>
      <c r="D56" s="204">
        <v>91122.36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17"/>
      <c r="B57" s="78" t="s">
        <v>57</v>
      </c>
      <c r="C57" s="39"/>
      <c r="D57" s="204">
        <v>10515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">
      <c r="A58" s="17"/>
      <c r="B58" s="28" t="s">
        <v>97</v>
      </c>
      <c r="C58" s="79"/>
      <c r="D58" s="204">
        <v>7013.28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">
      <c r="A59" s="33" t="s">
        <v>60</v>
      </c>
      <c r="B59" s="210" t="s">
        <v>252</v>
      </c>
      <c r="C59" s="12" t="s">
        <v>6</v>
      </c>
      <c r="D59" s="216">
        <v>8525.69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1" t="s">
        <v>62</v>
      </c>
      <c r="B60" s="244" t="s">
        <v>260</v>
      </c>
      <c r="C60" s="7" t="s">
        <v>6</v>
      </c>
      <c r="D60" s="216">
        <v>146928.20000000001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33.75" x14ac:dyDescent="0.2">
      <c r="A61" s="31"/>
      <c r="B61" s="54" t="s">
        <v>63</v>
      </c>
      <c r="C61" s="55"/>
      <c r="D61" s="216"/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48" x14ac:dyDescent="0.2">
      <c r="A62" s="31" t="s">
        <v>64</v>
      </c>
      <c r="B62" s="56" t="s">
        <v>65</v>
      </c>
      <c r="C62" s="55" t="s">
        <v>6</v>
      </c>
      <c r="D62" s="216">
        <v>29460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60" x14ac:dyDescent="0.2">
      <c r="A63" s="31" t="s">
        <v>66</v>
      </c>
      <c r="B63" s="57" t="s">
        <v>98</v>
      </c>
      <c r="C63" s="55" t="s">
        <v>6</v>
      </c>
      <c r="D63" s="216">
        <f>154353.82+8001.18</f>
        <v>162355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" x14ac:dyDescent="0.25">
      <c r="A64" s="31" t="s">
        <v>68</v>
      </c>
      <c r="B64" s="58" t="s">
        <v>69</v>
      </c>
      <c r="C64" s="55" t="s">
        <v>6</v>
      </c>
      <c r="D64" s="218">
        <f>D16*6%</f>
        <v>40737.644999999997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x14ac:dyDescent="0.2">
      <c r="A65" s="31"/>
      <c r="B65" s="59" t="s">
        <v>70</v>
      </c>
      <c r="C65" s="55" t="s">
        <v>6</v>
      </c>
      <c r="D65" s="218">
        <f>D64+D63+D62+D60+D54+D49+D38+D34+D31+D28+D24</f>
        <v>820374.55499999993</v>
      </c>
      <c r="E65" s="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/>
      <c r="C66" s="62"/>
      <c r="D66" s="156"/>
      <c r="E66" s="159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243" t="s">
        <v>116</v>
      </c>
      <c r="C67" s="62"/>
      <c r="D67" s="159">
        <f>D6+D16-D65</f>
        <v>-185660.72499999998</v>
      </c>
      <c r="E67" s="159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B68" s="61"/>
      <c r="C68" s="62"/>
      <c r="D68" s="156"/>
      <c r="E68" s="159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B69" s="61"/>
      <c r="C69" s="62"/>
      <c r="D69" s="156"/>
      <c r="E69" s="159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B70" s="61"/>
      <c r="C70" s="62"/>
      <c r="D70" s="159"/>
      <c r="E70" s="156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5.75" x14ac:dyDescent="0.25">
      <c r="B71" s="61"/>
      <c r="C71" s="62"/>
      <c r="D71" s="65"/>
      <c r="E71" s="64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B72" s="66" t="s">
        <v>72</v>
      </c>
      <c r="C72" s="66"/>
      <c r="D72" s="66" t="s">
        <v>73</v>
      </c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x14ac:dyDescent="0.2">
      <c r="B73" s="66" t="s">
        <v>74</v>
      </c>
      <c r="C73" s="66"/>
      <c r="D73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50" workbookViewId="0">
      <selection activeCell="G22" sqref="G22:S70"/>
    </sheetView>
  </sheetViews>
  <sheetFormatPr defaultColWidth="9" defaultRowHeight="14.25" x14ac:dyDescent="0.2"/>
  <cols>
    <col min="1" max="1" width="3.7109375" style="1" customWidth="1"/>
    <col min="2" max="2" width="41.28515625" style="1" customWidth="1"/>
    <col min="3" max="3" width="9" style="1"/>
    <col min="4" max="4" width="14.7109375" style="1" customWidth="1"/>
    <col min="5" max="5" width="12.85546875" style="1" customWidth="1"/>
    <col min="6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170</v>
      </c>
      <c r="B2" s="298"/>
      <c r="C2" s="298"/>
      <c r="D2" s="298"/>
      <c r="E2" s="298"/>
      <c r="F2" s="298"/>
    </row>
    <row r="3" spans="1:15" ht="15" customHeight="1" x14ac:dyDescent="0.2">
      <c r="A3" s="4"/>
      <c r="B3" s="299" t="s">
        <v>227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A5" s="4"/>
      <c r="B5" s="163" t="s">
        <v>182</v>
      </c>
      <c r="C5" s="294"/>
      <c r="D5" s="163">
        <v>441624.44</v>
      </c>
      <c r="E5" s="294"/>
    </row>
    <row r="6" spans="1:15" x14ac:dyDescent="0.2">
      <c r="A6" s="6"/>
      <c r="B6" s="164" t="s">
        <v>214</v>
      </c>
      <c r="C6" s="167" t="s">
        <v>6</v>
      </c>
      <c r="D6" s="170">
        <v>358164.38</v>
      </c>
      <c r="E6" s="160"/>
    </row>
    <row r="7" spans="1:15" x14ac:dyDescent="0.2">
      <c r="A7" s="6"/>
      <c r="B7" s="164"/>
      <c r="C7" s="167"/>
      <c r="D7" s="170"/>
      <c r="E7" s="160"/>
    </row>
    <row r="8" spans="1:15" x14ac:dyDescent="0.2">
      <c r="A8" s="6"/>
      <c r="B8" s="165" t="s">
        <v>2</v>
      </c>
      <c r="C8" s="167" t="s">
        <v>3</v>
      </c>
      <c r="D8" s="171">
        <v>6804.5</v>
      </c>
      <c r="E8" s="160"/>
    </row>
    <row r="9" spans="1:15" x14ac:dyDescent="0.2">
      <c r="A9" s="6"/>
      <c r="B9" s="165" t="s">
        <v>4</v>
      </c>
      <c r="C9" s="167" t="s">
        <v>3</v>
      </c>
      <c r="D9" s="171">
        <v>5061.53</v>
      </c>
      <c r="E9" s="160"/>
    </row>
    <row r="10" spans="1:15" x14ac:dyDescent="0.2">
      <c r="A10" s="6"/>
      <c r="B10" s="166" t="s">
        <v>5</v>
      </c>
      <c r="C10" s="164" t="s">
        <v>6</v>
      </c>
      <c r="D10" s="170">
        <v>953795.49</v>
      </c>
      <c r="E10" s="160"/>
    </row>
    <row r="11" spans="1:15" x14ac:dyDescent="0.2">
      <c r="A11" s="6"/>
      <c r="B11" s="164"/>
      <c r="C11" s="164"/>
      <c r="D11" s="171"/>
      <c r="E11" s="160"/>
    </row>
    <row r="12" spans="1:15" x14ac:dyDescent="0.2">
      <c r="A12" s="6"/>
      <c r="B12" s="166" t="s">
        <v>7</v>
      </c>
      <c r="C12" s="164"/>
      <c r="D12" s="171"/>
      <c r="E12" s="160"/>
    </row>
    <row r="13" spans="1:15" x14ac:dyDescent="0.2">
      <c r="A13" s="6">
        <v>1</v>
      </c>
      <c r="B13" s="167" t="s">
        <v>208</v>
      </c>
      <c r="C13" s="167" t="s">
        <v>6</v>
      </c>
      <c r="D13" s="171">
        <v>886474.53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>
        <v>2</v>
      </c>
      <c r="B14" s="167" t="s">
        <v>106</v>
      </c>
      <c r="C14" s="167" t="s">
        <v>6</v>
      </c>
      <c r="D14" s="171">
        <v>10887.03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>
        <v>3</v>
      </c>
      <c r="B15" s="167" t="s">
        <v>9</v>
      </c>
      <c r="C15" s="167" t="s">
        <v>6</v>
      </c>
      <c r="D15" s="171">
        <f>3600+18000</f>
        <v>21600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166" t="s">
        <v>10</v>
      </c>
      <c r="C16" s="164" t="s">
        <v>6</v>
      </c>
      <c r="D16" s="170">
        <f>D13+D14+D15</f>
        <v>918961.56</v>
      </c>
      <c r="E16" s="160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38.25" customHeight="1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7" t="s">
        <v>6</v>
      </c>
      <c r="D24" s="216">
        <f>D25+D26+D27</f>
        <v>147525.75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78.75" x14ac:dyDescent="0.2">
      <c r="A25" s="22"/>
      <c r="B25" s="28" t="s">
        <v>21</v>
      </c>
      <c r="C25" s="29"/>
      <c r="D25" s="204">
        <v>71702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12.5" x14ac:dyDescent="0.2">
      <c r="A26" s="30"/>
      <c r="B26" s="28" t="s">
        <v>22</v>
      </c>
      <c r="C26" s="29"/>
      <c r="D26" s="204">
        <f>68700+1049.91</f>
        <v>69749.91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22.5" x14ac:dyDescent="0.2">
      <c r="A27" s="31"/>
      <c r="B27" s="40" t="s">
        <v>23</v>
      </c>
      <c r="C27" s="29"/>
      <c r="D27" s="204">
        <v>6073.84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5.5" x14ac:dyDescent="0.2">
      <c r="A28" s="22"/>
      <c r="B28" s="25" t="s">
        <v>24</v>
      </c>
      <c r="C28" s="7" t="s">
        <v>6</v>
      </c>
      <c r="D28" s="216">
        <f>D29+D30</f>
        <v>7414.77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x14ac:dyDescent="0.2">
      <c r="A29" s="33"/>
      <c r="B29" s="70" t="s">
        <v>25</v>
      </c>
      <c r="C29" s="35"/>
      <c r="D29" s="204">
        <v>6200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7.25" customHeight="1" x14ac:dyDescent="0.2">
      <c r="A30" s="22"/>
      <c r="B30" s="70" t="s">
        <v>26</v>
      </c>
      <c r="C30" s="35"/>
      <c r="D30" s="204">
        <v>1214.77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45.75" customHeight="1" x14ac:dyDescent="0.2">
      <c r="A31" s="22" t="s">
        <v>27</v>
      </c>
      <c r="B31" s="25" t="s">
        <v>28</v>
      </c>
      <c r="C31" s="7" t="s">
        <v>6</v>
      </c>
      <c r="D31" s="216">
        <f>D32+D33</f>
        <v>20651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74.25" customHeight="1" x14ac:dyDescent="0.2">
      <c r="A32" s="37"/>
      <c r="B32" s="28" t="s">
        <v>29</v>
      </c>
      <c r="C32" s="29"/>
      <c r="D32" s="204">
        <v>20651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30.75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42" customHeight="1" x14ac:dyDescent="0.2">
      <c r="A34" s="37"/>
      <c r="B34" s="25" t="s">
        <v>32</v>
      </c>
      <c r="C34" s="7" t="s">
        <v>6</v>
      </c>
      <c r="D34" s="216">
        <f>D35+D36+D37</f>
        <v>2100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33.75" x14ac:dyDescent="0.2">
      <c r="A35" s="33"/>
      <c r="B35" s="40" t="s">
        <v>33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22.5" x14ac:dyDescent="0.2">
      <c r="A36" s="33"/>
      <c r="B36" s="38" t="s">
        <v>89</v>
      </c>
      <c r="C36" s="39"/>
      <c r="D36" s="204">
        <v>2100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27.75" customHeight="1" x14ac:dyDescent="0.2">
      <c r="A37" s="33"/>
      <c r="B37" s="91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5.75" x14ac:dyDescent="0.25">
      <c r="A38" s="31"/>
      <c r="B38" s="41" t="s">
        <v>37</v>
      </c>
      <c r="C38" s="7" t="s">
        <v>6</v>
      </c>
      <c r="D38" s="216">
        <f>D39+D40+D41+D43+D44+D46+D45</f>
        <v>54148.299999999996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6.5" customHeight="1" x14ac:dyDescent="0.2">
      <c r="A39" s="42"/>
      <c r="B39" s="43" t="s">
        <v>38</v>
      </c>
      <c r="C39" s="44"/>
      <c r="D39" s="204">
        <v>2100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1" customHeight="1" x14ac:dyDescent="0.2">
      <c r="A40" s="42"/>
      <c r="B40" s="43" t="s">
        <v>39</v>
      </c>
      <c r="C40" s="44"/>
      <c r="D40" s="204">
        <v>17475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8" customHeight="1" x14ac:dyDescent="0.2">
      <c r="A41" s="42"/>
      <c r="B41" s="45" t="s">
        <v>40</v>
      </c>
      <c r="C41" s="44"/>
      <c r="D41" s="204">
        <f>23621.37+2564.95+2080</f>
        <v>28266.32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3.75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2"/>
      <c r="B44" s="47" t="s">
        <v>91</v>
      </c>
      <c r="C44" s="44"/>
      <c r="D44" s="204">
        <v>3698.77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x14ac:dyDescent="0.2">
      <c r="A45" s="42"/>
      <c r="B45" s="47" t="s">
        <v>171</v>
      </c>
      <c r="C45" s="44"/>
      <c r="D45" s="204">
        <v>528.21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6.5" customHeight="1" x14ac:dyDescent="0.2">
      <c r="A46" s="29"/>
      <c r="B46" s="240" t="s">
        <v>263</v>
      </c>
      <c r="C46" s="74"/>
      <c r="D46" s="204">
        <v>2080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43.5" customHeight="1" x14ac:dyDescent="0.2">
      <c r="A47" s="42"/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1" customHeight="1" x14ac:dyDescent="0.2">
      <c r="A48" s="12" t="s">
        <v>46</v>
      </c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5.5" x14ac:dyDescent="0.2">
      <c r="A49" s="49"/>
      <c r="B49" s="51" t="s">
        <v>49</v>
      </c>
      <c r="C49" s="7" t="s">
        <v>6</v>
      </c>
      <c r="D49" s="216">
        <f>D50+D51+D52+D53</f>
        <v>196556.27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1"/>
      <c r="B50" s="28" t="s">
        <v>50</v>
      </c>
      <c r="C50" s="39"/>
      <c r="D50" s="204">
        <v>196556.27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3"/>
      <c r="B51" s="52" t="s">
        <v>172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31"/>
      <c r="B52" s="52" t="s">
        <v>51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29.25" customHeight="1" x14ac:dyDescent="0.2">
      <c r="A53" s="31"/>
      <c r="B53" s="52" t="s">
        <v>52</v>
      </c>
      <c r="C53" s="39"/>
      <c r="D53" s="204">
        <v>0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29.25" customHeight="1" x14ac:dyDescent="0.2">
      <c r="A54" s="33" t="s">
        <v>60</v>
      </c>
      <c r="B54" s="210" t="s">
        <v>252</v>
      </c>
      <c r="C54" s="12" t="s">
        <v>6</v>
      </c>
      <c r="D54" s="216">
        <v>12306.23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21" customHeight="1" x14ac:dyDescent="0.2">
      <c r="A55" s="31" t="s">
        <v>62</v>
      </c>
      <c r="B55" s="107" t="s">
        <v>165</v>
      </c>
      <c r="C55" s="7" t="s">
        <v>6</v>
      </c>
      <c r="D55" s="216">
        <v>16621.12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38.25" customHeight="1" x14ac:dyDescent="0.2">
      <c r="A56" s="33"/>
      <c r="B56" s="54" t="s">
        <v>63</v>
      </c>
      <c r="C56" s="55"/>
      <c r="D56" s="216"/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48" x14ac:dyDescent="0.2">
      <c r="A57" s="31" t="s">
        <v>64</v>
      </c>
      <c r="B57" s="56" t="s">
        <v>65</v>
      </c>
      <c r="C57" s="7" t="s">
        <v>6</v>
      </c>
      <c r="D57" s="216">
        <v>42516.85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60" x14ac:dyDescent="0.2">
      <c r="A58" s="31" t="s">
        <v>66</v>
      </c>
      <c r="B58" s="57" t="s">
        <v>98</v>
      </c>
      <c r="C58" s="7" t="s">
        <v>6</v>
      </c>
      <c r="D58" s="216">
        <v>234354.57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" x14ac:dyDescent="0.25">
      <c r="A59" s="31" t="s">
        <v>68</v>
      </c>
      <c r="B59" s="58" t="s">
        <v>69</v>
      </c>
      <c r="C59" s="7" t="s">
        <v>6</v>
      </c>
      <c r="D59" s="218">
        <f>D16*6%</f>
        <v>55137.693599999999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">
      <c r="A60" s="31"/>
      <c r="B60" s="59" t="s">
        <v>70</v>
      </c>
      <c r="C60" s="7" t="s">
        <v>6</v>
      </c>
      <c r="D60" s="218">
        <f>D59+D58+D57+D55+D54+D49+D38+D34+D31+D28+D24</f>
        <v>789332.55359999998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A61" s="60"/>
      <c r="B61" s="61"/>
      <c r="C61" s="62"/>
      <c r="E61" s="159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5.75" x14ac:dyDescent="0.25">
      <c r="A62" s="60"/>
      <c r="B62" s="243" t="s">
        <v>116</v>
      </c>
      <c r="C62" s="62"/>
      <c r="D62" s="234">
        <f>D6+D16-D60</f>
        <v>487793.38639999996</v>
      </c>
      <c r="E62" s="159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.75" x14ac:dyDescent="0.25">
      <c r="A63" s="60"/>
      <c r="B63" s="61"/>
      <c r="C63" s="62"/>
      <c r="D63" s="153"/>
      <c r="E63" s="159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A64" s="60"/>
      <c r="B64" s="61"/>
      <c r="C64" s="62"/>
      <c r="E64" s="15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.75" x14ac:dyDescent="0.25">
      <c r="A65" s="60"/>
      <c r="B65" s="61" t="s">
        <v>173</v>
      </c>
      <c r="C65" s="62"/>
      <c r="E65" s="156"/>
      <c r="F65" s="64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1"/>
      <c r="B66" s="62"/>
      <c r="C66" s="65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x14ac:dyDescent="0.2">
      <c r="A67" s="60"/>
      <c r="B67" s="66" t="s">
        <v>72</v>
      </c>
      <c r="C67" s="66"/>
      <c r="D67" s="66" t="s">
        <v>73</v>
      </c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x14ac:dyDescent="0.2">
      <c r="A68" s="60"/>
      <c r="B68" s="66" t="s">
        <v>74</v>
      </c>
      <c r="C68" s="66"/>
      <c r="D68" s="189" t="s">
        <v>273</v>
      </c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B69" s="62"/>
      <c r="C69" s="65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5.75" x14ac:dyDescent="0.25">
      <c r="B70" s="62"/>
      <c r="C70" s="65"/>
      <c r="G70" s="153"/>
      <c r="H70" s="153"/>
      <c r="I70" s="153"/>
      <c r="J70" s="153"/>
      <c r="K70" s="153"/>
      <c r="L70" s="153"/>
      <c r="M70" s="153"/>
      <c r="N70" s="153"/>
      <c r="O70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A47" workbookViewId="0">
      <selection activeCell="G22" sqref="G22:S70"/>
    </sheetView>
  </sheetViews>
  <sheetFormatPr defaultColWidth="9" defaultRowHeight="14.25" x14ac:dyDescent="0.2"/>
  <cols>
    <col min="1" max="1" width="5.140625" style="1" customWidth="1"/>
    <col min="2" max="2" width="45.7109375" style="1" customWidth="1"/>
    <col min="3" max="3" width="9" style="1"/>
    <col min="4" max="4" width="12" style="1" customWidth="1"/>
    <col min="5" max="5" width="11" style="1" customWidth="1"/>
    <col min="6" max="16384" width="9" style="1"/>
  </cols>
  <sheetData>
    <row r="1" spans="1:16" ht="15" x14ac:dyDescent="0.25">
      <c r="B1" s="82" t="s">
        <v>0</v>
      </c>
      <c r="C1" s="2"/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4"/>
    </row>
    <row r="3" spans="1:16" ht="15" customHeight="1" x14ac:dyDescent="0.2">
      <c r="A3" s="4"/>
      <c r="B3" s="299" t="s">
        <v>228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B5" s="169" t="s">
        <v>182</v>
      </c>
      <c r="C5" s="5"/>
      <c r="D5" s="5">
        <v>229617.91</v>
      </c>
    </row>
    <row r="6" spans="1:16" x14ac:dyDescent="0.2">
      <c r="A6" s="6"/>
      <c r="B6" s="7" t="s">
        <v>116</v>
      </c>
      <c r="C6" s="8" t="s">
        <v>6</v>
      </c>
      <c r="D6" s="67">
        <v>323368.11</v>
      </c>
      <c r="E6" s="6"/>
    </row>
    <row r="7" spans="1:16" x14ac:dyDescent="0.2">
      <c r="A7" s="6"/>
      <c r="B7" s="7"/>
      <c r="C7" s="8"/>
      <c r="D7" s="68"/>
      <c r="E7" s="6"/>
    </row>
    <row r="8" spans="1:16" x14ac:dyDescent="0.2">
      <c r="A8" s="6"/>
      <c r="B8" s="10" t="s">
        <v>2</v>
      </c>
      <c r="C8" s="8" t="s">
        <v>3</v>
      </c>
      <c r="D8" s="11">
        <v>5925.2</v>
      </c>
      <c r="E8" s="6"/>
    </row>
    <row r="9" spans="1:16" x14ac:dyDescent="0.2">
      <c r="A9" s="6"/>
      <c r="B9" s="10" t="s">
        <v>4</v>
      </c>
      <c r="C9" s="8" t="s">
        <v>3</v>
      </c>
      <c r="D9" s="11">
        <v>4373.5</v>
      </c>
      <c r="E9" s="6"/>
    </row>
    <row r="10" spans="1:16" x14ac:dyDescent="0.2">
      <c r="A10" s="6"/>
      <c r="B10" s="12" t="s">
        <v>5</v>
      </c>
      <c r="C10" s="7" t="s">
        <v>6</v>
      </c>
      <c r="D10" s="9">
        <v>684480.96</v>
      </c>
      <c r="E10" s="6"/>
    </row>
    <row r="11" spans="1:16" x14ac:dyDescent="0.2">
      <c r="A11" s="6"/>
      <c r="B11" s="7"/>
      <c r="C11" s="7"/>
      <c r="D11" s="68"/>
      <c r="E11" s="6"/>
    </row>
    <row r="12" spans="1:16" x14ac:dyDescent="0.2">
      <c r="A12" s="6"/>
      <c r="B12" s="12" t="s">
        <v>7</v>
      </c>
      <c r="C12" s="7"/>
      <c r="D12" s="68"/>
      <c r="E12" s="6"/>
    </row>
    <row r="13" spans="1:16" x14ac:dyDescent="0.2">
      <c r="A13" s="6">
        <v>1</v>
      </c>
      <c r="B13" s="8" t="s">
        <v>84</v>
      </c>
      <c r="C13" s="8" t="s">
        <v>6</v>
      </c>
      <c r="D13" s="11">
        <v>651877.28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6">
        <v>2</v>
      </c>
      <c r="B14" s="8" t="s">
        <v>9</v>
      </c>
      <c r="C14" s="8" t="s">
        <v>6</v>
      </c>
      <c r="D14" s="11">
        <f>9000</f>
        <v>9000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"/>
      <c r="B15" s="8"/>
      <c r="C15" s="7"/>
      <c r="D15" s="11"/>
      <c r="E15" s="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6"/>
      <c r="B16" s="12" t="s">
        <v>10</v>
      </c>
      <c r="C16" s="7" t="s">
        <v>6</v>
      </c>
      <c r="D16" s="9">
        <f>D13+D14</f>
        <v>660877.28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37.5" customHeight="1" x14ac:dyDescent="0.2">
      <c r="A24" s="22"/>
      <c r="B24" s="25" t="s">
        <v>20</v>
      </c>
      <c r="C24" s="7" t="s">
        <v>6</v>
      </c>
      <c r="D24" s="216">
        <f>D25+D26+D27+D34</f>
        <v>157686.13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69" customHeight="1" x14ac:dyDescent="0.2">
      <c r="A25" s="22"/>
      <c r="B25" s="28" t="s">
        <v>21</v>
      </c>
      <c r="C25" s="29"/>
      <c r="D25" s="204">
        <v>74674.13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02" customHeight="1" x14ac:dyDescent="0.2">
      <c r="A26" s="30"/>
      <c r="B26" s="28" t="s">
        <v>22</v>
      </c>
      <c r="C26" s="29"/>
      <c r="D26" s="204">
        <v>68470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17.25" customHeight="1" x14ac:dyDescent="0.2">
      <c r="A27" s="31"/>
      <c r="B27" s="40" t="s">
        <v>23</v>
      </c>
      <c r="C27" s="29"/>
      <c r="D27" s="204">
        <v>8442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0.25" customHeight="1" x14ac:dyDescent="0.2">
      <c r="A28" s="22"/>
      <c r="B28" s="25" t="s">
        <v>24</v>
      </c>
      <c r="C28" s="7" t="s">
        <v>6</v>
      </c>
      <c r="D28" s="216">
        <f>D29+D30</f>
        <v>7819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33"/>
      <c r="B29" s="70" t="s">
        <v>25</v>
      </c>
      <c r="C29" s="35"/>
      <c r="D29" s="204">
        <v>5720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22"/>
      <c r="B30" s="70" t="s">
        <v>26</v>
      </c>
      <c r="C30" s="35"/>
      <c r="D30" s="204">
        <v>2099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38.25" x14ac:dyDescent="0.2">
      <c r="A31" s="22" t="s">
        <v>27</v>
      </c>
      <c r="B31" s="25" t="s">
        <v>28</v>
      </c>
      <c r="C31" s="7" t="s">
        <v>6</v>
      </c>
      <c r="D31" s="216">
        <f>D32+D33</f>
        <v>30552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67.5" x14ac:dyDescent="0.2">
      <c r="A32" s="37"/>
      <c r="B32" s="28" t="s">
        <v>29</v>
      </c>
      <c r="C32" s="29"/>
      <c r="D32" s="204">
        <v>30552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22.5" x14ac:dyDescent="0.2">
      <c r="A33" s="37"/>
      <c r="B33" s="38" t="s">
        <v>30</v>
      </c>
      <c r="C33" s="2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38.25" x14ac:dyDescent="0.2">
      <c r="A34" s="37" t="s">
        <v>31</v>
      </c>
      <c r="B34" s="25" t="s">
        <v>32</v>
      </c>
      <c r="C34" s="7" t="s">
        <v>6</v>
      </c>
      <c r="D34" s="216">
        <f>D35+D36+D37</f>
        <v>6100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33.75" x14ac:dyDescent="0.2">
      <c r="A35" s="33"/>
      <c r="B35" s="40" t="s">
        <v>33</v>
      </c>
      <c r="C35" s="39"/>
      <c r="D35" s="204">
        <v>2900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89</v>
      </c>
      <c r="C36" s="39"/>
      <c r="D36" s="204">
        <v>3200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7" t="s">
        <v>6</v>
      </c>
      <c r="D38" s="216">
        <f>D39+D40+D41+D43+D44+D45+D46</f>
        <v>81744.91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2">
      <c r="A39" s="42"/>
      <c r="B39" s="43" t="s">
        <v>38</v>
      </c>
      <c r="C39" s="44"/>
      <c r="D39" s="204">
        <v>3370.08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3" t="s">
        <v>39</v>
      </c>
      <c r="C40" s="44"/>
      <c r="D40" s="204">
        <v>17610.75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x14ac:dyDescent="0.2">
      <c r="A41" s="42"/>
      <c r="B41" s="45" t="s">
        <v>40</v>
      </c>
      <c r="C41" s="44"/>
      <c r="D41" s="204">
        <v>20419.64</v>
      </c>
      <c r="E41" s="6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33.75" x14ac:dyDescent="0.2">
      <c r="A42" s="31"/>
      <c r="B42" s="46" t="s">
        <v>41</v>
      </c>
      <c r="C42" s="44"/>
      <c r="D42" s="204"/>
      <c r="E42" s="6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90</v>
      </c>
      <c r="C43" s="44"/>
      <c r="D43" s="204">
        <v>0</v>
      </c>
      <c r="E43" s="6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91</v>
      </c>
      <c r="C44" s="44"/>
      <c r="D44" s="204">
        <v>625.36</v>
      </c>
      <c r="E44" s="6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29"/>
      <c r="B45" s="47" t="s">
        <v>92</v>
      </c>
      <c r="C45" s="44"/>
      <c r="D45" s="204">
        <v>3416.29</v>
      </c>
      <c r="E45" s="6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x14ac:dyDescent="0.2">
      <c r="A46" s="42"/>
      <c r="B46" s="47" t="s">
        <v>45</v>
      </c>
      <c r="C46" s="44"/>
      <c r="D46" s="204">
        <v>36302.79</v>
      </c>
      <c r="E46" s="6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38.25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1.75" customHeight="1" x14ac:dyDescent="0.2">
      <c r="A49" s="31"/>
      <c r="B49" s="51" t="s">
        <v>49</v>
      </c>
      <c r="C49" s="7" t="s">
        <v>6</v>
      </c>
      <c r="D49" s="216">
        <f>D50+D51+D52</f>
        <v>103819.75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2.5" x14ac:dyDescent="0.2">
      <c r="A50" s="33"/>
      <c r="B50" s="28" t="s">
        <v>50</v>
      </c>
      <c r="C50" s="39"/>
      <c r="D50" s="204">
        <v>103819.75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15.75" customHeight="1" x14ac:dyDescent="0.2">
      <c r="A52" s="31"/>
      <c r="B52" s="52" t="s">
        <v>52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33" t="s">
        <v>60</v>
      </c>
      <c r="B53" s="210" t="s">
        <v>252</v>
      </c>
      <c r="C53" s="12" t="s">
        <v>6</v>
      </c>
      <c r="D53" s="216">
        <v>10633.4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31" t="s">
        <v>62</v>
      </c>
      <c r="B54" s="244" t="s">
        <v>264</v>
      </c>
      <c r="C54" s="7" t="s">
        <v>6</v>
      </c>
      <c r="D54" s="216">
        <v>73722.37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25.5" customHeight="1" x14ac:dyDescent="0.2">
      <c r="A55" s="31"/>
      <c r="B55" s="54" t="s">
        <v>63</v>
      </c>
      <c r="C55" s="55"/>
      <c r="D55" s="216"/>
      <c r="E55" s="6"/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ht="39.75" customHeight="1" x14ac:dyDescent="0.2">
      <c r="A56" s="31" t="s">
        <v>64</v>
      </c>
      <c r="B56" s="56" t="s">
        <v>65</v>
      </c>
      <c r="C56" s="7" t="s">
        <v>6</v>
      </c>
      <c r="D56" s="216">
        <v>55482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ht="48" customHeight="1" x14ac:dyDescent="0.2">
      <c r="A57" s="31" t="s">
        <v>66</v>
      </c>
      <c r="B57" s="57" t="s">
        <v>98</v>
      </c>
      <c r="C57" s="7" t="s">
        <v>6</v>
      </c>
      <c r="D57" s="218">
        <f>176597.25+176.92+6979.23</f>
        <v>183753.40000000002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ht="15" x14ac:dyDescent="0.25">
      <c r="A58" s="31" t="s">
        <v>68</v>
      </c>
      <c r="B58" s="58" t="s">
        <v>69</v>
      </c>
      <c r="C58" s="7" t="s">
        <v>6</v>
      </c>
      <c r="D58" s="218">
        <f>D16*6%</f>
        <v>39652.6368</v>
      </c>
      <c r="E58" s="6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31"/>
      <c r="B59" s="59" t="s">
        <v>70</v>
      </c>
      <c r="C59" s="7" t="s">
        <v>6</v>
      </c>
      <c r="D59" s="218">
        <f>D58+D57+D56+D54+D53+D49+D38+D34+D31+D28+D24</f>
        <v>750965.59680000006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15.75" x14ac:dyDescent="0.25">
      <c r="A60" s="60"/>
      <c r="B60" s="61"/>
      <c r="C60" s="62"/>
      <c r="D60" s="156"/>
      <c r="E60" s="159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ht="15.75" x14ac:dyDescent="0.25">
      <c r="A61" s="60"/>
      <c r="B61" s="61" t="s">
        <v>76</v>
      </c>
      <c r="C61" s="62"/>
      <c r="D61" s="159">
        <f>D6+D16-D59</f>
        <v>233279.79319999996</v>
      </c>
      <c r="E61" s="159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15.75" x14ac:dyDescent="0.25">
      <c r="A62" s="60"/>
      <c r="B62" s="61"/>
      <c r="C62" s="62"/>
      <c r="D62" s="64"/>
      <c r="E62" s="63"/>
      <c r="F62" s="6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15" x14ac:dyDescent="0.25">
      <c r="A63" s="60"/>
      <c r="B63" s="66" t="s">
        <v>72</v>
      </c>
      <c r="C63" s="89"/>
      <c r="D63" s="66" t="s">
        <v>73</v>
      </c>
      <c r="F63" s="64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15" x14ac:dyDescent="0.25">
      <c r="A64" s="60"/>
      <c r="B64" s="66" t="s">
        <v>74</v>
      </c>
      <c r="C64" s="66"/>
      <c r="D64" s="189" t="s">
        <v>273</v>
      </c>
      <c r="F64" s="64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x14ac:dyDescent="0.2">
      <c r="A65" s="60"/>
      <c r="B65" s="90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">
      <c r="B66" s="90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x14ac:dyDescent="0.2">
      <c r="B67" s="90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x14ac:dyDescent="0.2">
      <c r="B68" s="90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x14ac:dyDescent="0.2">
      <c r="B69" s="90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x14ac:dyDescent="0.2">
      <c r="B70" s="90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52" workbookViewId="0">
      <selection activeCell="G22" sqref="G22:S75"/>
    </sheetView>
  </sheetViews>
  <sheetFormatPr defaultColWidth="9" defaultRowHeight="14.25" x14ac:dyDescent="0.2"/>
  <cols>
    <col min="1" max="1" width="5.42578125" style="1" customWidth="1"/>
    <col min="2" max="2" width="40.140625" style="1" customWidth="1"/>
    <col min="3" max="3" width="9" style="1"/>
    <col min="4" max="4" width="12.85546875" style="1" customWidth="1"/>
    <col min="5" max="16384" width="9" style="1"/>
  </cols>
  <sheetData>
    <row r="1" spans="1:16" ht="15" x14ac:dyDescent="0.25">
      <c r="B1" s="82" t="s">
        <v>0</v>
      </c>
      <c r="C1" s="2"/>
      <c r="D1" s="3"/>
    </row>
    <row r="2" spans="1:16" ht="15" customHeight="1" x14ac:dyDescent="0.2">
      <c r="A2" s="298" t="s">
        <v>111</v>
      </c>
      <c r="B2" s="298"/>
      <c r="C2" s="298"/>
      <c r="D2" s="298"/>
      <c r="E2" s="298"/>
      <c r="F2" s="298"/>
    </row>
    <row r="3" spans="1:16" ht="15" customHeight="1" x14ac:dyDescent="0.2">
      <c r="A3" s="4"/>
      <c r="B3" s="299" t="s">
        <v>229</v>
      </c>
      <c r="C3" s="298"/>
      <c r="D3" s="298"/>
      <c r="E3" s="298"/>
    </row>
    <row r="4" spans="1:16" x14ac:dyDescent="0.2">
      <c r="A4" s="4"/>
      <c r="B4" s="293"/>
      <c r="C4" s="293"/>
      <c r="D4" s="293"/>
      <c r="E4" s="293"/>
    </row>
    <row r="5" spans="1:16" x14ac:dyDescent="0.2">
      <c r="A5" s="168"/>
      <c r="B5" s="163" t="s">
        <v>182</v>
      </c>
      <c r="C5" s="163"/>
      <c r="D5" s="163">
        <v>461668.67</v>
      </c>
    </row>
    <row r="6" spans="1:16" x14ac:dyDescent="0.2">
      <c r="A6" s="160"/>
      <c r="B6" s="164" t="s">
        <v>211</v>
      </c>
      <c r="C6" s="167" t="s">
        <v>6</v>
      </c>
      <c r="D6" s="170">
        <v>-69776.09</v>
      </c>
      <c r="E6" s="6"/>
    </row>
    <row r="7" spans="1:16" x14ac:dyDescent="0.2">
      <c r="A7" s="160"/>
      <c r="B7" s="164"/>
      <c r="C7" s="167"/>
      <c r="D7" s="170"/>
      <c r="E7" s="6"/>
    </row>
    <row r="8" spans="1:16" x14ac:dyDescent="0.2">
      <c r="A8" s="160"/>
      <c r="B8" s="165" t="s">
        <v>2</v>
      </c>
      <c r="C8" s="167" t="s">
        <v>3</v>
      </c>
      <c r="D8" s="171">
        <v>3706.7</v>
      </c>
      <c r="E8" s="6"/>
    </row>
    <row r="9" spans="1:16" x14ac:dyDescent="0.2">
      <c r="A9" s="160"/>
      <c r="B9" s="165" t="s">
        <v>4</v>
      </c>
      <c r="C9" s="167" t="s">
        <v>3</v>
      </c>
      <c r="D9" s="171">
        <v>2469.3000000000002</v>
      </c>
      <c r="E9" s="6"/>
    </row>
    <row r="10" spans="1:16" x14ac:dyDescent="0.2">
      <c r="A10" s="160"/>
      <c r="B10" s="166" t="s">
        <v>5</v>
      </c>
      <c r="C10" s="164" t="s">
        <v>6</v>
      </c>
      <c r="D10" s="170">
        <v>696170.34</v>
      </c>
      <c r="E10" s="6"/>
    </row>
    <row r="11" spans="1:16" x14ac:dyDescent="0.2">
      <c r="A11" s="160"/>
      <c r="B11" s="164"/>
      <c r="C11" s="164"/>
      <c r="D11" s="171"/>
      <c r="E11" s="6"/>
    </row>
    <row r="12" spans="1:16" x14ac:dyDescent="0.2">
      <c r="A12" s="160"/>
      <c r="B12" s="166" t="s">
        <v>7</v>
      </c>
      <c r="C12" s="164"/>
      <c r="D12" s="171"/>
      <c r="E12" s="6"/>
    </row>
    <row r="13" spans="1:16" x14ac:dyDescent="0.2">
      <c r="A13" s="160">
        <v>1</v>
      </c>
      <c r="B13" s="167" t="s">
        <v>84</v>
      </c>
      <c r="C13" s="167" t="s">
        <v>6</v>
      </c>
      <c r="D13" s="171">
        <v>531291.34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x14ac:dyDescent="0.2">
      <c r="A14" s="160">
        <v>2</v>
      </c>
      <c r="B14" s="167" t="s">
        <v>106</v>
      </c>
      <c r="C14" s="167" t="s">
        <v>6</v>
      </c>
      <c r="D14" s="171">
        <v>11282.43</v>
      </c>
      <c r="E14" s="6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160">
        <v>3</v>
      </c>
      <c r="B15" s="167" t="s">
        <v>9</v>
      </c>
      <c r="C15" s="167" t="s">
        <v>6</v>
      </c>
      <c r="D15" s="171">
        <f>6000+3600+2364+9000</f>
        <v>20964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x14ac:dyDescent="0.2">
      <c r="A16" s="160"/>
      <c r="B16" s="166" t="s">
        <v>10</v>
      </c>
      <c r="C16" s="164" t="s">
        <v>6</v>
      </c>
      <c r="D16" s="170">
        <f>D13+D14+D15</f>
        <v>563537.77</v>
      </c>
      <c r="E16" s="6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1:16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16" ht="51" x14ac:dyDescent="0.2">
      <c r="A24" s="22"/>
      <c r="B24" s="25" t="s">
        <v>20</v>
      </c>
      <c r="C24" s="26" t="s">
        <v>6</v>
      </c>
      <c r="D24" s="216">
        <f>D25+D26+D27</f>
        <v>75658.679999999993</v>
      </c>
      <c r="E24" s="204">
        <v>77931.11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ht="78.75" x14ac:dyDescent="0.2">
      <c r="A25" s="22"/>
      <c r="B25" s="28" t="s">
        <v>21</v>
      </c>
      <c r="C25" s="29"/>
      <c r="D25" s="204">
        <v>34767.68</v>
      </c>
      <c r="E25" s="204">
        <v>37039.5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ht="112.5" x14ac:dyDescent="0.2">
      <c r="A26" s="30"/>
      <c r="B26" s="28" t="s">
        <v>22</v>
      </c>
      <c r="C26" s="29"/>
      <c r="D26" s="204">
        <v>36150</v>
      </c>
      <c r="E26" s="204">
        <v>36150.550000000003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22.5" x14ac:dyDescent="0.2">
      <c r="A27" s="31"/>
      <c r="B27" s="40" t="s">
        <v>23</v>
      </c>
      <c r="C27" s="29"/>
      <c r="D27" s="204">
        <v>4741</v>
      </c>
      <c r="E27" s="204">
        <v>4741.0600000000004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 ht="25.5" x14ac:dyDescent="0.2">
      <c r="A28" s="22"/>
      <c r="B28" s="25" t="s">
        <v>24</v>
      </c>
      <c r="C28" s="26" t="s">
        <v>6</v>
      </c>
      <c r="D28" s="216">
        <f>D29+D30</f>
        <v>6606</v>
      </c>
      <c r="E28" s="204">
        <v>6222.64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 x14ac:dyDescent="0.2">
      <c r="A29" s="33"/>
      <c r="B29" s="70" t="s">
        <v>25</v>
      </c>
      <c r="C29" s="35"/>
      <c r="D29" s="204">
        <v>5421</v>
      </c>
      <c r="E29" s="204">
        <v>5037.37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x14ac:dyDescent="0.2">
      <c r="A30" s="22"/>
      <c r="B30" s="70" t="s">
        <v>26</v>
      </c>
      <c r="C30" s="35"/>
      <c r="D30" s="204">
        <v>1185</v>
      </c>
      <c r="E30" s="204">
        <v>1185.26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38.25" x14ac:dyDescent="0.2">
      <c r="A31" s="22" t="s">
        <v>27</v>
      </c>
      <c r="B31" s="25" t="s">
        <v>28</v>
      </c>
      <c r="C31" s="36" t="s">
        <v>6</v>
      </c>
      <c r="D31" s="216">
        <f>D32+D33</f>
        <v>20300</v>
      </c>
      <c r="E31" s="204">
        <v>20149.490000000002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78.75" x14ac:dyDescent="0.2">
      <c r="A32" s="37"/>
      <c r="B32" s="28" t="s">
        <v>29</v>
      </c>
      <c r="C32" s="29"/>
      <c r="D32" s="204">
        <v>20300</v>
      </c>
      <c r="E32" s="204">
        <v>20149.490000000002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22.5" x14ac:dyDescent="0.2">
      <c r="A33" s="37"/>
      <c r="B33" s="38" t="s">
        <v>30</v>
      </c>
      <c r="C33" s="39"/>
      <c r="D33" s="204">
        <v>0</v>
      </c>
      <c r="E33" s="204"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38.25" x14ac:dyDescent="0.2">
      <c r="A34" s="37" t="s">
        <v>31</v>
      </c>
      <c r="B34" s="25" t="s">
        <v>32</v>
      </c>
      <c r="C34" s="12" t="s">
        <v>6</v>
      </c>
      <c r="D34" s="216">
        <f>D35+D36+D37</f>
        <v>3547</v>
      </c>
      <c r="E34" s="204">
        <v>8296.85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33.75" x14ac:dyDescent="0.2">
      <c r="A35" s="33"/>
      <c r="B35" s="40" t="s">
        <v>33</v>
      </c>
      <c r="C35" s="39"/>
      <c r="D35" s="204">
        <v>1777</v>
      </c>
      <c r="E35" s="204">
        <v>1777.9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22.5" x14ac:dyDescent="0.2">
      <c r="A36" s="33"/>
      <c r="B36" s="38" t="s">
        <v>89</v>
      </c>
      <c r="C36" s="39"/>
      <c r="D36" s="204">
        <v>1770</v>
      </c>
      <c r="E36" s="204">
        <v>1777.9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1:16" ht="22.5" x14ac:dyDescent="0.2">
      <c r="A37" s="33"/>
      <c r="B37" s="38" t="s">
        <v>35</v>
      </c>
      <c r="C37" s="39"/>
      <c r="D37" s="204">
        <v>0</v>
      </c>
      <c r="E37" s="204">
        <v>4741.0600000000004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6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20053.879999999997</v>
      </c>
      <c r="E38" s="204">
        <v>34372.660000000003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x14ac:dyDescent="0.2">
      <c r="A39" s="42"/>
      <c r="B39" s="43" t="s">
        <v>38</v>
      </c>
      <c r="C39" s="44"/>
      <c r="D39" s="204">
        <v>3304.56</v>
      </c>
      <c r="E39" s="204">
        <v>3555.79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x14ac:dyDescent="0.2">
      <c r="A40" s="42"/>
      <c r="B40" s="43" t="s">
        <v>39</v>
      </c>
      <c r="C40" s="44"/>
      <c r="D40" s="204">
        <v>3513</v>
      </c>
      <c r="E40" s="204">
        <v>8296.85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17.25" customHeight="1" x14ac:dyDescent="0.2">
      <c r="A41" s="42"/>
      <c r="B41" s="45" t="s">
        <v>40</v>
      </c>
      <c r="C41" s="44"/>
      <c r="D41" s="204">
        <v>11529.03</v>
      </c>
      <c r="E41" s="204">
        <v>19260.54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38.25" customHeight="1" x14ac:dyDescent="0.2">
      <c r="A42" s="31"/>
      <c r="B42" s="46" t="s">
        <v>41</v>
      </c>
      <c r="C42" s="44"/>
      <c r="D42" s="204"/>
      <c r="E42" s="204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x14ac:dyDescent="0.2">
      <c r="A43" s="42"/>
      <c r="B43" s="47" t="s">
        <v>90</v>
      </c>
      <c r="C43" s="44"/>
      <c r="D43" s="204">
        <v>0</v>
      </c>
      <c r="E43" s="204"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</row>
    <row r="44" spans="1:16" x14ac:dyDescent="0.2">
      <c r="A44" s="42"/>
      <c r="B44" s="47" t="s">
        <v>91</v>
      </c>
      <c r="C44" s="44"/>
      <c r="D44" s="204">
        <v>455.96</v>
      </c>
      <c r="E44" s="204">
        <v>592.63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</row>
    <row r="45" spans="1:16" x14ac:dyDescent="0.2">
      <c r="A45" s="29"/>
      <c r="B45" s="47" t="s">
        <v>92</v>
      </c>
      <c r="C45" s="44"/>
      <c r="D45" s="204">
        <v>1251.33</v>
      </c>
      <c r="E45" s="204">
        <v>2666.84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ht="22.5" x14ac:dyDescent="0.2">
      <c r="A46" s="42"/>
      <c r="B46" s="47" t="s">
        <v>174</v>
      </c>
      <c r="C46" s="44"/>
      <c r="D46" s="204">
        <v>0</v>
      </c>
      <c r="E46" s="204">
        <v>0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ht="38.25" x14ac:dyDescent="0.2">
      <c r="A47" s="12" t="s">
        <v>46</v>
      </c>
      <c r="B47" s="48" t="s">
        <v>47</v>
      </c>
      <c r="C47" s="49"/>
      <c r="D47" s="204"/>
      <c r="E47" s="204"/>
      <c r="G47" s="153"/>
      <c r="H47" s="153"/>
      <c r="I47" s="153"/>
      <c r="J47" s="153"/>
      <c r="K47" s="153"/>
      <c r="L47" s="153"/>
      <c r="M47" s="153"/>
      <c r="N47" s="153"/>
      <c r="O47" s="153"/>
      <c r="P47" s="153"/>
    </row>
    <row r="48" spans="1:16" x14ac:dyDescent="0.2">
      <c r="A48" s="49"/>
      <c r="B48" s="50" t="s">
        <v>48</v>
      </c>
      <c r="C48" s="49"/>
      <c r="D48" s="204"/>
      <c r="E48" s="204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  <row r="49" spans="1:16" ht="25.5" x14ac:dyDescent="0.2">
      <c r="A49" s="31"/>
      <c r="B49" s="51" t="s">
        <v>49</v>
      </c>
      <c r="C49" s="20" t="s">
        <v>6</v>
      </c>
      <c r="D49" s="216">
        <f>D50+D51+D52</f>
        <v>88383.29</v>
      </c>
      <c r="E49" s="204">
        <v>67263.73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</row>
    <row r="50" spans="1:16" ht="22.5" x14ac:dyDescent="0.2">
      <c r="A50" s="33"/>
      <c r="B50" s="28" t="s">
        <v>50</v>
      </c>
      <c r="C50" s="39"/>
      <c r="D50" s="204">
        <v>86326.53</v>
      </c>
      <c r="E50" s="204">
        <v>63707.94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x14ac:dyDescent="0.2">
      <c r="A51" s="31"/>
      <c r="B51" s="52" t="s">
        <v>51</v>
      </c>
      <c r="C51" s="39"/>
      <c r="D51" s="204">
        <v>0</v>
      </c>
      <c r="E51" s="204">
        <v>296.32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ht="22.5" x14ac:dyDescent="0.2">
      <c r="A52" s="31"/>
      <c r="B52" s="52" t="s">
        <v>52</v>
      </c>
      <c r="C52" s="39"/>
      <c r="D52" s="204">
        <v>2056.7600000000002</v>
      </c>
      <c r="E52" s="204">
        <v>3259.48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x14ac:dyDescent="0.2">
      <c r="A53" s="49"/>
      <c r="B53" s="76" t="s">
        <v>53</v>
      </c>
      <c r="C53" s="49"/>
      <c r="D53" s="204"/>
      <c r="E53" s="204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x14ac:dyDescent="0.2">
      <c r="A54" s="17"/>
      <c r="B54" s="77" t="s">
        <v>54</v>
      </c>
      <c r="C54" s="20" t="s">
        <v>6</v>
      </c>
      <c r="D54" s="216">
        <f>D55+D56+D57+D58+D59</f>
        <v>139530.53999999998</v>
      </c>
      <c r="E54" s="204">
        <v>101043.76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x14ac:dyDescent="0.2">
      <c r="A55" s="17"/>
      <c r="B55" s="78" t="s">
        <v>55</v>
      </c>
      <c r="C55" s="79"/>
      <c r="D55" s="204">
        <v>21300</v>
      </c>
      <c r="E55" s="204">
        <v>11852.64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</row>
    <row r="56" spans="1:16" x14ac:dyDescent="0.2">
      <c r="A56" s="17"/>
      <c r="B56" s="78" t="s">
        <v>56</v>
      </c>
      <c r="C56" s="39"/>
      <c r="D56" s="204">
        <v>46925.78</v>
      </c>
      <c r="E56" s="204">
        <v>29335.279999999999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</row>
    <row r="57" spans="1:16" x14ac:dyDescent="0.2">
      <c r="A57" s="17"/>
      <c r="B57" s="78" t="s">
        <v>57</v>
      </c>
      <c r="C57" s="79"/>
      <c r="D57" s="204">
        <v>4500</v>
      </c>
      <c r="E57" s="204">
        <v>4444.74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x14ac:dyDescent="0.2">
      <c r="A58" s="17"/>
      <c r="B58" s="78" t="s">
        <v>59</v>
      </c>
      <c r="C58" s="39"/>
      <c r="D58" s="204">
        <v>60526.49</v>
      </c>
      <c r="E58" s="204">
        <v>51262.67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x14ac:dyDescent="0.2">
      <c r="A59" s="17"/>
      <c r="B59" s="28" t="s">
        <v>97</v>
      </c>
      <c r="C59" s="79"/>
      <c r="D59" s="204">
        <v>6278.27</v>
      </c>
      <c r="E59" s="204">
        <v>4148.42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x14ac:dyDescent="0.2">
      <c r="A60" s="33" t="s">
        <v>60</v>
      </c>
      <c r="B60" s="210" t="s">
        <v>252</v>
      </c>
      <c r="C60" s="12" t="s">
        <v>6</v>
      </c>
      <c r="D60" s="216">
        <v>6003.67</v>
      </c>
      <c r="E60" s="204">
        <v>0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1" spans="1:16" x14ac:dyDescent="0.2">
      <c r="A61" s="31" t="s">
        <v>62</v>
      </c>
      <c r="B61" s="244" t="s">
        <v>264</v>
      </c>
      <c r="C61" s="7" t="s">
        <v>6</v>
      </c>
      <c r="D61" s="216">
        <v>78861.17</v>
      </c>
      <c r="E61" s="204">
        <v>103710.6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33.75" x14ac:dyDescent="0.2">
      <c r="A62" s="31"/>
      <c r="B62" s="54" t="s">
        <v>63</v>
      </c>
      <c r="C62" s="55"/>
      <c r="D62" s="204"/>
      <c r="E62" s="20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48" x14ac:dyDescent="0.2">
      <c r="A63" s="31" t="s">
        <v>64</v>
      </c>
      <c r="B63" s="56" t="s">
        <v>65</v>
      </c>
      <c r="C63" s="55" t="s">
        <v>6</v>
      </c>
      <c r="D63" s="216">
        <v>37630</v>
      </c>
      <c r="E63" s="204">
        <v>37632.129999999997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60" x14ac:dyDescent="0.2">
      <c r="A64" s="31" t="s">
        <v>66</v>
      </c>
      <c r="B64" s="57" t="s">
        <v>98</v>
      </c>
      <c r="C64" s="55" t="s">
        <v>6</v>
      </c>
      <c r="D64" s="216">
        <f>91663+5634.32</f>
        <v>97297.32</v>
      </c>
      <c r="E64" s="204">
        <v>103710.6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5" x14ac:dyDescent="0.25">
      <c r="A65" s="31" t="s">
        <v>68</v>
      </c>
      <c r="B65" s="58" t="s">
        <v>69</v>
      </c>
      <c r="C65" s="55" t="s">
        <v>6</v>
      </c>
      <c r="D65" s="218">
        <f>D16*6%</f>
        <v>33812.266199999998</v>
      </c>
      <c r="E65" s="204">
        <v>32298.44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x14ac:dyDescent="0.2">
      <c r="A66" s="31"/>
      <c r="B66" s="59" t="s">
        <v>70</v>
      </c>
      <c r="C66" s="55" t="s">
        <v>6</v>
      </c>
      <c r="D66" s="218">
        <f>D65+D64+D63+D61+D60+D54+D49+D38+D34+D31+D28+D24</f>
        <v>607683.8162</v>
      </c>
      <c r="E66" s="204">
        <v>592632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15.75" x14ac:dyDescent="0.25">
      <c r="A67" s="60"/>
      <c r="B67" s="61"/>
      <c r="C67" s="62"/>
      <c r="D67" s="156"/>
      <c r="E67" s="156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15.75" x14ac:dyDescent="0.25">
      <c r="A68" s="60"/>
      <c r="B68" s="243" t="s">
        <v>116</v>
      </c>
      <c r="C68" s="62"/>
      <c r="D68" s="159">
        <f>D6+D16-D66</f>
        <v>-113922.13619999995</v>
      </c>
      <c r="E68" s="156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.75" x14ac:dyDescent="0.25">
      <c r="B69" s="61"/>
      <c r="C69" s="62"/>
      <c r="D69" s="156"/>
      <c r="E69" s="156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5.75" x14ac:dyDescent="0.25">
      <c r="B70" s="61"/>
      <c r="C70" s="62"/>
      <c r="D70" s="156"/>
      <c r="E70" s="156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ht="15.75" x14ac:dyDescent="0.25">
      <c r="B71" s="61"/>
      <c r="C71" s="62"/>
      <c r="D71" s="63"/>
      <c r="E71" s="2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ht="15.75" x14ac:dyDescent="0.25">
      <c r="B72" s="61"/>
      <c r="C72" s="62"/>
      <c r="D72" s="63"/>
      <c r="E72" s="2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pans="1:16" ht="15.75" x14ac:dyDescent="0.25">
      <c r="B73" s="61"/>
      <c r="C73" s="62"/>
      <c r="D73" s="63"/>
      <c r="E73" s="2"/>
      <c r="G73" s="153"/>
      <c r="H73" s="153"/>
      <c r="I73" s="153"/>
      <c r="J73" s="153"/>
      <c r="K73" s="153"/>
      <c r="L73" s="153"/>
      <c r="M73" s="153"/>
      <c r="N73" s="153"/>
      <c r="O73" s="153"/>
      <c r="P73" s="153"/>
    </row>
    <row r="74" spans="1:16" ht="15.75" x14ac:dyDescent="0.25">
      <c r="B74" s="61"/>
      <c r="C74" s="62"/>
      <c r="D74" s="65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x14ac:dyDescent="0.2">
      <c r="B75" s="66" t="s">
        <v>72</v>
      </c>
      <c r="C75" s="66"/>
      <c r="D75" s="66" t="s">
        <v>73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1:16" x14ac:dyDescent="0.2">
      <c r="B76" s="66" t="s">
        <v>74</v>
      </c>
      <c r="C76" s="66"/>
      <c r="D76" s="189" t="s">
        <v>273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7" workbookViewId="0">
      <selection activeCell="O62" sqref="O62"/>
    </sheetView>
  </sheetViews>
  <sheetFormatPr defaultColWidth="9" defaultRowHeight="14.25" x14ac:dyDescent="0.2"/>
  <cols>
    <col min="1" max="1" width="5.5703125" style="1" customWidth="1"/>
    <col min="2" max="2" width="38.7109375" style="1" customWidth="1"/>
    <col min="3" max="3" width="8.5703125" style="1" customWidth="1"/>
    <col min="4" max="4" width="12.28515625" style="1" customWidth="1"/>
    <col min="5" max="5" width="11.5703125" style="1" customWidth="1"/>
    <col min="6" max="6" width="11.7109375" style="1" customWidth="1"/>
    <col min="7" max="7" width="11.28515625" style="1" customWidth="1"/>
    <col min="8" max="8" width="12.5703125" style="1" customWidth="1"/>
    <col min="9" max="9" width="15.5703125" style="1" customWidth="1"/>
    <col min="10" max="10" width="9.28515625" style="1" customWidth="1"/>
    <col min="11" max="11" width="9.5703125" style="1" customWidth="1"/>
    <col min="12" max="16384" width="9" style="1"/>
  </cols>
  <sheetData>
    <row r="1" spans="1:14" ht="15" x14ac:dyDescent="0.25">
      <c r="B1" s="82" t="s">
        <v>0</v>
      </c>
      <c r="C1" s="2"/>
      <c r="D1" s="3"/>
    </row>
    <row r="2" spans="1:14" ht="15" customHeight="1" x14ac:dyDescent="0.2">
      <c r="A2" s="298" t="s">
        <v>111</v>
      </c>
      <c r="B2" s="298"/>
      <c r="C2" s="298"/>
      <c r="D2" s="298"/>
      <c r="E2" s="298"/>
      <c r="F2" s="4"/>
    </row>
    <row r="3" spans="1:14" ht="15" customHeight="1" x14ac:dyDescent="0.2">
      <c r="A3" s="4"/>
      <c r="B3" s="299" t="s">
        <v>230</v>
      </c>
      <c r="C3" s="298"/>
      <c r="D3" s="298"/>
      <c r="E3" s="298"/>
    </row>
    <row r="4" spans="1:14" x14ac:dyDescent="0.2">
      <c r="A4" s="4"/>
      <c r="B4" s="293"/>
      <c r="C4" s="293"/>
      <c r="D4" s="293"/>
      <c r="E4" s="293"/>
    </row>
    <row r="5" spans="1:14" x14ac:dyDescent="0.2">
      <c r="B5" s="169" t="s">
        <v>182</v>
      </c>
      <c r="C5" s="5"/>
      <c r="D5" s="235">
        <v>253843.32</v>
      </c>
    </row>
    <row r="6" spans="1:14" x14ac:dyDescent="0.2">
      <c r="A6" s="6"/>
      <c r="B6" s="83" t="s">
        <v>116</v>
      </c>
      <c r="C6" s="83"/>
      <c r="D6" s="219">
        <v>-26875.85</v>
      </c>
      <c r="E6" s="9"/>
    </row>
    <row r="7" spans="1:14" x14ac:dyDescent="0.2">
      <c r="A7" s="6"/>
      <c r="B7" s="83"/>
      <c r="C7" s="83"/>
      <c r="D7" s="219"/>
      <c r="E7" s="9"/>
    </row>
    <row r="8" spans="1:14" x14ac:dyDescent="0.2">
      <c r="A8" s="6"/>
      <c r="B8" s="84" t="s">
        <v>2</v>
      </c>
      <c r="C8" s="83"/>
      <c r="D8" s="220">
        <v>5597.1</v>
      </c>
      <c r="E8" s="9"/>
    </row>
    <row r="9" spans="1:14" x14ac:dyDescent="0.2">
      <c r="A9" s="6"/>
      <c r="B9" s="84" t="s">
        <v>4</v>
      </c>
      <c r="C9" s="83"/>
      <c r="D9" s="220">
        <v>4255.3</v>
      </c>
      <c r="E9" s="9"/>
    </row>
    <row r="10" spans="1:14" x14ac:dyDescent="0.2">
      <c r="A10" s="6"/>
      <c r="B10" s="85" t="s">
        <v>5</v>
      </c>
      <c r="C10" s="83"/>
      <c r="D10" s="219">
        <v>699002.49</v>
      </c>
      <c r="E10" s="9"/>
    </row>
    <row r="11" spans="1:14" x14ac:dyDescent="0.2">
      <c r="A11" s="6"/>
      <c r="B11" s="83"/>
      <c r="C11" s="83"/>
      <c r="D11" s="220"/>
      <c r="E11" s="9"/>
    </row>
    <row r="12" spans="1:14" x14ac:dyDescent="0.2">
      <c r="A12" s="6"/>
      <c r="B12" s="85" t="s">
        <v>7</v>
      </c>
      <c r="C12" s="83"/>
      <c r="D12" s="220"/>
      <c r="E12" s="9"/>
    </row>
    <row r="13" spans="1:14" x14ac:dyDescent="0.2">
      <c r="A13" s="6">
        <v>1</v>
      </c>
      <c r="B13" s="86" t="s">
        <v>8</v>
      </c>
      <c r="C13" s="83"/>
      <c r="D13" s="220">
        <v>579666.65</v>
      </c>
      <c r="E13" s="9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86" t="s">
        <v>9</v>
      </c>
      <c r="C14" s="83"/>
      <c r="D14" s="220">
        <f>6000+9000</f>
        <v>15000</v>
      </c>
      <c r="E14" s="9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/>
      <c r="B15" s="86"/>
      <c r="C15" s="83"/>
      <c r="D15" s="220"/>
      <c r="E15" s="9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85" t="s">
        <v>10</v>
      </c>
      <c r="C16" s="83"/>
      <c r="D16" s="219">
        <f>D13+D14+D15</f>
        <v>594666.65</v>
      </c>
      <c r="E16" s="9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</row>
    <row r="22" spans="1:14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</row>
    <row r="23" spans="1:14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56.25" customHeight="1" x14ac:dyDescent="0.2">
      <c r="A24" s="22"/>
      <c r="B24" s="25" t="s">
        <v>20</v>
      </c>
      <c r="C24" s="7" t="s">
        <v>6</v>
      </c>
      <c r="D24" s="216">
        <f>D25+D26+D27</f>
        <v>163100.61000000002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82.5" customHeight="1" x14ac:dyDescent="0.2">
      <c r="A25" s="22"/>
      <c r="B25" s="28" t="s">
        <v>21</v>
      </c>
      <c r="C25" s="29"/>
      <c r="D25" s="204">
        <v>86971.199999999997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120.75" customHeight="1" x14ac:dyDescent="0.2">
      <c r="A26" s="30"/>
      <c r="B26" s="28" t="s">
        <v>22</v>
      </c>
      <c r="C26" s="29"/>
      <c r="D26" s="204">
        <v>68980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2.5" x14ac:dyDescent="0.2">
      <c r="A27" s="31"/>
      <c r="B27" s="40" t="s">
        <v>23</v>
      </c>
      <c r="C27" s="29"/>
      <c r="D27" s="204">
        <v>7149.41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ht="25.5" x14ac:dyDescent="0.2">
      <c r="A28" s="22"/>
      <c r="B28" s="25" t="s">
        <v>24</v>
      </c>
      <c r="C28" s="7" t="s">
        <v>6</v>
      </c>
      <c r="D28" s="216">
        <f>D29+D30</f>
        <v>6741.34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ht="15.75" customHeight="1" x14ac:dyDescent="0.2">
      <c r="A29" s="33"/>
      <c r="B29" s="70" t="s">
        <v>25</v>
      </c>
      <c r="C29" s="35"/>
      <c r="D29" s="204">
        <v>5720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ht="12.95" customHeight="1" x14ac:dyDescent="0.2">
      <c r="A30" s="22"/>
      <c r="B30" s="70" t="s">
        <v>26</v>
      </c>
      <c r="C30" s="35"/>
      <c r="D30" s="204">
        <v>1021.34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38.25" x14ac:dyDescent="0.2">
      <c r="A31" s="22" t="s">
        <v>27</v>
      </c>
      <c r="B31" s="25" t="s">
        <v>28</v>
      </c>
      <c r="C31" s="7" t="s">
        <v>6</v>
      </c>
      <c r="D31" s="216">
        <f>D32+D33</f>
        <v>30638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83.1" customHeight="1" x14ac:dyDescent="0.2">
      <c r="A32" s="37"/>
      <c r="B32" s="28" t="s">
        <v>29</v>
      </c>
      <c r="C32" s="29"/>
      <c r="D32" s="204">
        <v>30638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27" customHeight="1" x14ac:dyDescent="0.2">
      <c r="A33" s="37"/>
      <c r="B33" s="38" t="s">
        <v>30</v>
      </c>
      <c r="C33" s="39"/>
      <c r="D33" s="204">
        <v>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42" customHeight="1" x14ac:dyDescent="0.2">
      <c r="A34" s="37" t="s">
        <v>31</v>
      </c>
      <c r="B34" s="25" t="s">
        <v>32</v>
      </c>
      <c r="C34" s="7" t="s">
        <v>6</v>
      </c>
      <c r="D34" s="216">
        <f>D35+D36+D37</f>
        <v>6000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39" customHeight="1" x14ac:dyDescent="0.2">
      <c r="A35" s="33"/>
      <c r="B35" s="40" t="s">
        <v>33</v>
      </c>
      <c r="C35" s="39"/>
      <c r="D35" s="204">
        <v>3400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7.95" customHeight="1" x14ac:dyDescent="0.2">
      <c r="A36" s="33"/>
      <c r="B36" s="38" t="s">
        <v>89</v>
      </c>
      <c r="C36" s="39"/>
      <c r="D36" s="204">
        <v>2600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27.95" customHeight="1" x14ac:dyDescent="0.2">
      <c r="A37" s="33"/>
      <c r="B37" s="38" t="s">
        <v>35</v>
      </c>
      <c r="C37" s="39"/>
      <c r="D37" s="204">
        <v>0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ht="17.25" customHeight="1" x14ac:dyDescent="0.25">
      <c r="A38" s="31" t="s">
        <v>36</v>
      </c>
      <c r="B38" s="41" t="s">
        <v>37</v>
      </c>
      <c r="C38" s="7" t="s">
        <v>6</v>
      </c>
      <c r="D38" s="216">
        <f>D39+D40+D41+D43+D44+D45+D46</f>
        <v>66011.23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ht="18.75" customHeight="1" x14ac:dyDescent="0.2">
      <c r="A39" s="42"/>
      <c r="B39" s="43" t="s">
        <v>38</v>
      </c>
      <c r="C39" s="44"/>
      <c r="D39" s="204">
        <v>4666.2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ht="25.5" customHeight="1" x14ac:dyDescent="0.2">
      <c r="A40" s="42"/>
      <c r="B40" s="43" t="s">
        <v>39</v>
      </c>
      <c r="C40" s="44"/>
      <c r="D40" s="204">
        <v>8521.5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ht="17.25" customHeight="1" x14ac:dyDescent="0.2">
      <c r="A41" s="42"/>
      <c r="B41" s="45" t="s">
        <v>40</v>
      </c>
      <c r="C41" s="44"/>
      <c r="D41" s="204">
        <v>19867.77</v>
      </c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ht="36" customHeight="1" x14ac:dyDescent="0.2">
      <c r="A42" s="31"/>
      <c r="B42" s="46" t="s">
        <v>41</v>
      </c>
      <c r="C42" s="44"/>
      <c r="D42" s="204"/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ht="16.5" customHeight="1" x14ac:dyDescent="0.2">
      <c r="A43" s="42"/>
      <c r="B43" s="47" t="s">
        <v>90</v>
      </c>
      <c r="C43" s="44"/>
      <c r="D43" s="204">
        <v>0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ht="15" customHeight="1" x14ac:dyDescent="0.2">
      <c r="A44" s="42"/>
      <c r="B44" s="47" t="s">
        <v>91</v>
      </c>
      <c r="C44" s="44"/>
      <c r="D44" s="204">
        <v>620.27</v>
      </c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">
      <c r="A45" s="29"/>
      <c r="B45" s="47" t="s">
        <v>92</v>
      </c>
      <c r="C45" s="44"/>
      <c r="D45" s="204">
        <v>2156.39</v>
      </c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27" customHeight="1" x14ac:dyDescent="0.2">
      <c r="A46" s="42"/>
      <c r="B46" s="208" t="s">
        <v>265</v>
      </c>
      <c r="C46" s="44"/>
      <c r="D46" s="204">
        <v>30179.1</v>
      </c>
      <c r="E46" s="6"/>
      <c r="F46" s="154"/>
      <c r="G46" s="153"/>
      <c r="H46" s="153"/>
      <c r="I46" s="153"/>
      <c r="J46" s="153"/>
      <c r="K46" s="153"/>
      <c r="L46" s="153"/>
      <c r="M46" s="153"/>
      <c r="N46" s="153"/>
    </row>
    <row r="47" spans="1:14" ht="39" customHeight="1" x14ac:dyDescent="0.2">
      <c r="A47" s="12" t="s">
        <v>46</v>
      </c>
      <c r="B47" s="48" t="s">
        <v>47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5.5" x14ac:dyDescent="0.2">
      <c r="A49" s="31"/>
      <c r="B49" s="51" t="s">
        <v>49</v>
      </c>
      <c r="C49" s="7" t="s">
        <v>6</v>
      </c>
      <c r="D49" s="216">
        <f>D50+D51+D52</f>
        <v>129389.29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124782.15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39"/>
      <c r="D52" s="204">
        <v>4607.1400000000003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33" t="s">
        <v>60</v>
      </c>
      <c r="B53" s="210" t="s">
        <v>252</v>
      </c>
      <c r="C53" s="12" t="s">
        <v>6</v>
      </c>
      <c r="D53" s="216">
        <v>10346.02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x14ac:dyDescent="0.2">
      <c r="A54" s="31" t="s">
        <v>62</v>
      </c>
      <c r="B54" s="244" t="s">
        <v>264</v>
      </c>
      <c r="C54" s="7" t="s">
        <v>6</v>
      </c>
      <c r="D54" s="216">
        <v>0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ht="39" customHeight="1" x14ac:dyDescent="0.2">
      <c r="A55" s="31"/>
      <c r="B55" s="54" t="s">
        <v>63</v>
      </c>
      <c r="C55" s="55"/>
      <c r="D55" s="216"/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ht="51.95" customHeight="1" x14ac:dyDescent="0.2">
      <c r="A56" s="31" t="s">
        <v>64</v>
      </c>
      <c r="B56" s="56" t="s">
        <v>65</v>
      </c>
      <c r="C56" s="7" t="s">
        <v>6</v>
      </c>
      <c r="D56" s="216">
        <v>47960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ht="66.95" customHeight="1" x14ac:dyDescent="0.2">
      <c r="A57" s="31" t="s">
        <v>66</v>
      </c>
      <c r="B57" s="57" t="s">
        <v>98</v>
      </c>
      <c r="C57" s="7" t="s">
        <v>6</v>
      </c>
      <c r="D57" s="216">
        <f>172876.35+7709.52</f>
        <v>180585.87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ht="15" x14ac:dyDescent="0.25">
      <c r="A58" s="31" t="s">
        <v>68</v>
      </c>
      <c r="B58" s="58" t="s">
        <v>69</v>
      </c>
      <c r="C58" s="7" t="s">
        <v>6</v>
      </c>
      <c r="D58" s="218">
        <f>D16*6%</f>
        <v>35679.999000000003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31"/>
      <c r="B59" s="59" t="s">
        <v>70</v>
      </c>
      <c r="C59" s="7" t="s">
        <v>6</v>
      </c>
      <c r="D59" s="218">
        <f>D58+D57+D56+D54+D49+D38+D34+D31+D28+D24</f>
        <v>666106.33900000004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0"/>
      <c r="B60" s="61"/>
      <c r="C60" s="62"/>
      <c r="D60" s="156"/>
      <c r="E60" s="153"/>
      <c r="G60" s="153"/>
      <c r="H60" s="153"/>
      <c r="I60" s="153"/>
      <c r="J60" s="153"/>
      <c r="K60" s="153"/>
      <c r="L60" s="153"/>
      <c r="M60" s="153"/>
      <c r="N60" s="153"/>
    </row>
    <row r="61" spans="1:14" ht="15.75" x14ac:dyDescent="0.25">
      <c r="A61" s="60"/>
      <c r="B61" s="61" t="s">
        <v>116</v>
      </c>
      <c r="C61" s="62"/>
      <c r="D61" s="159">
        <f>D6+D16-D59</f>
        <v>-98315.53899999999</v>
      </c>
      <c r="E61" s="153"/>
      <c r="G61" s="153"/>
      <c r="H61" s="153"/>
      <c r="I61" s="153"/>
      <c r="J61" s="153"/>
      <c r="K61" s="153"/>
      <c r="L61" s="153"/>
      <c r="M61" s="153"/>
      <c r="N61" s="153"/>
    </row>
    <row r="62" spans="1:14" ht="15.75" x14ac:dyDescent="0.25">
      <c r="B62" s="61"/>
      <c r="C62" s="62"/>
      <c r="D62" s="156"/>
      <c r="E62" s="153"/>
      <c r="G62" s="153"/>
      <c r="H62" s="153"/>
      <c r="I62" s="153"/>
      <c r="J62" s="153"/>
      <c r="K62" s="153"/>
      <c r="L62" s="153"/>
      <c r="M62" s="153"/>
      <c r="N62" s="153"/>
    </row>
    <row r="63" spans="1:14" ht="15.75" x14ac:dyDescent="0.25">
      <c r="B63" s="61"/>
      <c r="C63" s="62"/>
      <c r="D63" s="156"/>
      <c r="E63" s="153"/>
      <c r="G63" s="153"/>
      <c r="H63" s="153"/>
      <c r="I63" s="153"/>
      <c r="J63" s="153"/>
      <c r="K63" s="153"/>
      <c r="L63" s="153"/>
      <c r="M63" s="153"/>
      <c r="N63" s="153"/>
    </row>
    <row r="64" spans="1:14" ht="15.75" x14ac:dyDescent="0.25">
      <c r="B64" s="61"/>
      <c r="C64" s="62"/>
      <c r="D64" s="159"/>
      <c r="E64" s="156"/>
      <c r="G64" s="153"/>
      <c r="H64" s="153"/>
      <c r="I64" s="153"/>
      <c r="J64" s="153"/>
      <c r="K64" s="153"/>
      <c r="L64" s="153"/>
      <c r="M64" s="153"/>
      <c r="N64" s="153"/>
    </row>
    <row r="65" spans="2:14" ht="15.75" x14ac:dyDescent="0.25">
      <c r="B65" s="61"/>
      <c r="C65" s="62"/>
      <c r="D65" s="65"/>
      <c r="E65" s="88"/>
      <c r="G65" s="153"/>
      <c r="H65" s="153"/>
      <c r="I65" s="153"/>
      <c r="J65" s="153"/>
      <c r="K65" s="153"/>
      <c r="L65" s="153"/>
      <c r="M65" s="153"/>
      <c r="N65" s="153"/>
    </row>
    <row r="66" spans="2:14" x14ac:dyDescent="0.2">
      <c r="B66" s="66" t="s">
        <v>72</v>
      </c>
      <c r="C66" s="66"/>
      <c r="D66" s="66" t="s">
        <v>73</v>
      </c>
      <c r="E66" s="66"/>
      <c r="G66" s="153"/>
      <c r="H66" s="153"/>
      <c r="I66" s="153"/>
      <c r="J66" s="153"/>
      <c r="K66" s="153"/>
      <c r="L66" s="153"/>
      <c r="M66" s="153"/>
      <c r="N66" s="153"/>
    </row>
    <row r="67" spans="2:14" x14ac:dyDescent="0.2">
      <c r="B67" s="66" t="s">
        <v>74</v>
      </c>
      <c r="C67" s="66"/>
      <c r="D67" s="189" t="s">
        <v>273</v>
      </c>
      <c r="E67" s="66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48" workbookViewId="0">
      <selection activeCell="G22" sqref="G22:R68"/>
    </sheetView>
  </sheetViews>
  <sheetFormatPr defaultColWidth="9" defaultRowHeight="14.25" x14ac:dyDescent="0.2"/>
  <cols>
    <col min="1" max="1" width="4.7109375" style="1" customWidth="1"/>
    <col min="2" max="2" width="42.140625" style="1" customWidth="1"/>
    <col min="3" max="3" width="9" style="1"/>
    <col min="4" max="4" width="14.85546875" style="1" customWidth="1"/>
    <col min="5" max="5" width="11.85546875" style="1" customWidth="1"/>
    <col min="6" max="6" width="9" style="1"/>
    <col min="7" max="7" width="10.85546875" style="1" customWidth="1"/>
    <col min="8" max="8" width="10.42578125" style="1" customWidth="1"/>
    <col min="9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111</v>
      </c>
      <c r="B2" s="298"/>
      <c r="C2" s="298"/>
      <c r="D2" s="298"/>
      <c r="E2" s="298"/>
      <c r="F2" s="4"/>
    </row>
    <row r="3" spans="1:14" ht="15" customHeight="1" x14ac:dyDescent="0.2">
      <c r="A3" s="4"/>
      <c r="B3" s="299" t="s">
        <v>231</v>
      </c>
      <c r="C3" s="298"/>
      <c r="D3" s="298"/>
      <c r="E3" s="298"/>
    </row>
    <row r="4" spans="1:14" x14ac:dyDescent="0.2">
      <c r="A4" s="4"/>
      <c r="B4" s="293"/>
      <c r="C4" s="293"/>
      <c r="D4" s="293"/>
      <c r="E4" s="293"/>
    </row>
    <row r="5" spans="1:14" x14ac:dyDescent="0.2">
      <c r="B5" s="169" t="s">
        <v>182</v>
      </c>
      <c r="C5" s="5"/>
      <c r="D5" s="5">
        <v>615019.17000000004</v>
      </c>
    </row>
    <row r="6" spans="1:14" x14ac:dyDescent="0.2">
      <c r="A6" s="6"/>
      <c r="B6" s="7" t="s">
        <v>123</v>
      </c>
      <c r="C6" s="8" t="s">
        <v>6</v>
      </c>
      <c r="D6" s="9">
        <v>170918.71</v>
      </c>
      <c r="E6" s="6"/>
    </row>
    <row r="7" spans="1:14" x14ac:dyDescent="0.2">
      <c r="A7" s="6"/>
      <c r="B7" s="7"/>
      <c r="C7" s="8" t="s">
        <v>6</v>
      </c>
      <c r="D7" s="9"/>
      <c r="E7" s="6"/>
    </row>
    <row r="8" spans="1:14" x14ac:dyDescent="0.2">
      <c r="A8" s="6"/>
      <c r="B8" s="10" t="s">
        <v>2</v>
      </c>
      <c r="C8" s="8" t="s">
        <v>3</v>
      </c>
      <c r="D8" s="11">
        <v>4619.5</v>
      </c>
      <c r="E8" s="6"/>
    </row>
    <row r="9" spans="1:14" x14ac:dyDescent="0.2">
      <c r="A9" s="6"/>
      <c r="B9" s="10" t="s">
        <v>4</v>
      </c>
      <c r="C9" s="8" t="s">
        <v>3</v>
      </c>
      <c r="D9" s="11">
        <v>3617</v>
      </c>
      <c r="E9" s="6"/>
    </row>
    <row r="10" spans="1:14" x14ac:dyDescent="0.2">
      <c r="A10" s="6"/>
      <c r="B10" s="12" t="s">
        <v>5</v>
      </c>
      <c r="C10" s="7" t="s">
        <v>6</v>
      </c>
      <c r="D10" s="9">
        <v>733342.07</v>
      </c>
      <c r="E10" s="6"/>
    </row>
    <row r="11" spans="1:14" x14ac:dyDescent="0.2">
      <c r="A11" s="6"/>
      <c r="B11" s="7"/>
      <c r="C11" s="7"/>
      <c r="D11" s="11"/>
      <c r="E11" s="6"/>
    </row>
    <row r="12" spans="1:14" ht="17.100000000000001" customHeight="1" x14ac:dyDescent="0.2">
      <c r="A12" s="6"/>
      <c r="B12" s="12" t="s">
        <v>7</v>
      </c>
      <c r="C12" s="7"/>
      <c r="D12" s="11"/>
      <c r="E12" s="6"/>
    </row>
    <row r="13" spans="1:14" x14ac:dyDescent="0.2">
      <c r="A13" s="6">
        <v>1</v>
      </c>
      <c r="B13" s="8" t="s">
        <v>84</v>
      </c>
      <c r="C13" s="8" t="s">
        <v>6</v>
      </c>
      <c r="D13" s="11">
        <v>579351.27</v>
      </c>
      <c r="E13" s="6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167" t="s">
        <v>106</v>
      </c>
      <c r="C14" s="8" t="s">
        <v>6</v>
      </c>
      <c r="D14" s="11">
        <v>7044.88</v>
      </c>
      <c r="E14" s="6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>
        <v>3</v>
      </c>
      <c r="B15" s="8" t="s">
        <v>9</v>
      </c>
      <c r="C15" s="8" t="s">
        <v>6</v>
      </c>
      <c r="D15" s="11">
        <f>6000+5280+9000</f>
        <v>20280</v>
      </c>
      <c r="E15" s="6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12" t="s">
        <v>10</v>
      </c>
      <c r="C16" s="7" t="s">
        <v>6</v>
      </c>
      <c r="D16" s="9">
        <f>D13+D14+D15</f>
        <v>606676.15</v>
      </c>
      <c r="E16" s="6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B19" s="5"/>
      <c r="C19" s="5" t="s">
        <v>11</v>
      </c>
      <c r="G19" s="153"/>
      <c r="H19" s="153"/>
      <c r="I19" s="153"/>
      <c r="J19" s="153"/>
      <c r="K19" s="153"/>
      <c r="L19" s="153"/>
      <c r="M19" s="153"/>
      <c r="N19" s="153"/>
    </row>
    <row r="20" spans="1:14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</row>
    <row r="21" spans="1:14" ht="15.75" customHeight="1" x14ac:dyDescent="0.25">
      <c r="A21" s="15" t="s">
        <v>12</v>
      </c>
      <c r="B21" s="16"/>
      <c r="C21" s="17" t="s">
        <v>85</v>
      </c>
      <c r="D21" s="18" t="s">
        <v>13</v>
      </c>
      <c r="E21" s="19"/>
      <c r="G21" s="153"/>
      <c r="H21" s="153"/>
      <c r="I21" s="153"/>
      <c r="J21" s="153"/>
      <c r="K21" s="153"/>
      <c r="L21" s="153"/>
      <c r="M21" s="153"/>
      <c r="N21" s="153"/>
    </row>
    <row r="22" spans="1:14" ht="15" customHeight="1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21"/>
      <c r="G22" s="153"/>
      <c r="H22" s="153"/>
      <c r="I22" s="153"/>
      <c r="J22" s="153"/>
      <c r="K22" s="153"/>
      <c r="L22" s="153"/>
      <c r="M22" s="153"/>
      <c r="N22" s="153"/>
    </row>
    <row r="23" spans="1:14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41.1" customHeight="1" x14ac:dyDescent="0.2">
      <c r="A24" s="22"/>
      <c r="B24" s="25" t="s">
        <v>20</v>
      </c>
      <c r="C24" s="26" t="s">
        <v>6</v>
      </c>
      <c r="D24" s="216">
        <f>D25+D26+D27</f>
        <v>111260.65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78.75" x14ac:dyDescent="0.2">
      <c r="A25" s="22"/>
      <c r="B25" s="28" t="s">
        <v>21</v>
      </c>
      <c r="C25" s="29"/>
      <c r="D25" s="204">
        <v>54259.65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112.5" x14ac:dyDescent="0.2">
      <c r="A26" s="30"/>
      <c r="B26" s="28" t="s">
        <v>22</v>
      </c>
      <c r="C26" s="29"/>
      <c r="D26" s="204">
        <v>50056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2.5" x14ac:dyDescent="0.2">
      <c r="A27" s="31"/>
      <c r="B27" s="40" t="s">
        <v>23</v>
      </c>
      <c r="C27" s="29"/>
      <c r="D27" s="204">
        <v>6945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ht="15.95" customHeight="1" x14ac:dyDescent="0.2">
      <c r="A28" s="22"/>
      <c r="B28" s="25" t="s">
        <v>24</v>
      </c>
      <c r="C28" s="26" t="s">
        <v>6</v>
      </c>
      <c r="D28" s="216">
        <f>D29+D30</f>
        <v>5936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33"/>
      <c r="B29" s="70" t="s">
        <v>25</v>
      </c>
      <c r="C29" s="35"/>
      <c r="D29" s="204">
        <v>4200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ht="12.95" customHeight="1" x14ac:dyDescent="0.2">
      <c r="A30" s="22"/>
      <c r="B30" s="70" t="s">
        <v>26</v>
      </c>
      <c r="C30" s="35"/>
      <c r="D30" s="204">
        <v>1736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38.25" x14ac:dyDescent="0.2">
      <c r="A31" s="22" t="s">
        <v>27</v>
      </c>
      <c r="B31" s="25" t="s">
        <v>28</v>
      </c>
      <c r="C31" s="36" t="s">
        <v>6</v>
      </c>
      <c r="D31" s="216">
        <f>D32+D33</f>
        <v>30424</v>
      </c>
      <c r="E31" s="6"/>
      <c r="F31" s="80"/>
      <c r="G31" s="153"/>
      <c r="H31" s="153"/>
      <c r="I31" s="153"/>
      <c r="J31" s="153"/>
      <c r="K31" s="153"/>
      <c r="L31" s="153"/>
      <c r="M31" s="153"/>
      <c r="N31" s="153"/>
    </row>
    <row r="32" spans="1:14" ht="69" customHeight="1" x14ac:dyDescent="0.2">
      <c r="A32" s="37"/>
      <c r="B32" s="28" t="s">
        <v>29</v>
      </c>
      <c r="C32" s="29"/>
      <c r="D32" s="204">
        <v>30424</v>
      </c>
      <c r="E32" s="6"/>
      <c r="F32" s="80"/>
      <c r="G32" s="153"/>
      <c r="H32" s="153"/>
      <c r="I32" s="153"/>
      <c r="J32" s="153"/>
      <c r="K32" s="153"/>
      <c r="L32" s="153"/>
      <c r="M32" s="153"/>
      <c r="N32" s="153"/>
    </row>
    <row r="33" spans="1:14" ht="23.1" customHeight="1" x14ac:dyDescent="0.2">
      <c r="A33" s="37"/>
      <c r="B33" s="38" t="s">
        <v>30</v>
      </c>
      <c r="C33" s="39"/>
      <c r="D33" s="204">
        <v>0</v>
      </c>
      <c r="E33" s="6"/>
      <c r="F33" s="80"/>
      <c r="G33" s="153"/>
      <c r="H33" s="153"/>
      <c r="I33" s="153"/>
      <c r="J33" s="153"/>
      <c r="K33" s="153"/>
      <c r="L33" s="153"/>
      <c r="M33" s="153"/>
      <c r="N33" s="153"/>
    </row>
    <row r="34" spans="1:14" ht="38.1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5500</v>
      </c>
      <c r="E34" s="6"/>
      <c r="F34" s="81"/>
      <c r="G34" s="153"/>
      <c r="H34" s="153"/>
      <c r="I34" s="153"/>
      <c r="J34" s="153"/>
      <c r="K34" s="153"/>
      <c r="L34" s="153"/>
      <c r="M34" s="153"/>
      <c r="N34" s="153"/>
    </row>
    <row r="35" spans="1:14" ht="33" customHeight="1" x14ac:dyDescent="0.2">
      <c r="A35" s="33"/>
      <c r="B35" s="40" t="s">
        <v>33</v>
      </c>
      <c r="C35" s="39"/>
      <c r="D35" s="204">
        <v>2100</v>
      </c>
      <c r="E35" s="6"/>
      <c r="F35" s="81"/>
      <c r="G35" s="153"/>
      <c r="H35" s="153"/>
      <c r="I35" s="153"/>
      <c r="J35" s="153"/>
      <c r="K35" s="153"/>
      <c r="L35" s="153"/>
      <c r="M35" s="153"/>
      <c r="N35" s="153"/>
    </row>
    <row r="36" spans="1:14" ht="23.1" customHeight="1" x14ac:dyDescent="0.25">
      <c r="A36" s="33"/>
      <c r="B36" s="38" t="s">
        <v>89</v>
      </c>
      <c r="C36" s="39"/>
      <c r="D36" s="204">
        <v>3400</v>
      </c>
      <c r="E36" s="6"/>
      <c r="F36" s="64"/>
      <c r="G36" s="153"/>
      <c r="H36" s="153"/>
      <c r="I36" s="153"/>
      <c r="J36" s="153"/>
      <c r="K36" s="153"/>
      <c r="L36" s="153"/>
      <c r="M36" s="153"/>
      <c r="N36" s="153"/>
    </row>
    <row r="37" spans="1:14" ht="24" customHeight="1" x14ac:dyDescent="0.2">
      <c r="A37" s="33"/>
      <c r="B37" s="38" t="s">
        <v>35</v>
      </c>
      <c r="C37" s="39"/>
      <c r="D37" s="204">
        <v>0</v>
      </c>
      <c r="E37" s="6"/>
      <c r="F37" s="80"/>
      <c r="G37" s="153"/>
      <c r="H37" s="153"/>
      <c r="I37" s="153"/>
      <c r="J37" s="153"/>
      <c r="K37" s="153"/>
      <c r="L37" s="153"/>
      <c r="M37" s="153"/>
      <c r="N37" s="153"/>
    </row>
    <row r="38" spans="1:14" ht="17.25" customHeight="1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51582.150000000009</v>
      </c>
      <c r="E38" s="6"/>
      <c r="F38" s="80"/>
      <c r="G38" s="153"/>
      <c r="H38" s="153"/>
      <c r="I38" s="153"/>
      <c r="J38" s="153"/>
      <c r="K38" s="153"/>
      <c r="L38" s="153"/>
      <c r="M38" s="153"/>
      <c r="N38" s="153"/>
    </row>
    <row r="39" spans="1:14" ht="14.1" customHeight="1" x14ac:dyDescent="0.2">
      <c r="A39" s="42"/>
      <c r="B39" s="43" t="s">
        <v>38</v>
      </c>
      <c r="C39" s="44"/>
      <c r="D39" s="204">
        <v>3371.4</v>
      </c>
      <c r="E39" s="6"/>
      <c r="F39" s="80"/>
      <c r="G39" s="153"/>
      <c r="H39" s="153"/>
      <c r="I39" s="153"/>
      <c r="J39" s="153"/>
      <c r="K39" s="153"/>
      <c r="L39" s="153"/>
      <c r="M39" s="153"/>
      <c r="N39" s="153"/>
    </row>
    <row r="40" spans="1:14" ht="12" customHeight="1" x14ac:dyDescent="0.25">
      <c r="A40" s="42"/>
      <c r="B40" s="43" t="s">
        <v>39</v>
      </c>
      <c r="C40" s="44"/>
      <c r="D40" s="204">
        <v>7013.25</v>
      </c>
      <c r="E40" s="6"/>
      <c r="F40" s="64"/>
      <c r="G40" s="153"/>
      <c r="H40" s="153"/>
      <c r="I40" s="153"/>
      <c r="J40" s="153"/>
      <c r="K40" s="153"/>
      <c r="L40" s="153"/>
      <c r="M40" s="153"/>
      <c r="N40" s="153"/>
    </row>
    <row r="41" spans="1:14" ht="14.1" customHeight="1" x14ac:dyDescent="0.25">
      <c r="A41" s="42"/>
      <c r="B41" s="45" t="s">
        <v>40</v>
      </c>
      <c r="C41" s="44"/>
      <c r="D41" s="204">
        <v>16887.580000000002</v>
      </c>
      <c r="E41" s="6"/>
      <c r="F41" s="63"/>
      <c r="G41" s="153"/>
      <c r="H41" s="153"/>
      <c r="I41" s="153"/>
      <c r="J41" s="153"/>
      <c r="K41" s="153"/>
      <c r="L41" s="153"/>
      <c r="M41" s="153"/>
      <c r="N41" s="153"/>
    </row>
    <row r="42" spans="1:14" ht="33.950000000000003" customHeight="1" x14ac:dyDescent="0.2">
      <c r="A42" s="31"/>
      <c r="B42" s="46" t="s">
        <v>41</v>
      </c>
      <c r="C42" s="44"/>
      <c r="D42" s="204"/>
      <c r="E42" s="6"/>
      <c r="F42" s="81"/>
      <c r="G42" s="153"/>
      <c r="H42" s="153"/>
      <c r="I42" s="153"/>
      <c r="J42" s="153"/>
      <c r="K42" s="153"/>
      <c r="L42" s="153"/>
      <c r="M42" s="153"/>
      <c r="N42" s="153"/>
    </row>
    <row r="43" spans="1:14" ht="14.1" customHeight="1" x14ac:dyDescent="0.25">
      <c r="A43" s="42"/>
      <c r="B43" s="47" t="s">
        <v>90</v>
      </c>
      <c r="C43" s="44"/>
      <c r="D43" s="204">
        <v>0</v>
      </c>
      <c r="E43" s="6"/>
      <c r="F43" s="63"/>
      <c r="G43" s="153"/>
      <c r="H43" s="153"/>
      <c r="I43" s="153"/>
      <c r="J43" s="153"/>
      <c r="K43" s="153"/>
      <c r="L43" s="153"/>
      <c r="M43" s="153"/>
      <c r="N43" s="153"/>
    </row>
    <row r="44" spans="1:14" ht="12" customHeight="1" x14ac:dyDescent="0.25">
      <c r="A44" s="42"/>
      <c r="B44" s="47" t="s">
        <v>91</v>
      </c>
      <c r="C44" s="44"/>
      <c r="D44" s="204">
        <v>592.79</v>
      </c>
      <c r="E44" s="6"/>
      <c r="F44" s="63"/>
      <c r="G44" s="153"/>
      <c r="H44" s="153"/>
      <c r="I44" s="153"/>
      <c r="J44" s="153"/>
      <c r="K44" s="153"/>
      <c r="L44" s="153"/>
      <c r="M44" s="153"/>
      <c r="N44" s="153"/>
    </row>
    <row r="45" spans="1:14" ht="12" customHeight="1" x14ac:dyDescent="0.25">
      <c r="A45" s="29"/>
      <c r="B45" s="47" t="s">
        <v>92</v>
      </c>
      <c r="C45" s="44"/>
      <c r="D45" s="204">
        <v>1832.93</v>
      </c>
      <c r="E45" s="6"/>
      <c r="F45" s="63"/>
      <c r="G45" s="153"/>
      <c r="H45" s="153"/>
      <c r="I45" s="153"/>
      <c r="J45" s="153"/>
      <c r="K45" s="153"/>
      <c r="L45" s="153"/>
      <c r="M45" s="153"/>
      <c r="N45" s="153"/>
    </row>
    <row r="46" spans="1:14" ht="12.95" customHeight="1" x14ac:dyDescent="0.2">
      <c r="A46" s="42"/>
      <c r="B46" s="47" t="s">
        <v>45</v>
      </c>
      <c r="C46" s="44"/>
      <c r="D46" s="204">
        <v>21884.2</v>
      </c>
      <c r="E46" s="6"/>
      <c r="F46" s="200"/>
      <c r="G46" s="153"/>
      <c r="H46" s="153"/>
      <c r="I46" s="153"/>
      <c r="J46" s="153"/>
      <c r="K46" s="153"/>
      <c r="L46" s="153"/>
      <c r="M46" s="153"/>
      <c r="N46" s="153"/>
    </row>
    <row r="47" spans="1:14" ht="39" customHeight="1" x14ac:dyDescent="0.2">
      <c r="A47" s="12" t="s">
        <v>46</v>
      </c>
      <c r="B47" s="48" t="s">
        <v>47</v>
      </c>
      <c r="C47" s="49"/>
      <c r="D47" s="204"/>
      <c r="E47" s="6"/>
      <c r="F47" s="154"/>
      <c r="G47" s="153"/>
      <c r="H47" s="153"/>
      <c r="I47" s="153"/>
      <c r="J47" s="153"/>
      <c r="K47" s="153"/>
      <c r="L47" s="153"/>
      <c r="M47" s="153"/>
      <c r="N47" s="153"/>
    </row>
    <row r="48" spans="1:14" x14ac:dyDescent="0.2">
      <c r="A48" s="49"/>
      <c r="B48" s="50" t="s">
        <v>48</v>
      </c>
      <c r="C48" s="49"/>
      <c r="D48" s="204"/>
      <c r="E48" s="6"/>
      <c r="F48" s="154"/>
      <c r="G48" s="153"/>
      <c r="H48" s="153"/>
      <c r="I48" s="153"/>
      <c r="J48" s="153"/>
      <c r="K48" s="153"/>
      <c r="L48" s="153"/>
      <c r="M48" s="153"/>
      <c r="N48" s="153"/>
    </row>
    <row r="49" spans="1:14" ht="25.5" x14ac:dyDescent="0.2">
      <c r="A49" s="31"/>
      <c r="B49" s="51" t="s">
        <v>49</v>
      </c>
      <c r="C49" s="20" t="s">
        <v>6</v>
      </c>
      <c r="D49" s="216">
        <f>D50+D51+D52</f>
        <v>88793.32</v>
      </c>
      <c r="E49" s="6"/>
      <c r="F49" s="154"/>
      <c r="G49" s="153"/>
      <c r="H49" s="153"/>
      <c r="I49" s="153"/>
      <c r="J49" s="153"/>
      <c r="K49" s="153"/>
      <c r="L49" s="153"/>
      <c r="M49" s="153"/>
      <c r="N49" s="153"/>
    </row>
    <row r="50" spans="1:14" ht="22.5" x14ac:dyDescent="0.2">
      <c r="A50" s="33"/>
      <c r="B50" s="28" t="s">
        <v>50</v>
      </c>
      <c r="C50" s="39"/>
      <c r="D50" s="204">
        <v>88793.32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x14ac:dyDescent="0.2">
      <c r="A51" s="31"/>
      <c r="B51" s="52" t="s">
        <v>51</v>
      </c>
      <c r="C51" s="39"/>
      <c r="D51" s="204">
        <v>0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22.5" x14ac:dyDescent="0.2">
      <c r="A52" s="31"/>
      <c r="B52" s="52" t="s">
        <v>52</v>
      </c>
      <c r="C52" s="39"/>
      <c r="D52" s="204">
        <v>0</v>
      </c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x14ac:dyDescent="0.2">
      <c r="A53" s="33" t="s">
        <v>60</v>
      </c>
      <c r="B53" s="210" t="s">
        <v>252</v>
      </c>
      <c r="C53" s="12" t="s">
        <v>6</v>
      </c>
      <c r="D53" s="216">
        <v>8794.11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ht="15.95" customHeight="1" x14ac:dyDescent="0.2">
      <c r="A54" s="31" t="s">
        <v>62</v>
      </c>
      <c r="B54" s="244" t="s">
        <v>264</v>
      </c>
      <c r="C54" s="7" t="s">
        <v>6</v>
      </c>
      <c r="D54" s="216">
        <v>35068.68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ht="33.75" x14ac:dyDescent="0.2">
      <c r="A55" s="31"/>
      <c r="B55" s="54" t="s">
        <v>63</v>
      </c>
      <c r="C55" s="55"/>
      <c r="D55" s="216"/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ht="48" x14ac:dyDescent="0.2">
      <c r="A56" s="31" t="s">
        <v>64</v>
      </c>
      <c r="B56" s="56" t="s">
        <v>65</v>
      </c>
      <c r="C56" s="55" t="s">
        <v>6</v>
      </c>
      <c r="D56" s="216">
        <v>54600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ht="59.1" customHeight="1" x14ac:dyDescent="0.2">
      <c r="A57" s="31" t="s">
        <v>66</v>
      </c>
      <c r="B57" s="57" t="s">
        <v>98</v>
      </c>
      <c r="C57" s="55" t="s">
        <v>6</v>
      </c>
      <c r="D57" s="216">
        <v>150000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ht="15" x14ac:dyDescent="0.25">
      <c r="A58" s="31" t="s">
        <v>68</v>
      </c>
      <c r="B58" s="58" t="s">
        <v>69</v>
      </c>
      <c r="C58" s="55" t="s">
        <v>6</v>
      </c>
      <c r="D58" s="218">
        <f>D16*6%</f>
        <v>36400.569000000003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31"/>
      <c r="B59" s="59" t="s">
        <v>70</v>
      </c>
      <c r="C59" s="55" t="s">
        <v>6</v>
      </c>
      <c r="D59" s="218">
        <f>D58+D57+D56+D54+D49+D38+D34+D31+D28+D24+D53</f>
        <v>578359.47900000005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ht="15.75" x14ac:dyDescent="0.25">
      <c r="A60" s="60"/>
      <c r="B60" s="61"/>
      <c r="C60" s="62"/>
      <c r="D60" s="159"/>
      <c r="E60" s="159"/>
      <c r="G60" s="153"/>
      <c r="H60" s="153"/>
      <c r="I60" s="153"/>
      <c r="J60" s="153"/>
      <c r="K60" s="153"/>
      <c r="L60" s="153"/>
      <c r="M60" s="153"/>
      <c r="N60" s="153"/>
    </row>
    <row r="61" spans="1:14" ht="15.75" x14ac:dyDescent="0.25">
      <c r="A61" s="60"/>
      <c r="B61" s="61" t="s">
        <v>99</v>
      </c>
      <c r="C61" s="62"/>
      <c r="D61" s="159">
        <f>D6+D16-D59</f>
        <v>199235.38099999994</v>
      </c>
      <c r="E61" s="159"/>
      <c r="G61" s="153"/>
      <c r="H61" s="153"/>
      <c r="I61" s="153"/>
      <c r="J61" s="153"/>
      <c r="K61" s="153"/>
      <c r="L61" s="153"/>
      <c r="M61" s="153"/>
      <c r="N61" s="153"/>
    </row>
    <row r="62" spans="1:14" ht="15.75" x14ac:dyDescent="0.25">
      <c r="B62" s="61"/>
      <c r="C62" s="62"/>
      <c r="D62" s="156"/>
      <c r="E62" s="159"/>
      <c r="G62" s="153"/>
      <c r="H62" s="153"/>
      <c r="I62" s="153"/>
      <c r="J62" s="153"/>
      <c r="K62" s="153"/>
      <c r="L62" s="153"/>
      <c r="M62" s="153"/>
      <c r="N62" s="153"/>
    </row>
    <row r="63" spans="1:14" ht="15.75" x14ac:dyDescent="0.25">
      <c r="B63" s="61"/>
      <c r="C63" s="62"/>
      <c r="D63" s="156"/>
      <c r="E63" s="159"/>
      <c r="F63" s="64"/>
      <c r="G63" s="153"/>
      <c r="H63" s="153"/>
      <c r="I63" s="153"/>
      <c r="J63" s="153"/>
      <c r="K63" s="153"/>
      <c r="L63" s="153"/>
      <c r="M63" s="153"/>
      <c r="N63" s="153"/>
    </row>
    <row r="64" spans="1:14" ht="15.75" x14ac:dyDescent="0.25">
      <c r="B64" s="61"/>
      <c r="C64" s="62"/>
      <c r="D64" s="64"/>
      <c r="E64" s="63"/>
      <c r="F64" s="63"/>
      <c r="G64" s="153"/>
      <c r="H64" s="153"/>
      <c r="I64" s="153"/>
      <c r="J64" s="153"/>
      <c r="K64" s="153"/>
      <c r="L64" s="153"/>
      <c r="M64" s="153"/>
      <c r="N64" s="153"/>
    </row>
    <row r="65" spans="2:14" ht="15.75" x14ac:dyDescent="0.25">
      <c r="B65" s="61"/>
      <c r="C65" s="62"/>
      <c r="D65" s="65"/>
      <c r="E65" s="63"/>
      <c r="G65" s="153"/>
      <c r="H65" s="153"/>
      <c r="I65" s="153"/>
      <c r="J65" s="153"/>
      <c r="K65" s="153"/>
      <c r="L65" s="153"/>
      <c r="M65" s="153"/>
      <c r="N65" s="153"/>
    </row>
    <row r="66" spans="2:14" ht="15" x14ac:dyDescent="0.25">
      <c r="B66" s="66" t="s">
        <v>72</v>
      </c>
      <c r="C66" s="66"/>
      <c r="D66" s="66" t="s">
        <v>73</v>
      </c>
      <c r="E66" s="63"/>
      <c r="G66" s="153"/>
      <c r="H66" s="153"/>
      <c r="I66" s="153"/>
      <c r="J66" s="153"/>
      <c r="K66" s="153"/>
      <c r="L66" s="153"/>
      <c r="M66" s="153"/>
      <c r="N66" s="153"/>
    </row>
    <row r="67" spans="2:14" ht="15" x14ac:dyDescent="0.25">
      <c r="B67" s="66" t="s">
        <v>74</v>
      </c>
      <c r="C67" s="66"/>
      <c r="D67" s="189" t="s">
        <v>273</v>
      </c>
      <c r="E67" s="63"/>
      <c r="G67" s="153"/>
      <c r="H67" s="153"/>
      <c r="I67" s="153"/>
      <c r="J67" s="153"/>
      <c r="K67" s="153"/>
      <c r="L67" s="153"/>
      <c r="M67" s="153"/>
      <c r="N67" s="153"/>
    </row>
    <row r="68" spans="2:14" ht="15.75" x14ac:dyDescent="0.25">
      <c r="B68" s="61"/>
      <c r="C68" s="62"/>
      <c r="D68" s="65"/>
      <c r="E68" s="63"/>
      <c r="G68" s="153"/>
      <c r="H68" s="153"/>
      <c r="I68" s="153"/>
      <c r="J68" s="153"/>
      <c r="K68" s="153"/>
      <c r="L68" s="153"/>
      <c r="M68" s="153"/>
      <c r="N68" s="153"/>
    </row>
    <row r="69" spans="2:14" ht="15.75" x14ac:dyDescent="0.25">
      <c r="B69" s="61"/>
      <c r="C69" s="62"/>
      <c r="D69" s="65"/>
      <c r="E69" s="6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50" workbookViewId="0">
      <selection activeCell="G21" sqref="G21:R72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7.85546875" style="1" customWidth="1"/>
    <col min="4" max="4" width="12.28515625" style="1" customWidth="1"/>
    <col min="5" max="5" width="11.85546875" style="1" customWidth="1"/>
    <col min="6" max="6" width="9.7109375" style="1" customWidth="1"/>
    <col min="7" max="7" width="12.140625" style="1" customWidth="1"/>
    <col min="8" max="8" width="13.42578125" style="1" customWidth="1"/>
    <col min="9" max="9" width="11.5703125" style="1" customWidth="1"/>
    <col min="10" max="16384" width="9" style="1"/>
  </cols>
  <sheetData>
    <row r="1" spans="1:14" ht="15" x14ac:dyDescent="0.25">
      <c r="C1" s="2" t="s">
        <v>0</v>
      </c>
      <c r="D1" s="3"/>
    </row>
    <row r="2" spans="1:14" ht="15" customHeight="1" x14ac:dyDescent="0.2">
      <c r="A2" s="298" t="s">
        <v>170</v>
      </c>
      <c r="B2" s="298"/>
      <c r="C2" s="298"/>
      <c r="D2" s="298"/>
      <c r="E2" s="298"/>
      <c r="F2" s="298"/>
    </row>
    <row r="3" spans="1:14" ht="15" customHeight="1" x14ac:dyDescent="0.2">
      <c r="A3" s="4"/>
      <c r="B3" s="299" t="s">
        <v>232</v>
      </c>
      <c r="C3" s="298"/>
      <c r="D3" s="298"/>
      <c r="E3" s="298"/>
    </row>
    <row r="4" spans="1:14" x14ac:dyDescent="0.2">
      <c r="A4" s="4"/>
      <c r="B4" s="293"/>
      <c r="C4" s="293"/>
      <c r="D4" s="293"/>
      <c r="E4" s="293"/>
    </row>
    <row r="5" spans="1:14" x14ac:dyDescent="0.2">
      <c r="B5" s="163" t="s">
        <v>182</v>
      </c>
      <c r="C5" s="163"/>
      <c r="D5" s="163">
        <v>386759.57</v>
      </c>
      <c r="E5" s="168"/>
    </row>
    <row r="6" spans="1:14" x14ac:dyDescent="0.2">
      <c r="A6" s="6"/>
      <c r="B6" s="164" t="s">
        <v>123</v>
      </c>
      <c r="C6" s="166" t="s">
        <v>6</v>
      </c>
      <c r="D6" s="170">
        <v>-2148.42</v>
      </c>
      <c r="E6" s="161"/>
      <c r="F6" s="154"/>
    </row>
    <row r="7" spans="1:14" x14ac:dyDescent="0.2">
      <c r="A7" s="6"/>
      <c r="B7" s="164"/>
      <c r="C7" s="166"/>
      <c r="D7" s="170"/>
      <c r="E7" s="161"/>
    </row>
    <row r="8" spans="1:14" x14ac:dyDescent="0.2">
      <c r="A8" s="6"/>
      <c r="B8" s="165" t="s">
        <v>2</v>
      </c>
      <c r="C8" s="166" t="s">
        <v>3</v>
      </c>
      <c r="D8" s="171">
        <v>7177</v>
      </c>
      <c r="E8" s="161"/>
    </row>
    <row r="9" spans="1:14" x14ac:dyDescent="0.2">
      <c r="A9" s="6"/>
      <c r="B9" s="165" t="s">
        <v>4</v>
      </c>
      <c r="C9" s="166" t="s">
        <v>3</v>
      </c>
      <c r="D9" s="171">
        <v>4963.38</v>
      </c>
      <c r="E9" s="161"/>
    </row>
    <row r="10" spans="1:14" x14ac:dyDescent="0.2">
      <c r="A10" s="6"/>
      <c r="B10" s="166" t="s">
        <v>5</v>
      </c>
      <c r="C10" s="166" t="s">
        <v>6</v>
      </c>
      <c r="D10" s="170">
        <v>1117946.22</v>
      </c>
      <c r="E10" s="161"/>
    </row>
    <row r="11" spans="1:14" x14ac:dyDescent="0.2">
      <c r="A11" s="6"/>
      <c r="B11" s="164"/>
      <c r="C11" s="164"/>
      <c r="D11" s="171"/>
      <c r="E11" s="161"/>
    </row>
    <row r="12" spans="1:14" x14ac:dyDescent="0.2">
      <c r="A12" s="6"/>
      <c r="B12" s="166" t="s">
        <v>7</v>
      </c>
      <c r="C12" s="164"/>
      <c r="D12" s="171"/>
      <c r="E12" s="161"/>
    </row>
    <row r="13" spans="1:14" x14ac:dyDescent="0.2">
      <c r="A13" s="6">
        <v>1</v>
      </c>
      <c r="B13" s="167" t="s">
        <v>84</v>
      </c>
      <c r="C13" s="167" t="s">
        <v>6</v>
      </c>
      <c r="D13" s="171">
        <v>992354.26</v>
      </c>
      <c r="E13" s="161"/>
      <c r="G13" s="153"/>
      <c r="H13" s="153"/>
      <c r="I13" s="153"/>
      <c r="J13" s="153"/>
      <c r="K13" s="153"/>
      <c r="L13" s="153"/>
      <c r="M13" s="153"/>
      <c r="N13" s="153"/>
    </row>
    <row r="14" spans="1:14" x14ac:dyDescent="0.2">
      <c r="A14" s="6">
        <v>2</v>
      </c>
      <c r="B14" s="167" t="s">
        <v>9</v>
      </c>
      <c r="C14" s="167" t="s">
        <v>6</v>
      </c>
      <c r="D14" s="171">
        <f>4200</f>
        <v>4200</v>
      </c>
      <c r="E14" s="161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">
      <c r="A15" s="6"/>
      <c r="B15" s="166" t="s">
        <v>10</v>
      </c>
      <c r="C15" s="164" t="s">
        <v>6</v>
      </c>
      <c r="D15" s="164">
        <f>SUM(D13:D14)</f>
        <v>996554.26</v>
      </c>
      <c r="E15" s="161"/>
      <c r="G15" s="153"/>
      <c r="H15" s="153"/>
      <c r="I15" s="153"/>
      <c r="J15" s="153"/>
      <c r="K15" s="153"/>
      <c r="L15" s="153"/>
      <c r="M15" s="153"/>
      <c r="N15" s="153"/>
    </row>
    <row r="16" spans="1:14" x14ac:dyDescent="0.2">
      <c r="A16" s="6"/>
      <c r="B16" s="164"/>
      <c r="C16" s="164"/>
      <c r="D16" s="164"/>
      <c r="E16" s="160"/>
      <c r="G16" s="153"/>
      <c r="H16" s="153"/>
      <c r="I16" s="153"/>
      <c r="J16" s="153"/>
      <c r="K16" s="153"/>
      <c r="L16" s="153"/>
      <c r="M16" s="153"/>
      <c r="N16" s="153"/>
    </row>
    <row r="17" spans="1:14" x14ac:dyDescent="0.2">
      <c r="B17" s="5"/>
      <c r="C17" s="5"/>
      <c r="D17" s="5"/>
      <c r="G17" s="153"/>
      <c r="H17" s="153"/>
      <c r="I17" s="153"/>
      <c r="J17" s="153"/>
      <c r="K17" s="153"/>
      <c r="L17" s="153"/>
      <c r="M17" s="153"/>
      <c r="N17" s="153"/>
    </row>
    <row r="18" spans="1:14" x14ac:dyDescent="0.2">
      <c r="B18" s="5"/>
      <c r="C18" s="5" t="s">
        <v>11</v>
      </c>
      <c r="D18" s="5"/>
      <c r="G18" s="153"/>
      <c r="H18" s="153"/>
      <c r="I18" s="153"/>
      <c r="J18" s="153"/>
      <c r="K18" s="153"/>
      <c r="L18" s="153"/>
      <c r="M18" s="153"/>
      <c r="N18" s="153"/>
    </row>
    <row r="19" spans="1:14" x14ac:dyDescent="0.2">
      <c r="A19" s="13"/>
      <c r="B19" s="14"/>
      <c r="C19" s="14"/>
      <c r="D19" s="14"/>
      <c r="E19" s="13"/>
      <c r="G19" s="153"/>
      <c r="H19" s="153"/>
      <c r="I19" s="153"/>
      <c r="J19" s="153"/>
      <c r="K19" s="153"/>
      <c r="L19" s="153"/>
      <c r="M19" s="153"/>
      <c r="N19" s="153"/>
    </row>
    <row r="20" spans="1:14" ht="15" x14ac:dyDescent="0.25">
      <c r="A20" s="15" t="s">
        <v>12</v>
      </c>
      <c r="B20" s="16"/>
      <c r="C20" s="17" t="s">
        <v>85</v>
      </c>
      <c r="D20" s="18" t="s">
        <v>13</v>
      </c>
      <c r="E20" s="19"/>
      <c r="G20" s="153"/>
      <c r="H20" s="153"/>
      <c r="I20" s="153"/>
      <c r="J20" s="153"/>
      <c r="K20" s="153"/>
      <c r="L20" s="153"/>
      <c r="M20" s="153"/>
      <c r="N20" s="153"/>
    </row>
    <row r="21" spans="1:14" ht="15" x14ac:dyDescent="0.25">
      <c r="A21" s="15" t="s">
        <v>15</v>
      </c>
      <c r="B21" s="20" t="s">
        <v>16</v>
      </c>
      <c r="C21" s="20" t="s">
        <v>175</v>
      </c>
      <c r="D21" s="18" t="s">
        <v>17</v>
      </c>
      <c r="E21" s="19"/>
      <c r="G21" s="153"/>
      <c r="H21" s="153"/>
      <c r="I21" s="153"/>
      <c r="J21" s="153"/>
      <c r="K21" s="153"/>
      <c r="L21" s="153"/>
      <c r="M21" s="153"/>
      <c r="N21" s="153"/>
    </row>
    <row r="22" spans="1:14" ht="26.25" x14ac:dyDescent="0.25">
      <c r="A22" s="22" t="s">
        <v>18</v>
      </c>
      <c r="B22" s="23" t="s">
        <v>88</v>
      </c>
      <c r="C22" s="24"/>
      <c r="D22" s="27"/>
      <c r="E22" s="6"/>
      <c r="G22" s="153"/>
      <c r="H22" s="153"/>
      <c r="I22" s="153"/>
      <c r="J22" s="153"/>
      <c r="K22" s="153"/>
      <c r="L22" s="153"/>
      <c r="M22" s="153"/>
      <c r="N22" s="153"/>
    </row>
    <row r="23" spans="1:14" ht="51" x14ac:dyDescent="0.2">
      <c r="A23" s="22"/>
      <c r="B23" s="25" t="s">
        <v>20</v>
      </c>
      <c r="C23" s="7" t="s">
        <v>6</v>
      </c>
      <c r="D23" s="216">
        <f>D24+D25+D26</f>
        <v>182476.63</v>
      </c>
      <c r="E23" s="6"/>
      <c r="G23" s="153"/>
      <c r="H23" s="153"/>
      <c r="I23" s="153"/>
      <c r="J23" s="153"/>
      <c r="K23" s="153"/>
      <c r="L23" s="153"/>
      <c r="M23" s="153"/>
      <c r="N23" s="153"/>
    </row>
    <row r="24" spans="1:14" ht="84" customHeight="1" x14ac:dyDescent="0.2">
      <c r="A24" s="22"/>
      <c r="B24" s="28" t="s">
        <v>21</v>
      </c>
      <c r="C24" s="29"/>
      <c r="D24" s="204">
        <v>77429</v>
      </c>
      <c r="E24" s="6"/>
      <c r="G24" s="153"/>
      <c r="H24" s="153"/>
      <c r="I24" s="153"/>
      <c r="J24" s="153"/>
      <c r="K24" s="153"/>
      <c r="L24" s="153"/>
      <c r="M24" s="153"/>
      <c r="N24" s="153"/>
    </row>
    <row r="25" spans="1:14" ht="112.5" x14ac:dyDescent="0.2">
      <c r="A25" s="30"/>
      <c r="B25" s="28" t="s">
        <v>22</v>
      </c>
      <c r="C25" s="29"/>
      <c r="D25" s="204">
        <v>95517.93</v>
      </c>
      <c r="E25" s="6"/>
      <c r="G25" s="153"/>
      <c r="H25" s="153"/>
      <c r="I25" s="153"/>
      <c r="J25" s="153"/>
      <c r="K25" s="153"/>
      <c r="L25" s="153"/>
      <c r="M25" s="153"/>
      <c r="N25" s="153"/>
    </row>
    <row r="26" spans="1:14" ht="22.5" x14ac:dyDescent="0.2">
      <c r="A26" s="31"/>
      <c r="B26" s="40" t="s">
        <v>23</v>
      </c>
      <c r="C26" s="69"/>
      <c r="D26" s="204">
        <v>9529.7000000000007</v>
      </c>
      <c r="E26" s="6"/>
      <c r="G26" s="153"/>
      <c r="H26" s="153"/>
      <c r="I26" s="153"/>
      <c r="J26" s="153"/>
      <c r="K26" s="153"/>
      <c r="L26" s="153"/>
      <c r="M26" s="153"/>
      <c r="N26" s="153"/>
    </row>
    <row r="27" spans="1:14" ht="25.5" x14ac:dyDescent="0.2">
      <c r="A27" s="22"/>
      <c r="B27" s="25" t="s">
        <v>24</v>
      </c>
      <c r="C27" s="7" t="s">
        <v>6</v>
      </c>
      <c r="D27" s="216">
        <f>D28+D29</f>
        <v>13884</v>
      </c>
      <c r="E27" s="6"/>
      <c r="G27" s="153"/>
      <c r="H27" s="153"/>
      <c r="I27" s="153"/>
      <c r="J27" s="153"/>
      <c r="K27" s="153"/>
      <c r="L27" s="153"/>
      <c r="M27" s="153"/>
      <c r="N27" s="153"/>
    </row>
    <row r="28" spans="1:14" x14ac:dyDescent="0.2">
      <c r="A28" s="33"/>
      <c r="B28" s="70" t="s">
        <v>25</v>
      </c>
      <c r="C28" s="35"/>
      <c r="D28" s="204">
        <v>11500</v>
      </c>
      <c r="E28" s="6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">
      <c r="A29" s="22"/>
      <c r="B29" s="70" t="s">
        <v>26</v>
      </c>
      <c r="C29" s="35"/>
      <c r="D29" s="204">
        <v>2384</v>
      </c>
      <c r="E29" s="6"/>
      <c r="G29" s="153"/>
      <c r="H29" s="153"/>
      <c r="I29" s="153"/>
      <c r="J29" s="153"/>
      <c r="K29" s="153"/>
      <c r="L29" s="153"/>
      <c r="M29" s="153"/>
      <c r="N29" s="153"/>
    </row>
    <row r="30" spans="1:14" ht="38.25" x14ac:dyDescent="0.2">
      <c r="A30" s="22" t="s">
        <v>27</v>
      </c>
      <c r="B30" s="25" t="s">
        <v>28</v>
      </c>
      <c r="C30" s="7" t="s">
        <v>6</v>
      </c>
      <c r="D30" s="216">
        <f>D31+D32</f>
        <v>48840</v>
      </c>
      <c r="E30" s="6"/>
      <c r="G30" s="153"/>
      <c r="H30" s="153"/>
      <c r="I30" s="153"/>
      <c r="J30" s="153"/>
      <c r="K30" s="153"/>
      <c r="L30" s="153"/>
      <c r="M30" s="153"/>
      <c r="N30" s="153"/>
    </row>
    <row r="31" spans="1:14" ht="78.75" x14ac:dyDescent="0.2">
      <c r="A31" s="37"/>
      <c r="B31" s="28" t="s">
        <v>29</v>
      </c>
      <c r="C31" s="29"/>
      <c r="D31" s="204">
        <v>48840</v>
      </c>
      <c r="E31" s="6"/>
      <c r="G31" s="153"/>
      <c r="H31" s="153"/>
      <c r="I31" s="153"/>
      <c r="J31" s="153"/>
      <c r="K31" s="153"/>
      <c r="L31" s="153"/>
      <c r="M31" s="153"/>
      <c r="N31" s="153"/>
    </row>
    <row r="32" spans="1:14" ht="22.5" x14ac:dyDescent="0.2">
      <c r="A32" s="37"/>
      <c r="B32" s="38" t="s">
        <v>30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</row>
    <row r="33" spans="1:14" ht="44.25" customHeight="1" x14ac:dyDescent="0.2">
      <c r="A33" s="37" t="s">
        <v>31</v>
      </c>
      <c r="B33" s="25" t="s">
        <v>32</v>
      </c>
      <c r="C33" s="7" t="s">
        <v>6</v>
      </c>
      <c r="D33" s="216">
        <f>D34+D35+D36</f>
        <v>5020</v>
      </c>
      <c r="E33" s="6"/>
      <c r="G33" s="153"/>
      <c r="H33" s="153"/>
      <c r="I33" s="153"/>
      <c r="J33" s="153"/>
      <c r="K33" s="153"/>
      <c r="L33" s="153"/>
      <c r="M33" s="153"/>
      <c r="N33" s="153"/>
    </row>
    <row r="34" spans="1:14" ht="33.75" x14ac:dyDescent="0.2">
      <c r="A34" s="33"/>
      <c r="B34" s="40" t="s">
        <v>33</v>
      </c>
      <c r="C34" s="39"/>
      <c r="D34" s="204">
        <v>2920</v>
      </c>
      <c r="E34" s="6"/>
      <c r="G34" s="153"/>
      <c r="H34" s="153"/>
      <c r="I34" s="153"/>
      <c r="J34" s="153"/>
      <c r="K34" s="153"/>
      <c r="L34" s="153"/>
      <c r="M34" s="153"/>
      <c r="N34" s="153"/>
    </row>
    <row r="35" spans="1:14" ht="22.5" x14ac:dyDescent="0.2">
      <c r="A35" s="33"/>
      <c r="B35" s="38" t="s">
        <v>89</v>
      </c>
      <c r="C35" s="39"/>
      <c r="D35" s="204">
        <v>2100</v>
      </c>
      <c r="E35" s="6"/>
      <c r="G35" s="153"/>
      <c r="H35" s="153"/>
      <c r="I35" s="153"/>
      <c r="J35" s="153"/>
      <c r="K35" s="153"/>
      <c r="L35" s="153"/>
      <c r="M35" s="153"/>
      <c r="N35" s="153"/>
    </row>
    <row r="36" spans="1:14" ht="22.5" x14ac:dyDescent="0.2">
      <c r="A36" s="33"/>
      <c r="B36" s="38" t="s">
        <v>35</v>
      </c>
      <c r="C36" s="39"/>
      <c r="D36" s="204">
        <v>0</v>
      </c>
      <c r="E36" s="6"/>
      <c r="G36" s="153"/>
      <c r="H36" s="153"/>
      <c r="I36" s="153"/>
      <c r="J36" s="153"/>
      <c r="K36" s="153"/>
      <c r="L36" s="153"/>
      <c r="M36" s="153"/>
      <c r="N36" s="153"/>
    </row>
    <row r="37" spans="1:14" ht="15.75" x14ac:dyDescent="0.25">
      <c r="A37" s="31" t="s">
        <v>36</v>
      </c>
      <c r="B37" s="41" t="s">
        <v>37</v>
      </c>
      <c r="C37" s="7" t="s">
        <v>6</v>
      </c>
      <c r="D37" s="216">
        <f>D38+D39+D40+D42+D43+D44+D45</f>
        <v>31802.71</v>
      </c>
      <c r="E37" s="6"/>
      <c r="G37" s="153"/>
      <c r="H37" s="153"/>
      <c r="I37" s="153"/>
      <c r="J37" s="153"/>
      <c r="K37" s="153"/>
      <c r="L37" s="153"/>
      <c r="M37" s="153"/>
      <c r="N37" s="153"/>
    </row>
    <row r="38" spans="1:14" x14ac:dyDescent="0.2">
      <c r="A38" s="42"/>
      <c r="B38" s="43" t="s">
        <v>38</v>
      </c>
      <c r="C38" s="44"/>
      <c r="D38" s="204">
        <v>2164.6799999999998</v>
      </c>
      <c r="E38" s="6"/>
      <c r="G38" s="153"/>
      <c r="H38" s="153"/>
      <c r="I38" s="153"/>
      <c r="J38" s="153"/>
      <c r="K38" s="153"/>
      <c r="L38" s="153"/>
      <c r="M38" s="153"/>
      <c r="N38" s="153"/>
    </row>
    <row r="39" spans="1:14" ht="22.5" x14ac:dyDescent="0.2">
      <c r="A39" s="42"/>
      <c r="B39" s="43" t="s">
        <v>39</v>
      </c>
      <c r="C39" s="44"/>
      <c r="D39" s="204">
        <v>5980.75</v>
      </c>
      <c r="E39" s="6"/>
      <c r="G39" s="153"/>
      <c r="H39" s="153"/>
      <c r="I39" s="153"/>
      <c r="J39" s="153"/>
      <c r="K39" s="153"/>
      <c r="L39" s="153"/>
      <c r="M39" s="153"/>
      <c r="N39" s="153"/>
    </row>
    <row r="40" spans="1:14" x14ac:dyDescent="0.2">
      <c r="A40" s="42"/>
      <c r="B40" s="45" t="s">
        <v>40</v>
      </c>
      <c r="C40" s="71"/>
      <c r="D40" s="204">
        <v>19879.439999999999</v>
      </c>
      <c r="E40" s="6"/>
      <c r="G40" s="153"/>
      <c r="H40" s="153"/>
      <c r="I40" s="153"/>
      <c r="J40" s="153"/>
      <c r="K40" s="153"/>
      <c r="L40" s="153"/>
      <c r="M40" s="153"/>
      <c r="N40" s="153"/>
    </row>
    <row r="41" spans="1:14" ht="45" x14ac:dyDescent="0.2">
      <c r="A41" s="31"/>
      <c r="B41" s="46" t="s">
        <v>41</v>
      </c>
      <c r="C41" s="72"/>
      <c r="D41" s="204"/>
      <c r="E41" s="6"/>
      <c r="G41" s="153"/>
      <c r="H41" s="153"/>
      <c r="I41" s="153"/>
      <c r="J41" s="153"/>
      <c r="K41" s="153"/>
      <c r="L41" s="153"/>
      <c r="M41" s="153"/>
      <c r="N41" s="153"/>
    </row>
    <row r="42" spans="1:14" x14ac:dyDescent="0.2">
      <c r="A42" s="42"/>
      <c r="B42" s="47" t="s">
        <v>90</v>
      </c>
      <c r="C42" s="73"/>
      <c r="D42" s="204">
        <v>0</v>
      </c>
      <c r="E42" s="6"/>
      <c r="G42" s="153"/>
      <c r="H42" s="153"/>
      <c r="I42" s="153"/>
      <c r="J42" s="153"/>
      <c r="K42" s="153"/>
      <c r="L42" s="153"/>
      <c r="M42" s="153"/>
      <c r="N42" s="153"/>
    </row>
    <row r="43" spans="1:14" x14ac:dyDescent="0.2">
      <c r="A43" s="42"/>
      <c r="B43" s="47" t="s">
        <v>91</v>
      </c>
      <c r="C43" s="73"/>
      <c r="D43" s="204">
        <v>1262.6300000000001</v>
      </c>
      <c r="E43" s="6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">
      <c r="A44" s="29"/>
      <c r="B44" s="47" t="s">
        <v>92</v>
      </c>
      <c r="C44" s="74"/>
      <c r="D44" s="204">
        <v>2515.21</v>
      </c>
      <c r="E44" s="6"/>
      <c r="G44" s="153"/>
      <c r="H44" s="153"/>
      <c r="I44" s="153"/>
      <c r="J44" s="153"/>
      <c r="K44" s="153"/>
      <c r="L44" s="153"/>
      <c r="M44" s="153"/>
      <c r="N44" s="153"/>
    </row>
    <row r="45" spans="1:14" ht="22.5" x14ac:dyDescent="0.2">
      <c r="A45" s="42"/>
      <c r="B45" s="47" t="s">
        <v>45</v>
      </c>
      <c r="C45" s="74"/>
      <c r="D45" s="204">
        <v>0</v>
      </c>
      <c r="E45" s="6"/>
      <c r="G45" s="153"/>
      <c r="H45" s="153"/>
      <c r="I45" s="153"/>
      <c r="J45" s="153"/>
      <c r="K45" s="153"/>
      <c r="L45" s="153"/>
      <c r="M45" s="153"/>
      <c r="N45" s="153"/>
    </row>
    <row r="46" spans="1:14" ht="39" customHeight="1" x14ac:dyDescent="0.2">
      <c r="A46" s="12" t="s">
        <v>46</v>
      </c>
      <c r="B46" s="48" t="s">
        <v>47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</row>
    <row r="47" spans="1:14" ht="18.75" customHeight="1" x14ac:dyDescent="0.2">
      <c r="A47" s="49"/>
      <c r="B47" s="50" t="s">
        <v>48</v>
      </c>
      <c r="C47" s="49"/>
      <c r="D47" s="204"/>
      <c r="E47" s="6"/>
      <c r="G47" s="153"/>
      <c r="H47" s="153"/>
      <c r="I47" s="153"/>
      <c r="J47" s="153"/>
      <c r="K47" s="153"/>
      <c r="L47" s="153"/>
      <c r="M47" s="153"/>
      <c r="N47" s="153"/>
    </row>
    <row r="48" spans="1:14" ht="25.5" x14ac:dyDescent="0.2">
      <c r="A48" s="31"/>
      <c r="B48" s="51" t="s">
        <v>49</v>
      </c>
      <c r="C48" s="7" t="s">
        <v>6</v>
      </c>
      <c r="D48" s="216">
        <f>D49+D50+D51</f>
        <v>146142.20000000001</v>
      </c>
      <c r="E48" s="6"/>
      <c r="G48" s="153"/>
      <c r="H48" s="153"/>
      <c r="I48" s="153"/>
      <c r="J48" s="153"/>
      <c r="K48" s="153"/>
      <c r="L48" s="153"/>
      <c r="M48" s="153"/>
      <c r="N48" s="153"/>
    </row>
    <row r="49" spans="1:14" ht="22.5" x14ac:dyDescent="0.2">
      <c r="A49" s="33"/>
      <c r="B49" s="28" t="s">
        <v>50</v>
      </c>
      <c r="C49" s="39"/>
      <c r="D49" s="204">
        <v>137931.17000000001</v>
      </c>
      <c r="E49" s="6"/>
      <c r="G49" s="153"/>
      <c r="H49" s="153"/>
      <c r="I49" s="153"/>
      <c r="J49" s="153"/>
      <c r="K49" s="153"/>
      <c r="L49" s="153"/>
      <c r="M49" s="153"/>
      <c r="N49" s="153"/>
    </row>
    <row r="50" spans="1:14" ht="16.5" customHeight="1" x14ac:dyDescent="0.2">
      <c r="A50" s="31"/>
      <c r="B50" s="52" t="s">
        <v>51</v>
      </c>
      <c r="C50" s="75"/>
      <c r="D50" s="204">
        <v>0</v>
      </c>
      <c r="E50" s="6"/>
      <c r="G50" s="153"/>
      <c r="H50" s="153"/>
      <c r="I50" s="153"/>
      <c r="J50" s="153"/>
      <c r="K50" s="153"/>
      <c r="L50" s="153"/>
      <c r="M50" s="153"/>
      <c r="N50" s="153"/>
    </row>
    <row r="51" spans="1:14" ht="22.5" x14ac:dyDescent="0.2">
      <c r="A51" s="31"/>
      <c r="B51" s="52" t="s">
        <v>52</v>
      </c>
      <c r="C51" s="75"/>
      <c r="D51" s="204">
        <v>8211.0300000000007</v>
      </c>
      <c r="E51" s="6"/>
      <c r="G51" s="153"/>
      <c r="H51" s="153"/>
      <c r="I51" s="153"/>
      <c r="J51" s="153"/>
      <c r="K51" s="153"/>
      <c r="L51" s="153"/>
      <c r="M51" s="153"/>
      <c r="N51" s="153"/>
    </row>
    <row r="52" spans="1:14" ht="15" customHeight="1" x14ac:dyDescent="0.2">
      <c r="A52" s="49"/>
      <c r="B52" s="76" t="s">
        <v>53</v>
      </c>
      <c r="C52" s="49"/>
      <c r="D52" s="204"/>
      <c r="E52" s="6"/>
      <c r="G52" s="153"/>
      <c r="H52" s="153"/>
      <c r="I52" s="153"/>
      <c r="J52" s="153"/>
      <c r="K52" s="153"/>
      <c r="L52" s="153"/>
      <c r="M52" s="153"/>
      <c r="N52" s="153"/>
    </row>
    <row r="53" spans="1:14" ht="15" customHeight="1" x14ac:dyDescent="0.2">
      <c r="A53" s="17"/>
      <c r="B53" s="77" t="s">
        <v>54</v>
      </c>
      <c r="C53" s="7" t="s">
        <v>6</v>
      </c>
      <c r="D53" s="216">
        <f>D54+D55+D56+D57+D58</f>
        <v>228699</v>
      </c>
      <c r="E53" s="6"/>
      <c r="G53" s="153"/>
      <c r="H53" s="153"/>
      <c r="I53" s="153"/>
      <c r="J53" s="153"/>
      <c r="K53" s="153"/>
      <c r="L53" s="153"/>
      <c r="M53" s="153"/>
      <c r="N53" s="153"/>
    </row>
    <row r="54" spans="1:14" ht="15" customHeight="1" x14ac:dyDescent="0.2">
      <c r="A54" s="17"/>
      <c r="B54" s="78" t="s">
        <v>55</v>
      </c>
      <c r="C54" s="79"/>
      <c r="D54" s="204">
        <v>30612.36</v>
      </c>
      <c r="E54" s="6"/>
      <c r="G54" s="153"/>
      <c r="H54" s="153"/>
      <c r="I54" s="153"/>
      <c r="J54" s="153"/>
      <c r="K54" s="153"/>
      <c r="L54" s="153"/>
      <c r="M54" s="153"/>
      <c r="N54" s="153"/>
    </row>
    <row r="55" spans="1:14" x14ac:dyDescent="0.2">
      <c r="A55" s="17"/>
      <c r="B55" s="78" t="s">
        <v>56</v>
      </c>
      <c r="C55" s="39"/>
      <c r="D55" s="204">
        <v>64830</v>
      </c>
      <c r="E55" s="6"/>
      <c r="G55" s="153"/>
      <c r="H55" s="153"/>
      <c r="I55" s="153"/>
      <c r="J55" s="153"/>
      <c r="K55" s="153"/>
      <c r="L55" s="153"/>
      <c r="M55" s="153"/>
      <c r="N55" s="153"/>
    </row>
    <row r="56" spans="1:14" x14ac:dyDescent="0.2">
      <c r="A56" s="17"/>
      <c r="B56" s="78" t="s">
        <v>57</v>
      </c>
      <c r="C56" s="79"/>
      <c r="D56" s="204">
        <v>8934.2999999999993</v>
      </c>
      <c r="E56" s="6"/>
      <c r="G56" s="153"/>
      <c r="H56" s="153"/>
      <c r="I56" s="153"/>
      <c r="J56" s="153"/>
      <c r="K56" s="153"/>
      <c r="L56" s="153"/>
      <c r="M56" s="153"/>
      <c r="N56" s="153"/>
    </row>
    <row r="57" spans="1:14" x14ac:dyDescent="0.2">
      <c r="A57" s="17"/>
      <c r="B57" s="78" t="s">
        <v>59</v>
      </c>
      <c r="C57" s="39"/>
      <c r="D57" s="204">
        <v>113791.7</v>
      </c>
      <c r="E57" s="6"/>
      <c r="G57" s="153"/>
      <c r="H57" s="153"/>
      <c r="I57" s="153"/>
      <c r="J57" s="153"/>
      <c r="K57" s="153"/>
      <c r="L57" s="153"/>
      <c r="M57" s="153"/>
      <c r="N57" s="153"/>
    </row>
    <row r="58" spans="1:14" x14ac:dyDescent="0.2">
      <c r="A58" s="17"/>
      <c r="B58" s="28" t="s">
        <v>97</v>
      </c>
      <c r="C58" s="79"/>
      <c r="D58" s="204">
        <v>10530.64</v>
      </c>
      <c r="E58" s="6"/>
      <c r="G58" s="153"/>
      <c r="H58" s="153"/>
      <c r="I58" s="153"/>
      <c r="J58" s="153"/>
      <c r="K58" s="153"/>
      <c r="L58" s="153"/>
      <c r="M58" s="153"/>
      <c r="N58" s="153"/>
    </row>
    <row r="59" spans="1:14" x14ac:dyDescent="0.2">
      <c r="A59" s="33" t="s">
        <v>60</v>
      </c>
      <c r="B59" s="210" t="s">
        <v>252</v>
      </c>
      <c r="C59" s="12" t="s">
        <v>6</v>
      </c>
      <c r="D59" s="216">
        <v>12067.59</v>
      </c>
      <c r="E59" s="6"/>
      <c r="G59" s="153"/>
      <c r="H59" s="153"/>
      <c r="I59" s="153"/>
      <c r="J59" s="153"/>
      <c r="K59" s="153"/>
      <c r="L59" s="153"/>
      <c r="M59" s="153"/>
      <c r="N59" s="153"/>
    </row>
    <row r="60" spans="1:14" x14ac:dyDescent="0.2">
      <c r="A60" s="31" t="s">
        <v>62</v>
      </c>
      <c r="B60" s="244" t="s">
        <v>264</v>
      </c>
      <c r="C60" s="7" t="s">
        <v>6</v>
      </c>
      <c r="D60" s="216">
        <v>94465.21</v>
      </c>
      <c r="E60" s="6"/>
      <c r="F60" s="154"/>
      <c r="G60" s="153"/>
      <c r="H60" s="153"/>
      <c r="I60" s="153"/>
      <c r="J60" s="153"/>
      <c r="K60" s="153"/>
      <c r="L60" s="153"/>
      <c r="M60" s="153"/>
      <c r="N60" s="153"/>
    </row>
    <row r="61" spans="1:14" ht="33.75" x14ac:dyDescent="0.2">
      <c r="A61" s="31"/>
      <c r="B61" s="54" t="s">
        <v>63</v>
      </c>
      <c r="C61" s="55"/>
      <c r="D61" s="204"/>
      <c r="E61" s="6"/>
      <c r="G61" s="153"/>
      <c r="H61" s="153"/>
      <c r="I61" s="153"/>
      <c r="J61" s="153"/>
      <c r="K61" s="153"/>
      <c r="L61" s="153"/>
      <c r="M61" s="153"/>
      <c r="N61" s="153"/>
    </row>
    <row r="62" spans="1:14" ht="50.1" customHeight="1" x14ac:dyDescent="0.2">
      <c r="A62" s="31" t="s">
        <v>64</v>
      </c>
      <c r="B62" s="56" t="s">
        <v>65</v>
      </c>
      <c r="C62" s="7" t="s">
        <v>6</v>
      </c>
      <c r="D62" s="216">
        <v>77870</v>
      </c>
      <c r="E62" s="6"/>
      <c r="G62" s="153"/>
      <c r="H62" s="153"/>
      <c r="I62" s="153"/>
      <c r="J62" s="153"/>
      <c r="K62" s="153"/>
      <c r="L62" s="153"/>
      <c r="M62" s="153"/>
      <c r="N62" s="153"/>
    </row>
    <row r="63" spans="1:14" ht="60" x14ac:dyDescent="0.2">
      <c r="A63" s="31" t="s">
        <v>66</v>
      </c>
      <c r="B63" s="57" t="s">
        <v>98</v>
      </c>
      <c r="C63" s="7" t="s">
        <v>6</v>
      </c>
      <c r="D63" s="216">
        <f>183917.27+9715.23</f>
        <v>193632.5</v>
      </c>
      <c r="E63" s="6"/>
      <c r="G63" s="153"/>
      <c r="H63" s="153"/>
      <c r="I63" s="153"/>
      <c r="J63" s="153"/>
      <c r="K63" s="153"/>
      <c r="L63" s="153"/>
      <c r="M63" s="153"/>
      <c r="N63" s="153"/>
    </row>
    <row r="64" spans="1:14" ht="15" x14ac:dyDescent="0.25">
      <c r="A64" s="31" t="s">
        <v>68</v>
      </c>
      <c r="B64" s="58" t="s">
        <v>69</v>
      </c>
      <c r="C64" s="7" t="s">
        <v>6</v>
      </c>
      <c r="D64" s="218">
        <f>D15*6%</f>
        <v>59793.255599999997</v>
      </c>
      <c r="E64" s="6"/>
      <c r="G64" s="153"/>
      <c r="H64" s="153"/>
      <c r="I64" s="153"/>
      <c r="J64" s="153"/>
      <c r="K64" s="153"/>
      <c r="L64" s="153"/>
      <c r="M64" s="153"/>
      <c r="N64" s="153"/>
    </row>
    <row r="65" spans="1:14" x14ac:dyDescent="0.2">
      <c r="A65" s="31"/>
      <c r="B65" s="59" t="s">
        <v>70</v>
      </c>
      <c r="C65" s="7" t="s">
        <v>6</v>
      </c>
      <c r="D65" s="218">
        <f>D64+D63+D62+D60+D59+D53+D48+D37+D33+D30+D27+D23</f>
        <v>1094693.0956000001</v>
      </c>
      <c r="E65" s="6"/>
      <c r="G65" s="153"/>
      <c r="H65" s="153"/>
      <c r="I65" s="153"/>
      <c r="J65" s="153"/>
      <c r="K65" s="153"/>
      <c r="L65" s="153"/>
      <c r="M65" s="153"/>
      <c r="N65" s="153"/>
    </row>
    <row r="66" spans="1:14" ht="15.75" x14ac:dyDescent="0.25">
      <c r="A66" s="60"/>
      <c r="B66" s="61"/>
      <c r="C66" s="62"/>
      <c r="D66" s="159"/>
      <c r="E66" s="156"/>
      <c r="G66" s="153"/>
      <c r="H66" s="153"/>
      <c r="I66" s="153"/>
      <c r="J66" s="153"/>
      <c r="K66" s="153"/>
      <c r="L66" s="153"/>
      <c r="M66" s="153"/>
      <c r="N66" s="153"/>
    </row>
    <row r="67" spans="1:14" ht="15.75" x14ac:dyDescent="0.25">
      <c r="A67" s="60"/>
      <c r="B67" s="243" t="s">
        <v>76</v>
      </c>
      <c r="C67" s="62"/>
      <c r="D67" s="159">
        <f>D6+D15-D65</f>
        <v>-100287.25560000015</v>
      </c>
      <c r="E67" s="156"/>
      <c r="G67" s="153"/>
      <c r="H67" s="153"/>
      <c r="I67" s="153"/>
      <c r="J67" s="153"/>
      <c r="K67" s="153"/>
      <c r="L67" s="153"/>
      <c r="M67" s="153"/>
      <c r="N67" s="153"/>
    </row>
    <row r="68" spans="1:14" ht="15.75" x14ac:dyDescent="0.25">
      <c r="B68" s="61"/>
      <c r="C68" s="62"/>
      <c r="D68" s="159"/>
      <c r="E68" s="156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B69" s="61"/>
      <c r="C69" s="62"/>
      <c r="D69" s="64"/>
      <c r="E69" s="63"/>
      <c r="G69" s="153"/>
      <c r="H69" s="153"/>
      <c r="I69" s="153"/>
      <c r="J69" s="153"/>
      <c r="K69" s="153"/>
      <c r="L69" s="153"/>
      <c r="M69" s="153"/>
      <c r="N69" s="153"/>
    </row>
    <row r="70" spans="1:14" ht="15.75" x14ac:dyDescent="0.25">
      <c r="B70" s="61"/>
      <c r="C70" s="62"/>
      <c r="D70" s="65"/>
      <c r="G70" s="153"/>
      <c r="H70" s="153"/>
      <c r="I70" s="153"/>
      <c r="J70" s="153"/>
      <c r="K70" s="153"/>
      <c r="L70" s="153"/>
      <c r="M70" s="153"/>
      <c r="N70" s="153"/>
    </row>
    <row r="71" spans="1:14" x14ac:dyDescent="0.2">
      <c r="B71" s="1" t="s">
        <v>72</v>
      </c>
      <c r="D71" s="1" t="s">
        <v>73</v>
      </c>
      <c r="G71" s="153"/>
      <c r="H71" s="153"/>
      <c r="I71" s="153"/>
      <c r="J71" s="153"/>
      <c r="K71" s="153"/>
      <c r="L71" s="153"/>
      <c r="M71" s="153"/>
      <c r="N71" s="153"/>
    </row>
    <row r="72" spans="1:14" x14ac:dyDescent="0.2">
      <c r="B72" s="1" t="s">
        <v>74</v>
      </c>
      <c r="D72" s="189" t="s">
        <v>273</v>
      </c>
      <c r="G72" s="153"/>
      <c r="H72" s="153"/>
      <c r="I72" s="153"/>
      <c r="J72" s="153"/>
      <c r="K72" s="153"/>
      <c r="L72" s="153"/>
      <c r="M72" s="153"/>
      <c r="N72" s="153"/>
    </row>
  </sheetData>
  <mergeCells count="2">
    <mergeCell ref="A2:F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3" workbookViewId="0">
      <selection activeCell="L54" sqref="L54"/>
    </sheetView>
  </sheetViews>
  <sheetFormatPr defaultColWidth="9" defaultRowHeight="14.25" x14ac:dyDescent="0.2"/>
  <cols>
    <col min="1" max="1" width="4.7109375" style="1" customWidth="1"/>
    <col min="2" max="2" width="43.5703125" style="1" customWidth="1"/>
    <col min="3" max="3" width="7.85546875" style="1" customWidth="1"/>
    <col min="4" max="4" width="13.28515625" style="1" customWidth="1"/>
    <col min="5" max="5" width="11.140625" style="1" customWidth="1"/>
    <col min="6" max="6" width="11.28515625" style="1" customWidth="1"/>
    <col min="7" max="7" width="11" style="1" customWidth="1"/>
    <col min="8" max="8" width="11.85546875" style="1" customWidth="1"/>
    <col min="9" max="9" width="14.140625" style="1" customWidth="1"/>
    <col min="10" max="10" width="9" style="1"/>
    <col min="11" max="11" width="9.5703125" style="1" customWidth="1"/>
    <col min="12" max="16384" width="9" style="1"/>
  </cols>
  <sheetData>
    <row r="1" spans="1:15" ht="15" x14ac:dyDescent="0.25">
      <c r="C1" s="2" t="s">
        <v>0</v>
      </c>
      <c r="D1" s="3"/>
    </row>
    <row r="2" spans="1:15" ht="15" customHeight="1" x14ac:dyDescent="0.2">
      <c r="A2" s="298" t="s">
        <v>111</v>
      </c>
      <c r="B2" s="298"/>
      <c r="C2" s="298"/>
      <c r="D2" s="298"/>
      <c r="E2" s="298"/>
      <c r="F2" s="4"/>
    </row>
    <row r="3" spans="1:15" ht="15" customHeight="1" x14ac:dyDescent="0.2">
      <c r="A3" s="4"/>
      <c r="B3" s="299" t="s">
        <v>233</v>
      </c>
      <c r="C3" s="298"/>
      <c r="D3" s="298"/>
      <c r="E3" s="298"/>
    </row>
    <row r="4" spans="1:15" x14ac:dyDescent="0.2">
      <c r="A4" s="4"/>
      <c r="B4" s="293"/>
      <c r="C4" s="293"/>
      <c r="D4" s="293"/>
      <c r="E4" s="293"/>
    </row>
    <row r="5" spans="1:15" x14ac:dyDescent="0.2">
      <c r="A5" s="168"/>
      <c r="B5" s="163" t="s">
        <v>182</v>
      </c>
      <c r="C5" s="163"/>
      <c r="D5" s="163">
        <v>413177.3</v>
      </c>
      <c r="E5" s="168"/>
    </row>
    <row r="6" spans="1:15" x14ac:dyDescent="0.2">
      <c r="A6" s="160"/>
      <c r="B6" s="164" t="s">
        <v>211</v>
      </c>
      <c r="C6" s="167" t="s">
        <v>6</v>
      </c>
      <c r="D6" s="170">
        <v>82034.39</v>
      </c>
      <c r="E6" s="160"/>
      <c r="F6" s="154"/>
    </row>
    <row r="7" spans="1:15" x14ac:dyDescent="0.2">
      <c r="A7" s="160"/>
      <c r="B7" s="164"/>
      <c r="C7" s="167"/>
      <c r="D7" s="170"/>
      <c r="E7" s="160"/>
    </row>
    <row r="8" spans="1:15" x14ac:dyDescent="0.2">
      <c r="A8" s="160"/>
      <c r="B8" s="165" t="s">
        <v>2</v>
      </c>
      <c r="C8" s="167" t="s">
        <v>3</v>
      </c>
      <c r="D8" s="171">
        <v>5776.1</v>
      </c>
      <c r="E8" s="160"/>
    </row>
    <row r="9" spans="1:15" x14ac:dyDescent="0.2">
      <c r="A9" s="160"/>
      <c r="B9" s="165" t="s">
        <v>4</v>
      </c>
      <c r="C9" s="167" t="s">
        <v>3</v>
      </c>
      <c r="D9" s="171">
        <v>4257.8</v>
      </c>
      <c r="E9" s="160"/>
    </row>
    <row r="10" spans="1:15" ht="15" customHeight="1" x14ac:dyDescent="0.2">
      <c r="A10" s="160"/>
      <c r="B10" s="166" t="s">
        <v>5</v>
      </c>
      <c r="C10" s="164" t="s">
        <v>6</v>
      </c>
      <c r="D10" s="170">
        <v>785992.46</v>
      </c>
      <c r="E10" s="160"/>
    </row>
    <row r="11" spans="1:15" ht="17.25" customHeight="1" x14ac:dyDescent="0.2">
      <c r="A11" s="160"/>
      <c r="B11" s="164"/>
      <c r="C11" s="164"/>
      <c r="D11" s="171"/>
      <c r="E11" s="160"/>
    </row>
    <row r="12" spans="1:15" ht="15.75" customHeight="1" x14ac:dyDescent="0.2">
      <c r="A12" s="160"/>
      <c r="B12" s="166" t="s">
        <v>7</v>
      </c>
      <c r="C12" s="164"/>
      <c r="D12" s="171"/>
      <c r="E12" s="160"/>
    </row>
    <row r="13" spans="1:15" ht="18" customHeight="1" x14ac:dyDescent="0.2">
      <c r="A13" s="160">
        <v>1</v>
      </c>
      <c r="B13" s="167" t="s">
        <v>84</v>
      </c>
      <c r="C13" s="167" t="s">
        <v>6</v>
      </c>
      <c r="D13" s="171">
        <v>719692.27</v>
      </c>
      <c r="E13" s="160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6.5" customHeight="1" x14ac:dyDescent="0.2">
      <c r="A14" s="160">
        <v>2</v>
      </c>
      <c r="B14" s="167" t="s">
        <v>9</v>
      </c>
      <c r="C14" s="167" t="s">
        <v>6</v>
      </c>
      <c r="D14" s="171">
        <v>0</v>
      </c>
      <c r="E14" s="160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160"/>
      <c r="B15" s="166" t="s">
        <v>10</v>
      </c>
      <c r="C15" s="164" t="s">
        <v>6</v>
      </c>
      <c r="D15" s="170">
        <f>D13+D14</f>
        <v>719692.27</v>
      </c>
      <c r="E15" s="160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5.75" customHeight="1" x14ac:dyDescent="0.2">
      <c r="B16" s="5"/>
      <c r="C16" s="5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4.25" customHeight="1" x14ac:dyDescent="0.2">
      <c r="B17" s="5"/>
      <c r="C17" s="5" t="s">
        <v>11</v>
      </c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5.75" customHeight="1" x14ac:dyDescent="0.2">
      <c r="A18" s="13"/>
      <c r="B18" s="14"/>
      <c r="C18" s="14"/>
      <c r="D18" s="13"/>
      <c r="E18" s="1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6.5" customHeight="1" x14ac:dyDescent="0.25">
      <c r="A19" s="15" t="s">
        <v>12</v>
      </c>
      <c r="B19" s="16"/>
      <c r="C19" s="17" t="s">
        <v>85</v>
      </c>
      <c r="D19" s="18" t="s">
        <v>13</v>
      </c>
      <c r="E19" s="19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1" customHeight="1" x14ac:dyDescent="0.25">
      <c r="A20" s="15" t="s">
        <v>15</v>
      </c>
      <c r="B20" s="20" t="s">
        <v>16</v>
      </c>
      <c r="C20" s="20" t="s">
        <v>87</v>
      </c>
      <c r="D20" s="18" t="s">
        <v>17</v>
      </c>
      <c r="E20" s="21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25.5" x14ac:dyDescent="0.2">
      <c r="A21" s="22" t="s">
        <v>18</v>
      </c>
      <c r="B21" s="23" t="s">
        <v>88</v>
      </c>
      <c r="C21" s="24"/>
      <c r="D21" s="6"/>
      <c r="E21" s="6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41.1" customHeight="1" x14ac:dyDescent="0.2">
      <c r="A22" s="22"/>
      <c r="B22" s="25" t="s">
        <v>20</v>
      </c>
      <c r="C22" s="26" t="s">
        <v>6</v>
      </c>
      <c r="D22" s="216">
        <f>D23+D24+D25</f>
        <v>238119.94</v>
      </c>
      <c r="E22" s="6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81" customHeight="1" x14ac:dyDescent="0.2">
      <c r="A23" s="22"/>
      <c r="B23" s="28" t="s">
        <v>21</v>
      </c>
      <c r="C23" s="29"/>
      <c r="D23" s="204">
        <v>167259.28</v>
      </c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12.5" x14ac:dyDescent="0.2">
      <c r="A24" s="30"/>
      <c r="B24" s="28" t="s">
        <v>22</v>
      </c>
      <c r="C24" s="29"/>
      <c r="D24" s="204">
        <v>62443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21.95" customHeight="1" x14ac:dyDescent="0.2">
      <c r="A25" s="31"/>
      <c r="B25" s="32" t="s">
        <v>23</v>
      </c>
      <c r="C25" s="29"/>
      <c r="D25" s="204">
        <v>8417.66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5" customHeight="1" x14ac:dyDescent="0.2">
      <c r="A26" s="22"/>
      <c r="B26" s="25" t="s">
        <v>24</v>
      </c>
      <c r="C26" s="26" t="s">
        <v>6</v>
      </c>
      <c r="D26" s="216">
        <f>D27+D28</f>
        <v>7800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x14ac:dyDescent="0.2">
      <c r="A27" s="33"/>
      <c r="B27" s="34" t="s">
        <v>25</v>
      </c>
      <c r="C27" s="35"/>
      <c r="D27" s="204">
        <v>5720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5" customHeight="1" x14ac:dyDescent="0.2">
      <c r="A28" s="22"/>
      <c r="B28" s="34" t="s">
        <v>26</v>
      </c>
      <c r="C28" s="35"/>
      <c r="D28" s="204">
        <v>2080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39" customHeight="1" x14ac:dyDescent="0.2">
      <c r="A29" s="22" t="s">
        <v>27</v>
      </c>
      <c r="B29" s="25" t="s">
        <v>28</v>
      </c>
      <c r="C29" s="36" t="s">
        <v>6</v>
      </c>
      <c r="D29" s="216">
        <f>D30+D31</f>
        <v>32410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68.099999999999994" customHeight="1" x14ac:dyDescent="0.2">
      <c r="A30" s="37"/>
      <c r="B30" s="28" t="s">
        <v>29</v>
      </c>
      <c r="C30" s="29"/>
      <c r="D30" s="204">
        <v>32410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21" customHeight="1" x14ac:dyDescent="0.2">
      <c r="A31" s="37"/>
      <c r="B31" s="38" t="s">
        <v>30</v>
      </c>
      <c r="C31" s="39"/>
      <c r="D31" s="204">
        <v>0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36" customHeight="1" x14ac:dyDescent="0.2">
      <c r="A32" s="37" t="s">
        <v>31</v>
      </c>
      <c r="B32" s="25" t="s">
        <v>32</v>
      </c>
      <c r="C32" s="12" t="s">
        <v>6</v>
      </c>
      <c r="D32" s="216">
        <f>D33+D34+D35</f>
        <v>4264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32.1" customHeight="1" x14ac:dyDescent="0.2">
      <c r="A33" s="33"/>
      <c r="B33" s="40" t="s">
        <v>33</v>
      </c>
      <c r="C33" s="39"/>
      <c r="D33" s="204">
        <v>2300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21.95" customHeight="1" x14ac:dyDescent="0.2">
      <c r="A34" s="33"/>
      <c r="B34" s="38" t="s">
        <v>89</v>
      </c>
      <c r="C34" s="39"/>
      <c r="D34" s="204">
        <v>1964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1" customHeight="1" x14ac:dyDescent="0.2">
      <c r="A35" s="33"/>
      <c r="B35" s="38" t="s">
        <v>35</v>
      </c>
      <c r="C35" s="39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12.95" customHeight="1" x14ac:dyDescent="0.25">
      <c r="A36" s="31" t="s">
        <v>36</v>
      </c>
      <c r="B36" s="41" t="s">
        <v>37</v>
      </c>
      <c r="C36" s="20" t="s">
        <v>6</v>
      </c>
      <c r="D36" s="216">
        <f>D37+D38+D39+D41+D42+D43+D44</f>
        <v>67268.710000000006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5" customHeight="1" x14ac:dyDescent="0.2">
      <c r="A37" s="42"/>
      <c r="B37" s="43" t="s">
        <v>38</v>
      </c>
      <c r="C37" s="44"/>
      <c r="D37" s="204">
        <v>2039.52</v>
      </c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">
      <c r="A38" s="42"/>
      <c r="B38" s="43" t="s">
        <v>39</v>
      </c>
      <c r="C38" s="44"/>
      <c r="D38" s="204">
        <v>10230.75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5" t="s">
        <v>40</v>
      </c>
      <c r="C39" s="44"/>
      <c r="D39" s="204">
        <v>23173.759999999998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33.75" x14ac:dyDescent="0.2">
      <c r="A40" s="31"/>
      <c r="B40" s="46" t="s">
        <v>41</v>
      </c>
      <c r="C40" s="44"/>
      <c r="D40" s="204"/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42" t="s">
        <v>176</v>
      </c>
      <c r="B41" s="47" t="s">
        <v>90</v>
      </c>
      <c r="C41" s="44"/>
      <c r="D41" s="204">
        <v>0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x14ac:dyDescent="0.2">
      <c r="A42" s="42"/>
      <c r="B42" s="47" t="s">
        <v>91</v>
      </c>
      <c r="C42" s="44"/>
      <c r="D42" s="204">
        <v>707.79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5" customHeight="1" x14ac:dyDescent="0.2">
      <c r="A43" s="29"/>
      <c r="B43" s="47" t="s">
        <v>92</v>
      </c>
      <c r="C43" s="44"/>
      <c r="D43" s="204">
        <v>2157.65</v>
      </c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2.5" customHeight="1" x14ac:dyDescent="0.2">
      <c r="A44" s="42"/>
      <c r="B44" s="208" t="s">
        <v>265</v>
      </c>
      <c r="C44" s="44"/>
      <c r="D44" s="204">
        <v>28959.24</v>
      </c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38.25" x14ac:dyDescent="0.2">
      <c r="A45" s="12" t="s">
        <v>46</v>
      </c>
      <c r="B45" s="48" t="s">
        <v>47</v>
      </c>
      <c r="C45" s="49"/>
      <c r="D45" s="204"/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x14ac:dyDescent="0.2">
      <c r="A46" s="49"/>
      <c r="B46" s="50" t="s">
        <v>48</v>
      </c>
      <c r="C46" s="49"/>
      <c r="D46" s="204"/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1.95" customHeight="1" x14ac:dyDescent="0.2">
      <c r="A47" s="31"/>
      <c r="B47" s="51" t="s">
        <v>49</v>
      </c>
      <c r="C47" s="20" t="s">
        <v>6</v>
      </c>
      <c r="D47" s="216">
        <f>D48+D49+D50</f>
        <v>221278.94</v>
      </c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2.5" x14ac:dyDescent="0.2">
      <c r="A48" s="33"/>
      <c r="B48" s="28" t="s">
        <v>50</v>
      </c>
      <c r="C48" s="39"/>
      <c r="D48" s="204">
        <v>216708.37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31"/>
      <c r="B49" s="52" t="s">
        <v>51</v>
      </c>
      <c r="C49" s="39"/>
      <c r="D49" s="204">
        <v>0</v>
      </c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2.5" x14ac:dyDescent="0.2">
      <c r="A50" s="31"/>
      <c r="B50" s="52" t="s">
        <v>52</v>
      </c>
      <c r="C50" s="39"/>
      <c r="D50" s="204">
        <v>4570.57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33" t="s">
        <v>60</v>
      </c>
      <c r="B51" s="210" t="s">
        <v>252</v>
      </c>
      <c r="C51" s="12" t="s">
        <v>6</v>
      </c>
      <c r="D51" s="216">
        <v>10352.1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12.95" customHeight="1" x14ac:dyDescent="0.2">
      <c r="A52" s="31" t="s">
        <v>62</v>
      </c>
      <c r="B52" s="244" t="s">
        <v>264</v>
      </c>
      <c r="C52" s="7" t="s">
        <v>6</v>
      </c>
      <c r="D52" s="216">
        <v>50079.16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33.75" x14ac:dyDescent="0.2">
      <c r="A53" s="31"/>
      <c r="B53" s="54" t="s">
        <v>63</v>
      </c>
      <c r="C53" s="55"/>
      <c r="D53" s="216"/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48" x14ac:dyDescent="0.2">
      <c r="A54" s="31" t="s">
        <v>64</v>
      </c>
      <c r="B54" s="56" t="s">
        <v>65</v>
      </c>
      <c r="C54" s="55" t="s">
        <v>6</v>
      </c>
      <c r="D54" s="216">
        <v>65000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49.5" customHeight="1" x14ac:dyDescent="0.2">
      <c r="A55" s="31" t="s">
        <v>66</v>
      </c>
      <c r="B55" s="57" t="s">
        <v>98</v>
      </c>
      <c r="C55" s="55" t="s">
        <v>6</v>
      </c>
      <c r="D55" s="216">
        <f>158050.32+9856.16</f>
        <v>167906.48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15" x14ac:dyDescent="0.25">
      <c r="A56" s="31" t="s">
        <v>68</v>
      </c>
      <c r="B56" s="58" t="s">
        <v>69</v>
      </c>
      <c r="C56" s="55" t="s">
        <v>6</v>
      </c>
      <c r="D56" s="218">
        <f>D15*6%</f>
        <v>43181.536200000002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31"/>
      <c r="B57" s="59" t="s">
        <v>70</v>
      </c>
      <c r="C57" s="55" t="s">
        <v>6</v>
      </c>
      <c r="D57" s="218">
        <f>D56+D55+D54+D52+D51+D47+D36+D32+D29+D26+D22</f>
        <v>907660.86619999981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8.95" customHeight="1" x14ac:dyDescent="0.25">
      <c r="A58" s="60"/>
      <c r="B58" s="243" t="s">
        <v>76</v>
      </c>
      <c r="C58" s="62"/>
      <c r="D58" s="159">
        <f>D6+D15-D57</f>
        <v>-105934.20619999978</v>
      </c>
      <c r="E58" s="159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5.75" x14ac:dyDescent="0.25">
      <c r="B59" s="61"/>
      <c r="C59" s="62"/>
      <c r="D59" s="156"/>
      <c r="E59" s="159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5.75" x14ac:dyDescent="0.25">
      <c r="B60" s="61"/>
      <c r="C60" s="62"/>
      <c r="D60" s="156"/>
      <c r="E60" s="159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B61" s="61"/>
      <c r="C61" s="62"/>
      <c r="D61" s="65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x14ac:dyDescent="0.2">
      <c r="B62" s="66" t="s">
        <v>72</v>
      </c>
      <c r="C62" s="66"/>
      <c r="D62" s="66" t="s">
        <v>73</v>
      </c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x14ac:dyDescent="0.2">
      <c r="B63" s="66" t="s">
        <v>74</v>
      </c>
      <c r="C63" s="66"/>
      <c r="D63" s="189" t="s">
        <v>273</v>
      </c>
      <c r="G63" s="153"/>
      <c r="H63" s="153"/>
      <c r="I63" s="153"/>
      <c r="J63" s="153"/>
      <c r="K63" s="153"/>
      <c r="L63" s="153"/>
      <c r="M63" s="153"/>
      <c r="N63" s="153"/>
      <c r="O63" s="15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opLeftCell="A31" workbookViewId="0">
      <selection activeCell="F27" sqref="F27"/>
    </sheetView>
  </sheetViews>
  <sheetFormatPr defaultRowHeight="15" x14ac:dyDescent="0.25"/>
  <cols>
    <col min="2" max="2" width="21" customWidth="1"/>
    <col min="3" max="3" width="13.42578125" customWidth="1"/>
    <col min="4" max="4" width="11.140625" customWidth="1"/>
  </cols>
  <sheetData>
    <row r="2" spans="1:8" x14ac:dyDescent="0.25">
      <c r="B2" s="301" t="s">
        <v>277</v>
      </c>
      <c r="C2" s="301"/>
      <c r="D2" s="301"/>
      <c r="E2" s="301"/>
      <c r="F2" s="283"/>
      <c r="G2" s="283"/>
      <c r="H2" s="283"/>
    </row>
    <row r="5" spans="1:8" x14ac:dyDescent="0.25">
      <c r="A5" s="284" t="s">
        <v>278</v>
      </c>
      <c r="B5" s="285" t="s">
        <v>279</v>
      </c>
      <c r="C5" s="284" t="s">
        <v>335</v>
      </c>
      <c r="D5" s="284" t="s">
        <v>280</v>
      </c>
    </row>
    <row r="6" spans="1:8" x14ac:dyDescent="0.25">
      <c r="A6" s="284">
        <v>1</v>
      </c>
      <c r="B6" s="284" t="s">
        <v>281</v>
      </c>
      <c r="C6" s="284">
        <v>1097068.68</v>
      </c>
      <c r="D6" s="284">
        <v>1380027.37</v>
      </c>
    </row>
    <row r="7" spans="1:8" x14ac:dyDescent="0.25">
      <c r="A7" s="284">
        <v>2</v>
      </c>
      <c r="B7" s="284" t="s">
        <v>282</v>
      </c>
      <c r="C7" s="284">
        <v>1406589.23</v>
      </c>
      <c r="D7" s="284">
        <v>1604257.49</v>
      </c>
    </row>
    <row r="8" spans="1:8" x14ac:dyDescent="0.25">
      <c r="A8" s="284">
        <v>3</v>
      </c>
      <c r="B8" s="284" t="s">
        <v>283</v>
      </c>
      <c r="C8" s="284">
        <v>2387812.79</v>
      </c>
      <c r="D8" s="284">
        <v>2435472.5499999998</v>
      </c>
    </row>
    <row r="9" spans="1:8" x14ac:dyDescent="0.25">
      <c r="A9" s="284"/>
      <c r="B9" s="284" t="s">
        <v>284</v>
      </c>
      <c r="C9" s="284">
        <v>1014887.81</v>
      </c>
      <c r="D9" s="284">
        <v>1065416.81</v>
      </c>
    </row>
    <row r="10" spans="1:8" x14ac:dyDescent="0.25">
      <c r="A10" s="284"/>
      <c r="B10" s="284" t="s">
        <v>285</v>
      </c>
      <c r="C10" s="284">
        <v>2110534.21</v>
      </c>
      <c r="D10" s="284">
        <v>2086314.92</v>
      </c>
    </row>
    <row r="11" spans="1:8" x14ac:dyDescent="0.25">
      <c r="A11" s="284"/>
      <c r="B11" s="284" t="s">
        <v>286</v>
      </c>
      <c r="C11" s="284">
        <v>830894.3</v>
      </c>
      <c r="D11" s="284">
        <v>621870.64</v>
      </c>
    </row>
    <row r="12" spans="1:8" x14ac:dyDescent="0.25">
      <c r="A12" s="284"/>
      <c r="B12" s="284" t="s">
        <v>288</v>
      </c>
      <c r="C12" s="284">
        <v>396983.43</v>
      </c>
      <c r="D12" s="284">
        <v>551691.31000000006</v>
      </c>
    </row>
    <row r="13" spans="1:8" x14ac:dyDescent="0.25">
      <c r="A13" s="284"/>
      <c r="B13" s="284" t="s">
        <v>289</v>
      </c>
      <c r="C13" s="284">
        <v>1371950.02</v>
      </c>
      <c r="D13" s="284">
        <v>1480570.4</v>
      </c>
    </row>
    <row r="14" spans="1:8" x14ac:dyDescent="0.25">
      <c r="A14" s="284"/>
      <c r="B14" s="284" t="s">
        <v>287</v>
      </c>
      <c r="C14" s="284">
        <v>703313.73</v>
      </c>
      <c r="D14" s="284">
        <v>825198.37</v>
      </c>
    </row>
    <row r="15" spans="1:8" x14ac:dyDescent="0.25">
      <c r="A15" s="284"/>
      <c r="B15" s="284" t="s">
        <v>290</v>
      </c>
      <c r="C15" s="284">
        <v>1633715.88</v>
      </c>
      <c r="D15" s="284">
        <v>1904072.95</v>
      </c>
    </row>
    <row r="16" spans="1:8" x14ac:dyDescent="0.25">
      <c r="A16" s="284"/>
      <c r="B16" s="284" t="s">
        <v>291</v>
      </c>
      <c r="C16" s="284">
        <v>674853.93</v>
      </c>
      <c r="D16" s="284">
        <v>711353.2</v>
      </c>
    </row>
    <row r="17" spans="1:4" x14ac:dyDescent="0.25">
      <c r="A17" s="284"/>
      <c r="B17" s="284" t="s">
        <v>292</v>
      </c>
      <c r="C17" s="284">
        <v>681322.46</v>
      </c>
      <c r="D17" s="284">
        <v>639147.84</v>
      </c>
    </row>
    <row r="18" spans="1:4" x14ac:dyDescent="0.25">
      <c r="A18" s="284"/>
      <c r="B18" s="284" t="s">
        <v>293</v>
      </c>
      <c r="C18" s="284">
        <v>427085.19</v>
      </c>
      <c r="D18" s="284">
        <v>482359.76</v>
      </c>
    </row>
    <row r="19" spans="1:4" x14ac:dyDescent="0.25">
      <c r="A19" s="284"/>
      <c r="B19" s="284" t="s">
        <v>294</v>
      </c>
      <c r="C19" s="284">
        <v>675810.33</v>
      </c>
      <c r="D19" s="284">
        <v>823101.8</v>
      </c>
    </row>
    <row r="20" spans="1:4" x14ac:dyDescent="0.25">
      <c r="A20" s="284"/>
      <c r="B20" s="284" t="s">
        <v>295</v>
      </c>
      <c r="C20" s="284">
        <v>408412.93</v>
      </c>
      <c r="D20" s="284">
        <v>412041.76</v>
      </c>
    </row>
    <row r="21" spans="1:4" x14ac:dyDescent="0.25">
      <c r="A21" s="284"/>
      <c r="B21" s="284" t="s">
        <v>296</v>
      </c>
      <c r="C21" s="284">
        <v>686543.94</v>
      </c>
      <c r="D21" s="284">
        <v>800116.62</v>
      </c>
    </row>
    <row r="22" spans="1:4" x14ac:dyDescent="0.25">
      <c r="A22" s="284"/>
      <c r="B22" s="284" t="s">
        <v>297</v>
      </c>
      <c r="C22" s="284">
        <v>834376.65</v>
      </c>
      <c r="D22" s="284">
        <v>757725.34</v>
      </c>
    </row>
    <row r="23" spans="1:4" x14ac:dyDescent="0.25">
      <c r="A23" s="284"/>
      <c r="B23" s="284" t="s">
        <v>298</v>
      </c>
      <c r="C23" s="284">
        <v>884928.5</v>
      </c>
      <c r="D23" s="284">
        <v>928701.81</v>
      </c>
    </row>
    <row r="24" spans="1:4" x14ac:dyDescent="0.25">
      <c r="A24" s="284"/>
      <c r="B24" s="284" t="s">
        <v>299</v>
      </c>
      <c r="C24" s="284">
        <v>755292.5</v>
      </c>
      <c r="D24" s="284">
        <v>786671</v>
      </c>
    </row>
    <row r="25" spans="1:4" x14ac:dyDescent="0.25">
      <c r="A25" s="284"/>
      <c r="B25" s="284" t="s">
        <v>300</v>
      </c>
      <c r="C25" s="284">
        <v>845558.29</v>
      </c>
      <c r="D25" s="284">
        <v>1143213.6100000001</v>
      </c>
    </row>
    <row r="26" spans="1:4" x14ac:dyDescent="0.25">
      <c r="A26" s="284"/>
      <c r="B26" s="284" t="s">
        <v>301</v>
      </c>
      <c r="C26" s="284">
        <v>624763.91</v>
      </c>
      <c r="D26" s="284">
        <v>737050.7</v>
      </c>
    </row>
    <row r="27" spans="1:4" x14ac:dyDescent="0.25">
      <c r="A27" s="284"/>
      <c r="B27" s="284" t="s">
        <v>302</v>
      </c>
      <c r="C27" s="284">
        <v>1924093.26</v>
      </c>
      <c r="D27" s="284">
        <v>1628336.92</v>
      </c>
    </row>
    <row r="28" spans="1:4" x14ac:dyDescent="0.25">
      <c r="A28" s="284"/>
      <c r="B28" s="284" t="s">
        <v>303</v>
      </c>
      <c r="C28" s="284">
        <v>985965.82</v>
      </c>
      <c r="D28" s="284">
        <v>1060922.97</v>
      </c>
    </row>
    <row r="29" spans="1:4" x14ac:dyDescent="0.25">
      <c r="A29" s="284"/>
      <c r="B29" s="284" t="s">
        <v>304</v>
      </c>
      <c r="C29" s="284">
        <v>572092.98</v>
      </c>
      <c r="D29" s="284">
        <v>537966.29</v>
      </c>
    </row>
    <row r="30" spans="1:4" x14ac:dyDescent="0.25">
      <c r="A30" s="284"/>
      <c r="B30" s="284" t="s">
        <v>305</v>
      </c>
      <c r="C30" s="284">
        <v>566378.98</v>
      </c>
      <c r="D30" s="284">
        <v>562965.44999999995</v>
      </c>
    </row>
    <row r="31" spans="1:4" x14ac:dyDescent="0.25">
      <c r="A31" s="284"/>
      <c r="B31" s="284" t="s">
        <v>306</v>
      </c>
      <c r="C31" s="284">
        <v>732423.22</v>
      </c>
      <c r="D31" s="284">
        <v>718835.72</v>
      </c>
    </row>
    <row r="32" spans="1:4" x14ac:dyDescent="0.25">
      <c r="A32" s="284"/>
      <c r="B32" s="284" t="s">
        <v>307</v>
      </c>
      <c r="C32" s="284">
        <v>425236.39</v>
      </c>
      <c r="D32" s="284">
        <v>630682.69999999995</v>
      </c>
    </row>
    <row r="33" spans="1:4" x14ac:dyDescent="0.25">
      <c r="A33" s="284"/>
      <c r="B33" s="284" t="s">
        <v>308</v>
      </c>
      <c r="C33" s="284">
        <v>978194.86</v>
      </c>
      <c r="D33" s="284">
        <v>930125.68</v>
      </c>
    </row>
    <row r="34" spans="1:4" x14ac:dyDescent="0.25">
      <c r="A34" s="284"/>
      <c r="B34" s="284" t="s">
        <v>309</v>
      </c>
      <c r="C34" s="284">
        <v>1127772.97</v>
      </c>
      <c r="D34" s="284">
        <v>1139326.22</v>
      </c>
    </row>
    <row r="35" spans="1:4" x14ac:dyDescent="0.25">
      <c r="A35" s="284"/>
      <c r="B35" s="284" t="s">
        <v>310</v>
      </c>
      <c r="C35" s="284">
        <v>1175784.6200000001</v>
      </c>
      <c r="D35" s="284">
        <v>1203845.76</v>
      </c>
    </row>
    <row r="36" spans="1:4" x14ac:dyDescent="0.25">
      <c r="A36" s="284"/>
      <c r="B36" s="284" t="s">
        <v>311</v>
      </c>
      <c r="C36" s="284">
        <v>1697762.4</v>
      </c>
      <c r="D36" s="284">
        <v>1631441.13</v>
      </c>
    </row>
    <row r="37" spans="1:4" x14ac:dyDescent="0.25">
      <c r="A37" s="284"/>
      <c r="B37" s="284" t="s">
        <v>312</v>
      </c>
      <c r="C37" s="284">
        <v>1061935.29</v>
      </c>
      <c r="D37" s="284">
        <v>1367686.51</v>
      </c>
    </row>
    <row r="38" spans="1:4" x14ac:dyDescent="0.25">
      <c r="A38" s="284"/>
      <c r="B38" s="284" t="s">
        <v>313</v>
      </c>
      <c r="C38" s="284">
        <v>914668.67</v>
      </c>
      <c r="D38" s="284">
        <v>1190501.1299999999</v>
      </c>
    </row>
    <row r="39" spans="1:4" ht="27.75" customHeight="1" x14ac:dyDescent="0.25">
      <c r="A39" s="286"/>
      <c r="B39" s="287" t="s">
        <v>315</v>
      </c>
      <c r="C39" s="288">
        <v>626889.84</v>
      </c>
      <c r="D39" s="284">
        <v>772426.08</v>
      </c>
    </row>
    <row r="40" spans="1:4" x14ac:dyDescent="0.25">
      <c r="A40" s="284"/>
      <c r="B40" s="284" t="s">
        <v>314</v>
      </c>
      <c r="C40" s="284">
        <v>1071546.21</v>
      </c>
      <c r="D40" s="284">
        <v>1118434.47</v>
      </c>
    </row>
    <row r="41" spans="1:4" x14ac:dyDescent="0.25">
      <c r="A41" s="284"/>
      <c r="B41" s="284" t="s">
        <v>316</v>
      </c>
      <c r="C41" s="284">
        <v>141633.28</v>
      </c>
      <c r="D41" s="284">
        <v>158647.25</v>
      </c>
    </row>
    <row r="42" spans="1:4" x14ac:dyDescent="0.25">
      <c r="A42" s="284"/>
      <c r="B42" s="284" t="s">
        <v>317</v>
      </c>
      <c r="C42" s="284">
        <v>462404.01</v>
      </c>
      <c r="D42" s="284">
        <v>585080.06999999995</v>
      </c>
    </row>
    <row r="43" spans="1:4" x14ac:dyDescent="0.25">
      <c r="A43" s="284"/>
      <c r="B43" s="284" t="s">
        <v>318</v>
      </c>
      <c r="C43" s="284">
        <v>470219.52000000002</v>
      </c>
      <c r="D43" s="284">
        <v>473216.59</v>
      </c>
    </row>
    <row r="44" spans="1:4" x14ac:dyDescent="0.25">
      <c r="A44" s="284"/>
      <c r="B44" s="284" t="s">
        <v>319</v>
      </c>
      <c r="C44" s="284">
        <v>723578.33</v>
      </c>
      <c r="D44" s="284">
        <v>730764.24</v>
      </c>
    </row>
    <row r="45" spans="1:4" x14ac:dyDescent="0.25">
      <c r="A45" s="284"/>
      <c r="B45" s="284" t="s">
        <v>320</v>
      </c>
      <c r="C45" s="284">
        <v>504397.45</v>
      </c>
      <c r="D45" s="284">
        <v>514656.8</v>
      </c>
    </row>
    <row r="46" spans="1:4" x14ac:dyDescent="0.25">
      <c r="A46" s="284"/>
      <c r="B46" s="284" t="s">
        <v>321</v>
      </c>
      <c r="C46" s="284">
        <v>563008.22</v>
      </c>
      <c r="D46" s="284">
        <v>561953.23</v>
      </c>
    </row>
    <row r="47" spans="1:4" x14ac:dyDescent="0.25">
      <c r="A47" s="284"/>
      <c r="B47" s="284" t="s">
        <v>322</v>
      </c>
      <c r="C47" s="284">
        <v>777056.81</v>
      </c>
      <c r="D47" s="284">
        <v>802276.01</v>
      </c>
    </row>
    <row r="48" spans="1:4" x14ac:dyDescent="0.25">
      <c r="A48" s="284"/>
      <c r="B48" s="284" t="s">
        <v>323</v>
      </c>
      <c r="C48" s="284">
        <v>468020.59</v>
      </c>
      <c r="D48" s="284">
        <v>762684.81</v>
      </c>
    </row>
    <row r="49" spans="1:5" x14ac:dyDescent="0.25">
      <c r="A49" s="284"/>
      <c r="B49" s="284" t="s">
        <v>324</v>
      </c>
      <c r="C49" s="284">
        <v>1023780.54</v>
      </c>
      <c r="D49" s="284">
        <v>1142740.97</v>
      </c>
      <c r="E49" s="290"/>
    </row>
    <row r="50" spans="1:5" x14ac:dyDescent="0.25">
      <c r="A50" s="284"/>
      <c r="B50" s="284" t="s">
        <v>325</v>
      </c>
      <c r="C50" s="284">
        <v>962194.3</v>
      </c>
      <c r="D50" s="284">
        <v>1009351.5</v>
      </c>
    </row>
    <row r="51" spans="1:5" x14ac:dyDescent="0.25">
      <c r="A51" s="284"/>
      <c r="B51" s="284" t="s">
        <v>326</v>
      </c>
      <c r="C51" s="284">
        <v>1129354.32</v>
      </c>
      <c r="D51" s="284">
        <v>1421134.13</v>
      </c>
    </row>
    <row r="52" spans="1:5" x14ac:dyDescent="0.25">
      <c r="A52" s="284"/>
      <c r="B52" s="284" t="s">
        <v>327</v>
      </c>
      <c r="C52" s="284">
        <v>678960.75</v>
      </c>
      <c r="D52" s="284">
        <v>820374.56</v>
      </c>
    </row>
    <row r="53" spans="1:5" x14ac:dyDescent="0.25">
      <c r="A53" s="284"/>
      <c r="B53" s="284" t="s">
        <v>328</v>
      </c>
      <c r="C53" s="284">
        <v>918961.56</v>
      </c>
      <c r="D53" s="284">
        <v>789332.55</v>
      </c>
    </row>
    <row r="54" spans="1:5" x14ac:dyDescent="0.25">
      <c r="A54" s="284"/>
      <c r="B54" s="284" t="s">
        <v>329</v>
      </c>
      <c r="C54" s="284">
        <v>660877.28</v>
      </c>
      <c r="D54" s="284">
        <v>750965.6</v>
      </c>
    </row>
    <row r="55" spans="1:5" x14ac:dyDescent="0.25">
      <c r="A55" s="284"/>
      <c r="B55" s="284" t="s">
        <v>330</v>
      </c>
      <c r="C55" s="284">
        <v>563537.77</v>
      </c>
      <c r="D55" s="284">
        <v>607683.81999999995</v>
      </c>
    </row>
    <row r="56" spans="1:5" x14ac:dyDescent="0.25">
      <c r="A56" s="284"/>
      <c r="B56" s="284" t="s">
        <v>331</v>
      </c>
      <c r="C56" s="284">
        <v>594666.65</v>
      </c>
      <c r="D56" s="284">
        <v>666106.34</v>
      </c>
    </row>
    <row r="57" spans="1:5" x14ac:dyDescent="0.25">
      <c r="A57" s="284"/>
      <c r="B57" s="284" t="s">
        <v>332</v>
      </c>
      <c r="C57" s="284">
        <v>606676.15</v>
      </c>
      <c r="D57" s="284">
        <v>578359.48</v>
      </c>
    </row>
    <row r="58" spans="1:5" x14ac:dyDescent="0.25">
      <c r="A58" s="284"/>
      <c r="B58" s="284" t="s">
        <v>333</v>
      </c>
      <c r="C58" s="284">
        <v>996554.26</v>
      </c>
      <c r="D58" s="284">
        <v>1094693.1000000001</v>
      </c>
    </row>
    <row r="59" spans="1:5" x14ac:dyDescent="0.25">
      <c r="A59" s="284"/>
      <c r="B59" s="284" t="s">
        <v>334</v>
      </c>
      <c r="C59" s="284">
        <v>719692.27</v>
      </c>
      <c r="D59" s="284">
        <v>907660.87</v>
      </c>
    </row>
    <row r="60" spans="1:5" x14ac:dyDescent="0.25">
      <c r="A60" s="284"/>
      <c r="B60" s="284"/>
      <c r="C60" s="284"/>
      <c r="D60" s="284"/>
    </row>
    <row r="61" spans="1:5" x14ac:dyDescent="0.25">
      <c r="A61" s="284"/>
      <c r="B61" s="289" t="s">
        <v>129</v>
      </c>
      <c r="C61" s="284">
        <f>SUM(C6:C60)</f>
        <v>47279018.280000009</v>
      </c>
      <c r="D61" s="284">
        <f>SUM(D6:D60)</f>
        <v>51047555.199999996</v>
      </c>
    </row>
  </sheetData>
  <mergeCells count="1">
    <mergeCell ref="B2:E2"/>
  </mergeCells>
  <phoneticPr fontId="34" type="noConversion"/>
  <pageMargins left="0.7" right="0.7" top="0.75" bottom="0.75" header="0.3" footer="0.3"/>
  <pageSetup paperSize="9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selection activeCell="N54" sqref="N54"/>
    </sheetView>
  </sheetViews>
  <sheetFormatPr defaultRowHeight="15" x14ac:dyDescent="0.25"/>
  <cols>
    <col min="2" max="2" width="21" customWidth="1"/>
    <col min="3" max="3" width="16" customWidth="1"/>
    <col min="4" max="4" width="11" customWidth="1"/>
    <col min="5" max="5" width="14.5703125" customWidth="1"/>
    <col min="6" max="6" width="14.7109375" customWidth="1"/>
    <col min="7" max="7" width="13.42578125" customWidth="1"/>
    <col min="8" max="8" width="11.140625" customWidth="1"/>
  </cols>
  <sheetData>
    <row r="2" spans="1:12" x14ac:dyDescent="0.25">
      <c r="B2" s="283" t="s">
        <v>277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5" spans="1:12" ht="29.25" customHeight="1" x14ac:dyDescent="0.25">
      <c r="A5" s="284" t="s">
        <v>278</v>
      </c>
      <c r="B5" s="285" t="s">
        <v>279</v>
      </c>
      <c r="C5" s="297" t="s">
        <v>340</v>
      </c>
      <c r="D5" s="284" t="s">
        <v>335</v>
      </c>
      <c r="E5" s="284" t="s">
        <v>280</v>
      </c>
      <c r="F5" s="297" t="s">
        <v>336</v>
      </c>
    </row>
    <row r="6" spans="1:12" x14ac:dyDescent="0.25">
      <c r="A6" s="284">
        <v>1</v>
      </c>
      <c r="B6" s="284" t="s">
        <v>281</v>
      </c>
      <c r="C6" s="284">
        <v>62726.47</v>
      </c>
      <c r="D6" s="284">
        <v>1097068.68</v>
      </c>
      <c r="E6" s="284">
        <v>1380027.37</v>
      </c>
      <c r="F6" s="284">
        <v>-220232.22</v>
      </c>
    </row>
    <row r="7" spans="1:12" x14ac:dyDescent="0.25">
      <c r="A7" s="284">
        <v>2</v>
      </c>
      <c r="B7" s="284" t="s">
        <v>282</v>
      </c>
      <c r="C7" s="284">
        <v>-137165.06</v>
      </c>
      <c r="D7" s="284">
        <v>1406589.23</v>
      </c>
      <c r="E7" s="284">
        <v>1604257.49</v>
      </c>
      <c r="F7" s="284">
        <f>C7+D7-E7</f>
        <v>-334833.32000000007</v>
      </c>
    </row>
    <row r="8" spans="1:12" x14ac:dyDescent="0.25">
      <c r="A8" s="284">
        <v>3</v>
      </c>
      <c r="B8" s="284" t="s">
        <v>283</v>
      </c>
      <c r="C8" s="284">
        <v>-346392.71</v>
      </c>
      <c r="D8" s="284">
        <v>2387812.79</v>
      </c>
      <c r="E8" s="284">
        <v>2435472.5499999998</v>
      </c>
      <c r="F8" s="284">
        <v>-394052.75</v>
      </c>
    </row>
    <row r="9" spans="1:12" x14ac:dyDescent="0.25">
      <c r="A9" s="284">
        <v>4</v>
      </c>
      <c r="B9" s="284" t="s">
        <v>284</v>
      </c>
      <c r="C9" s="284">
        <v>-47637.21</v>
      </c>
      <c r="D9" s="284">
        <v>1014887.81</v>
      </c>
      <c r="E9" s="284">
        <v>1065416.81</v>
      </c>
      <c r="F9" s="284">
        <v>-98166.21</v>
      </c>
    </row>
    <row r="10" spans="1:12" x14ac:dyDescent="0.25">
      <c r="A10" s="284">
        <v>5</v>
      </c>
      <c r="B10" s="284" t="s">
        <v>285</v>
      </c>
      <c r="C10" s="284">
        <v>-452553.58</v>
      </c>
      <c r="D10" s="284">
        <v>2110534.21</v>
      </c>
      <c r="E10" s="284">
        <v>2086314.92</v>
      </c>
      <c r="F10" s="284">
        <v>-428334.29</v>
      </c>
    </row>
    <row r="11" spans="1:12" x14ac:dyDescent="0.25">
      <c r="A11" s="284">
        <v>6</v>
      </c>
      <c r="B11" s="284" t="s">
        <v>286</v>
      </c>
      <c r="C11" s="284">
        <v>-87899.31</v>
      </c>
      <c r="D11" s="284">
        <v>830894.3</v>
      </c>
      <c r="E11" s="284">
        <v>621870.64</v>
      </c>
      <c r="F11" s="284">
        <v>121124.35</v>
      </c>
    </row>
    <row r="12" spans="1:12" x14ac:dyDescent="0.25">
      <c r="A12" s="284">
        <v>7</v>
      </c>
      <c r="B12" s="284" t="s">
        <v>288</v>
      </c>
      <c r="C12" s="284">
        <v>143294.62</v>
      </c>
      <c r="D12" s="284">
        <v>396983.43</v>
      </c>
      <c r="E12" s="284">
        <v>551691.31000000006</v>
      </c>
      <c r="F12" s="284">
        <v>-11413.26</v>
      </c>
    </row>
    <row r="13" spans="1:12" x14ac:dyDescent="0.25">
      <c r="A13" s="284">
        <v>8</v>
      </c>
      <c r="B13" s="284" t="s">
        <v>289</v>
      </c>
      <c r="C13" s="284">
        <v>12966.66</v>
      </c>
      <c r="D13" s="284">
        <v>1371950.02</v>
      </c>
      <c r="E13" s="284">
        <v>1480570.4</v>
      </c>
      <c r="F13" s="284">
        <v>-95653.72</v>
      </c>
    </row>
    <row r="14" spans="1:12" x14ac:dyDescent="0.25">
      <c r="A14" s="284">
        <v>9</v>
      </c>
      <c r="B14" s="284" t="s">
        <v>287</v>
      </c>
      <c r="C14" s="284">
        <v>597366.03</v>
      </c>
      <c r="D14" s="284">
        <v>703313.73</v>
      </c>
      <c r="E14" s="284">
        <v>825198.37</v>
      </c>
      <c r="F14" s="284">
        <v>475481.39</v>
      </c>
    </row>
    <row r="15" spans="1:12" x14ac:dyDescent="0.25">
      <c r="A15" s="284">
        <v>10</v>
      </c>
      <c r="B15" s="284" t="s">
        <v>290</v>
      </c>
      <c r="C15" s="284">
        <v>-26528.09</v>
      </c>
      <c r="D15" s="284">
        <v>1633715.88</v>
      </c>
      <c r="E15" s="284">
        <v>1904072.95</v>
      </c>
      <c r="F15" s="284">
        <v>-296885.15999999997</v>
      </c>
    </row>
    <row r="16" spans="1:12" x14ac:dyDescent="0.25">
      <c r="A16" s="284">
        <v>11</v>
      </c>
      <c r="B16" s="284" t="s">
        <v>291</v>
      </c>
      <c r="C16" s="284">
        <v>-20601.62</v>
      </c>
      <c r="D16" s="284">
        <v>674853.93</v>
      </c>
      <c r="E16" s="284">
        <v>711353.2</v>
      </c>
      <c r="F16" s="284">
        <f>C16+D16-E16</f>
        <v>-57100.889999999898</v>
      </c>
    </row>
    <row r="17" spans="1:6" x14ac:dyDescent="0.25">
      <c r="A17" s="284">
        <v>12</v>
      </c>
      <c r="B17" s="284" t="s">
        <v>292</v>
      </c>
      <c r="C17" s="284">
        <v>135299.04</v>
      </c>
      <c r="D17" s="284">
        <v>681322.46</v>
      </c>
      <c r="E17" s="284">
        <v>639147.84</v>
      </c>
      <c r="F17" s="284">
        <v>177473.66</v>
      </c>
    </row>
    <row r="18" spans="1:6" x14ac:dyDescent="0.25">
      <c r="A18" s="284">
        <v>13</v>
      </c>
      <c r="B18" s="284" t="s">
        <v>293</v>
      </c>
      <c r="C18" s="284">
        <v>-1767.46</v>
      </c>
      <c r="D18" s="284">
        <v>427085.19</v>
      </c>
      <c r="E18" s="284">
        <v>482359.76</v>
      </c>
      <c r="F18" s="284">
        <v>-57042.03</v>
      </c>
    </row>
    <row r="19" spans="1:6" x14ac:dyDescent="0.25">
      <c r="A19" s="284">
        <v>14</v>
      </c>
      <c r="B19" s="284" t="s">
        <v>294</v>
      </c>
      <c r="C19" s="284">
        <v>148224.15</v>
      </c>
      <c r="D19" s="284">
        <v>675810.33</v>
      </c>
      <c r="E19" s="284">
        <v>823101.8</v>
      </c>
      <c r="F19" s="284">
        <v>932.68</v>
      </c>
    </row>
    <row r="20" spans="1:6" x14ac:dyDescent="0.25">
      <c r="A20" s="284">
        <v>15</v>
      </c>
      <c r="B20" s="284" t="s">
        <v>295</v>
      </c>
      <c r="C20" s="284">
        <v>-141698.54</v>
      </c>
      <c r="D20" s="284">
        <v>408412.93</v>
      </c>
      <c r="E20" s="284">
        <v>412041.76</v>
      </c>
      <c r="F20" s="284">
        <v>-145327.37</v>
      </c>
    </row>
    <row r="21" spans="1:6" x14ac:dyDescent="0.25">
      <c r="A21" s="284">
        <v>16</v>
      </c>
      <c r="B21" s="284" t="s">
        <v>296</v>
      </c>
      <c r="C21" s="284">
        <v>-91393.99</v>
      </c>
      <c r="D21" s="284">
        <v>686543.94</v>
      </c>
      <c r="E21" s="284">
        <v>800116.62</v>
      </c>
      <c r="F21" s="284">
        <v>-204966.67</v>
      </c>
    </row>
    <row r="22" spans="1:6" x14ac:dyDescent="0.25">
      <c r="A22" s="284">
        <v>17</v>
      </c>
      <c r="B22" s="284" t="s">
        <v>297</v>
      </c>
      <c r="C22" s="284">
        <v>-103327.51</v>
      </c>
      <c r="D22" s="284">
        <v>834376.65</v>
      </c>
      <c r="E22" s="284">
        <v>757725.34</v>
      </c>
      <c r="F22" s="284">
        <v>-26676.2</v>
      </c>
    </row>
    <row r="23" spans="1:6" x14ac:dyDescent="0.25">
      <c r="A23" s="284">
        <v>18</v>
      </c>
      <c r="B23" s="284" t="s">
        <v>298</v>
      </c>
      <c r="C23" s="284">
        <v>403672.48</v>
      </c>
      <c r="D23" s="284">
        <v>884928.5</v>
      </c>
      <c r="E23" s="284">
        <v>928701.81</v>
      </c>
      <c r="F23" s="284">
        <v>359899.17</v>
      </c>
    </row>
    <row r="24" spans="1:6" x14ac:dyDescent="0.25">
      <c r="A24" s="284">
        <v>19</v>
      </c>
      <c r="B24" s="284" t="s">
        <v>299</v>
      </c>
      <c r="C24" s="284">
        <v>41162.980000000003</v>
      </c>
      <c r="D24" s="284">
        <v>755292.55</v>
      </c>
      <c r="E24" s="284">
        <v>786671</v>
      </c>
      <c r="F24" s="284">
        <v>9784.5300000000007</v>
      </c>
    </row>
    <row r="25" spans="1:6" x14ac:dyDescent="0.25">
      <c r="A25" s="284">
        <v>20</v>
      </c>
      <c r="B25" s="284" t="s">
        <v>300</v>
      </c>
      <c r="C25" s="284">
        <v>161269.28</v>
      </c>
      <c r="D25" s="284">
        <v>845558.29</v>
      </c>
      <c r="E25" s="284">
        <v>1143213.6100000001</v>
      </c>
      <c r="F25" s="284">
        <v>-136386.04</v>
      </c>
    </row>
    <row r="26" spans="1:6" x14ac:dyDescent="0.25">
      <c r="A26" s="284">
        <v>21</v>
      </c>
      <c r="B26" s="284" t="s">
        <v>301</v>
      </c>
      <c r="C26" s="284">
        <v>141572.42000000001</v>
      </c>
      <c r="D26" s="284">
        <v>624763.91</v>
      </c>
      <c r="E26" s="284">
        <v>737050.7</v>
      </c>
      <c r="F26" s="284">
        <v>29285.63</v>
      </c>
    </row>
    <row r="27" spans="1:6" x14ac:dyDescent="0.25">
      <c r="A27" s="284">
        <v>22</v>
      </c>
      <c r="B27" s="284" t="s">
        <v>302</v>
      </c>
      <c r="C27" s="284">
        <v>249757.58</v>
      </c>
      <c r="D27" s="284">
        <v>1924093.26</v>
      </c>
      <c r="E27" s="284">
        <v>1628336.92</v>
      </c>
      <c r="F27" s="284">
        <v>545513.92000000004</v>
      </c>
    </row>
    <row r="28" spans="1:6" x14ac:dyDescent="0.25">
      <c r="A28" s="284">
        <v>23</v>
      </c>
      <c r="B28" s="284" t="s">
        <v>303</v>
      </c>
      <c r="C28" s="284">
        <v>171887.41</v>
      </c>
      <c r="D28" s="284">
        <v>985965.82</v>
      </c>
      <c r="E28" s="284">
        <v>1060922.97</v>
      </c>
      <c r="F28" s="284">
        <v>96930.26</v>
      </c>
    </row>
    <row r="29" spans="1:6" x14ac:dyDescent="0.25">
      <c r="A29" s="284">
        <v>24</v>
      </c>
      <c r="B29" s="284" t="s">
        <v>304</v>
      </c>
      <c r="C29" s="284">
        <v>546686</v>
      </c>
      <c r="D29" s="284">
        <v>572092.98</v>
      </c>
      <c r="E29" s="284">
        <v>537966.29</v>
      </c>
      <c r="F29" s="284">
        <v>580812.68999999994</v>
      </c>
    </row>
    <row r="30" spans="1:6" x14ac:dyDescent="0.25">
      <c r="A30" s="284">
        <v>25</v>
      </c>
      <c r="B30" s="284" t="s">
        <v>305</v>
      </c>
      <c r="C30" s="284">
        <v>138382.89000000001</v>
      </c>
      <c r="D30" s="284">
        <v>566378.98</v>
      </c>
      <c r="E30" s="284">
        <v>562965.44999999995</v>
      </c>
      <c r="F30" s="284">
        <v>141796.42000000001</v>
      </c>
    </row>
    <row r="31" spans="1:6" x14ac:dyDescent="0.25">
      <c r="A31" s="284">
        <v>26</v>
      </c>
      <c r="B31" s="284" t="s">
        <v>337</v>
      </c>
      <c r="C31" s="284">
        <v>-157371.32</v>
      </c>
      <c r="D31" s="284">
        <v>222602.72</v>
      </c>
      <c r="E31" s="284">
        <v>418380.43</v>
      </c>
      <c r="F31" s="284">
        <v>-353149.03</v>
      </c>
    </row>
    <row r="32" spans="1:6" x14ac:dyDescent="0.25">
      <c r="A32" s="284">
        <v>27</v>
      </c>
      <c r="B32" s="284" t="s">
        <v>306</v>
      </c>
      <c r="C32" s="284">
        <v>-82417.820000000007</v>
      </c>
      <c r="D32" s="284">
        <v>732423.22</v>
      </c>
      <c r="E32" s="284">
        <v>718835.72</v>
      </c>
      <c r="F32" s="284">
        <v>-68830.320000000007</v>
      </c>
    </row>
    <row r="33" spans="1:6" x14ac:dyDescent="0.25">
      <c r="A33" s="284">
        <v>28</v>
      </c>
      <c r="B33" s="284" t="s">
        <v>307</v>
      </c>
      <c r="C33" s="284">
        <v>-170300.37</v>
      </c>
      <c r="D33" s="284">
        <v>425236.39</v>
      </c>
      <c r="E33" s="284">
        <v>630682.69999999995</v>
      </c>
      <c r="F33" s="284">
        <v>-375746.68</v>
      </c>
    </row>
    <row r="34" spans="1:6" x14ac:dyDescent="0.25">
      <c r="A34" s="284">
        <v>29</v>
      </c>
      <c r="B34" s="284" t="s">
        <v>308</v>
      </c>
      <c r="C34" s="284">
        <v>-594229.48</v>
      </c>
      <c r="D34" s="284">
        <v>978194.86</v>
      </c>
      <c r="E34" s="284">
        <v>930125.68</v>
      </c>
      <c r="F34" s="284">
        <v>-546160.30000000005</v>
      </c>
    </row>
    <row r="35" spans="1:6" x14ac:dyDescent="0.25">
      <c r="A35" s="284">
        <v>30</v>
      </c>
      <c r="B35" s="284" t="s">
        <v>309</v>
      </c>
      <c r="C35" s="284">
        <v>-351517.7</v>
      </c>
      <c r="D35" s="284">
        <v>1127772.97</v>
      </c>
      <c r="E35" s="284">
        <v>1139326.22</v>
      </c>
      <c r="F35" s="284">
        <v>-363070.95</v>
      </c>
    </row>
    <row r="36" spans="1:6" x14ac:dyDescent="0.25">
      <c r="A36" s="284">
        <v>31</v>
      </c>
      <c r="B36" s="284" t="s">
        <v>310</v>
      </c>
      <c r="C36" s="284">
        <v>-267771.57</v>
      </c>
      <c r="D36" s="284">
        <v>1175784.6200000001</v>
      </c>
      <c r="E36" s="284">
        <v>1203845.76</v>
      </c>
      <c r="F36" s="284">
        <v>-295832.71000000002</v>
      </c>
    </row>
    <row r="37" spans="1:6" x14ac:dyDescent="0.25">
      <c r="A37" s="284">
        <v>32</v>
      </c>
      <c r="B37" s="284" t="s">
        <v>338</v>
      </c>
      <c r="C37" s="284">
        <v>0</v>
      </c>
      <c r="D37" s="284">
        <v>121854.02</v>
      </c>
      <c r="E37" s="284">
        <v>240648.03</v>
      </c>
      <c r="F37" s="284">
        <v>-118794.01</v>
      </c>
    </row>
    <row r="38" spans="1:6" x14ac:dyDescent="0.25">
      <c r="A38" s="284">
        <v>33</v>
      </c>
      <c r="B38" s="284" t="s">
        <v>311</v>
      </c>
      <c r="C38" s="284">
        <v>-370811.51</v>
      </c>
      <c r="D38" s="284">
        <v>1697762.4</v>
      </c>
      <c r="E38" s="284">
        <v>1631441.13</v>
      </c>
      <c r="F38" s="284">
        <f>C38+D38-E38</f>
        <v>-304490.23999999999</v>
      </c>
    </row>
    <row r="39" spans="1:6" x14ac:dyDescent="0.25">
      <c r="A39" s="284">
        <v>34</v>
      </c>
      <c r="B39" s="284" t="s">
        <v>312</v>
      </c>
      <c r="C39" s="284">
        <v>430073.47</v>
      </c>
      <c r="D39" s="284">
        <v>1061935.29</v>
      </c>
      <c r="E39" s="284">
        <v>1367686.51</v>
      </c>
      <c r="F39" s="284">
        <v>124322.25</v>
      </c>
    </row>
    <row r="40" spans="1:6" x14ac:dyDescent="0.25">
      <c r="A40" s="284">
        <v>35</v>
      </c>
      <c r="B40" s="284" t="s">
        <v>313</v>
      </c>
      <c r="C40" s="284">
        <v>227577.96</v>
      </c>
      <c r="D40" s="284">
        <v>914668.67</v>
      </c>
      <c r="E40" s="284">
        <v>1190501.1299999999</v>
      </c>
      <c r="F40" s="284">
        <v>-48254.5</v>
      </c>
    </row>
    <row r="41" spans="1:6" ht="27.75" customHeight="1" x14ac:dyDescent="0.25">
      <c r="A41" s="286">
        <v>36</v>
      </c>
      <c r="B41" s="287" t="s">
        <v>315</v>
      </c>
      <c r="C41" s="296">
        <v>25261.21</v>
      </c>
      <c r="D41" s="288">
        <v>626889.84</v>
      </c>
      <c r="E41" s="284">
        <v>772426.08</v>
      </c>
      <c r="F41" s="296">
        <v>-120275.03</v>
      </c>
    </row>
    <row r="42" spans="1:6" x14ac:dyDescent="0.25">
      <c r="A42" s="284">
        <v>37</v>
      </c>
      <c r="B42" s="284" t="s">
        <v>314</v>
      </c>
      <c r="C42" s="284">
        <v>-288275</v>
      </c>
      <c r="D42" s="284">
        <v>1071546.21</v>
      </c>
      <c r="E42" s="284">
        <v>1118434.47</v>
      </c>
      <c r="F42" s="284">
        <v>-335163.26</v>
      </c>
    </row>
    <row r="43" spans="1:6" x14ac:dyDescent="0.25">
      <c r="A43" s="284">
        <v>38</v>
      </c>
      <c r="B43" s="284" t="s">
        <v>316</v>
      </c>
      <c r="C43" s="284">
        <v>5540.9</v>
      </c>
      <c r="D43" s="284">
        <v>141633.28</v>
      </c>
      <c r="E43" s="284">
        <v>158647.25</v>
      </c>
      <c r="F43" s="284">
        <v>-11473.07</v>
      </c>
    </row>
    <row r="44" spans="1:6" x14ac:dyDescent="0.25">
      <c r="A44" s="284">
        <v>39</v>
      </c>
      <c r="B44" s="284" t="s">
        <v>317</v>
      </c>
      <c r="C44" s="284">
        <v>32732.38</v>
      </c>
      <c r="D44" s="284">
        <v>462404.01</v>
      </c>
      <c r="E44" s="284">
        <v>585080.06999999995</v>
      </c>
      <c r="F44" s="284">
        <v>-89943.679999999993</v>
      </c>
    </row>
    <row r="45" spans="1:6" x14ac:dyDescent="0.25">
      <c r="A45" s="284">
        <v>40</v>
      </c>
      <c r="B45" s="284" t="s">
        <v>318</v>
      </c>
      <c r="C45" s="284">
        <v>143931.31</v>
      </c>
      <c r="D45" s="284">
        <v>470219.52000000002</v>
      </c>
      <c r="E45" s="284">
        <v>473216.59</v>
      </c>
      <c r="F45" s="284">
        <v>140934.24</v>
      </c>
    </row>
    <row r="46" spans="1:6" x14ac:dyDescent="0.25">
      <c r="A46" s="284">
        <v>41</v>
      </c>
      <c r="B46" s="284" t="s">
        <v>339</v>
      </c>
      <c r="C46" s="284">
        <v>-235856.69</v>
      </c>
      <c r="D46" s="284">
        <v>50450.83</v>
      </c>
      <c r="E46" s="284">
        <v>105721.95</v>
      </c>
      <c r="F46" s="284">
        <v>-291127.81</v>
      </c>
    </row>
    <row r="47" spans="1:6" x14ac:dyDescent="0.25">
      <c r="A47" s="284">
        <v>42</v>
      </c>
      <c r="B47" s="284" t="s">
        <v>319</v>
      </c>
      <c r="C47" s="284">
        <v>90403.51</v>
      </c>
      <c r="D47" s="284">
        <v>723578.33</v>
      </c>
      <c r="E47" s="284">
        <v>730764.24</v>
      </c>
      <c r="F47" s="284">
        <v>83217.600000000006</v>
      </c>
    </row>
    <row r="48" spans="1:6" x14ac:dyDescent="0.25">
      <c r="A48" s="284">
        <v>43</v>
      </c>
      <c r="B48" s="284" t="s">
        <v>320</v>
      </c>
      <c r="C48" s="284">
        <v>309930.25</v>
      </c>
      <c r="D48" s="284">
        <v>504397.45</v>
      </c>
      <c r="E48" s="284">
        <v>514656.8</v>
      </c>
      <c r="F48" s="284">
        <v>299670.90000000002</v>
      </c>
    </row>
    <row r="49" spans="1:6" x14ac:dyDescent="0.25">
      <c r="A49" s="284">
        <v>44</v>
      </c>
      <c r="B49" s="284" t="s">
        <v>321</v>
      </c>
      <c r="C49" s="284">
        <v>-43557</v>
      </c>
      <c r="D49" s="284">
        <v>563008.22</v>
      </c>
      <c r="E49" s="284">
        <v>561913.23</v>
      </c>
      <c r="F49" s="284">
        <v>-42462.01</v>
      </c>
    </row>
    <row r="50" spans="1:6" x14ac:dyDescent="0.25">
      <c r="A50" s="284">
        <v>45</v>
      </c>
      <c r="B50" s="284" t="s">
        <v>322</v>
      </c>
      <c r="C50" s="284">
        <v>493154.12</v>
      </c>
      <c r="D50" s="284">
        <v>777056.81</v>
      </c>
      <c r="E50" s="284">
        <v>802276.01</v>
      </c>
      <c r="F50" s="284">
        <v>467934.92</v>
      </c>
    </row>
    <row r="51" spans="1:6" x14ac:dyDescent="0.25">
      <c r="A51" s="284">
        <v>46</v>
      </c>
      <c r="B51" s="284" t="s">
        <v>323</v>
      </c>
      <c r="C51" s="284">
        <v>258402.22</v>
      </c>
      <c r="D51" s="284">
        <v>468020.59</v>
      </c>
      <c r="E51" s="284">
        <v>762684.81</v>
      </c>
      <c r="F51" s="284">
        <v>-36262</v>
      </c>
    </row>
    <row r="52" spans="1:6" x14ac:dyDescent="0.25">
      <c r="A52" s="284">
        <v>47</v>
      </c>
      <c r="B52" s="284" t="s">
        <v>324</v>
      </c>
      <c r="C52" s="284">
        <v>218095.33</v>
      </c>
      <c r="D52" s="284">
        <v>1023780.54</v>
      </c>
      <c r="E52" s="284">
        <v>1142740.97</v>
      </c>
      <c r="F52" s="284">
        <v>99134.9</v>
      </c>
    </row>
    <row r="53" spans="1:6" x14ac:dyDescent="0.25">
      <c r="A53" s="284">
        <v>48</v>
      </c>
      <c r="B53" s="284" t="s">
        <v>325</v>
      </c>
      <c r="C53" s="284">
        <v>120423.54</v>
      </c>
      <c r="D53" s="284">
        <v>962194.3</v>
      </c>
      <c r="E53" s="284">
        <v>1009351.5</v>
      </c>
      <c r="F53" s="284">
        <v>73266.34</v>
      </c>
    </row>
    <row r="54" spans="1:6" x14ac:dyDescent="0.25">
      <c r="A54" s="284">
        <v>49</v>
      </c>
      <c r="B54" s="284" t="s">
        <v>326</v>
      </c>
      <c r="C54" s="284">
        <v>711063.57</v>
      </c>
      <c r="D54" s="284">
        <v>1129354.32</v>
      </c>
      <c r="E54" s="284">
        <v>1421134.13</v>
      </c>
      <c r="F54" s="284">
        <v>419283.76</v>
      </c>
    </row>
    <row r="55" spans="1:6" x14ac:dyDescent="0.25">
      <c r="A55" s="284">
        <v>50</v>
      </c>
      <c r="B55" s="284" t="s">
        <v>327</v>
      </c>
      <c r="C55" s="284">
        <v>-44246.92</v>
      </c>
      <c r="D55" s="284">
        <v>678960.75</v>
      </c>
      <c r="E55" s="284">
        <v>820374.56</v>
      </c>
      <c r="F55" s="284">
        <v>-185660.73</v>
      </c>
    </row>
    <row r="56" spans="1:6" x14ac:dyDescent="0.25">
      <c r="A56" s="284">
        <v>51</v>
      </c>
      <c r="B56" s="284" t="s">
        <v>328</v>
      </c>
      <c r="C56" s="284">
        <v>358164.38</v>
      </c>
      <c r="D56" s="284">
        <v>918961.56</v>
      </c>
      <c r="E56" s="284">
        <v>789332.55</v>
      </c>
      <c r="F56" s="284">
        <v>487793.39</v>
      </c>
    </row>
    <row r="57" spans="1:6" x14ac:dyDescent="0.25">
      <c r="A57" s="284">
        <v>52</v>
      </c>
      <c r="B57" s="284" t="s">
        <v>329</v>
      </c>
      <c r="C57" s="284">
        <v>323368.11</v>
      </c>
      <c r="D57" s="284">
        <v>660877.28</v>
      </c>
      <c r="E57" s="284">
        <v>750965.6</v>
      </c>
      <c r="F57" s="284">
        <v>233279.79</v>
      </c>
    </row>
    <row r="58" spans="1:6" x14ac:dyDescent="0.25">
      <c r="A58" s="284">
        <v>53</v>
      </c>
      <c r="B58" s="284" t="s">
        <v>330</v>
      </c>
      <c r="C58" s="284">
        <v>-69776.09</v>
      </c>
      <c r="D58" s="284">
        <v>563537.77</v>
      </c>
      <c r="E58" s="284">
        <v>607683.81999999995</v>
      </c>
      <c r="F58" s="284">
        <v>-113922.14</v>
      </c>
    </row>
    <row r="59" spans="1:6" x14ac:dyDescent="0.25">
      <c r="A59" s="284">
        <v>54</v>
      </c>
      <c r="B59" s="284" t="s">
        <v>331</v>
      </c>
      <c r="C59" s="284">
        <v>-26875.85</v>
      </c>
      <c r="D59" s="284">
        <v>594666.65</v>
      </c>
      <c r="E59" s="284">
        <v>666106.34</v>
      </c>
      <c r="F59" s="284">
        <v>-98315.54</v>
      </c>
    </row>
    <row r="60" spans="1:6" x14ac:dyDescent="0.25">
      <c r="A60" s="284">
        <v>55</v>
      </c>
      <c r="B60" s="284" t="s">
        <v>332</v>
      </c>
      <c r="C60" s="284">
        <v>170918.71</v>
      </c>
      <c r="D60" s="284">
        <v>606676.15</v>
      </c>
      <c r="E60" s="284">
        <v>578359.48</v>
      </c>
      <c r="F60" s="284">
        <v>199235.38</v>
      </c>
    </row>
    <row r="61" spans="1:6" x14ac:dyDescent="0.25">
      <c r="A61" s="284">
        <v>56</v>
      </c>
      <c r="B61" s="284" t="s">
        <v>333</v>
      </c>
      <c r="C61" s="284">
        <v>-2148.42</v>
      </c>
      <c r="D61" s="284">
        <v>996554.26</v>
      </c>
      <c r="E61" s="284">
        <v>1094693.1000000001</v>
      </c>
      <c r="F61" s="284">
        <v>-100287.26</v>
      </c>
    </row>
    <row r="62" spans="1:6" x14ac:dyDescent="0.25">
      <c r="A62" s="284">
        <v>57</v>
      </c>
      <c r="B62" s="284" t="s">
        <v>334</v>
      </c>
      <c r="C62" s="284">
        <v>82034.39</v>
      </c>
      <c r="D62" s="284">
        <v>719692.27</v>
      </c>
      <c r="E62" s="284">
        <v>907660.87</v>
      </c>
      <c r="F62" s="284">
        <v>-105934.21</v>
      </c>
    </row>
    <row r="63" spans="1:6" x14ac:dyDescent="0.25">
      <c r="A63" s="284"/>
      <c r="B63" s="284"/>
      <c r="C63" s="284"/>
      <c r="D63" s="284"/>
      <c r="E63" s="284"/>
      <c r="F63" s="284"/>
    </row>
    <row r="64" spans="1:6" x14ac:dyDescent="0.25">
      <c r="A64" s="284"/>
      <c r="B64" s="289" t="s">
        <v>129</v>
      </c>
      <c r="C64" s="289"/>
      <c r="D64" s="284">
        <f>SUM(D6:D63)</f>
        <v>47673925.900000006</v>
      </c>
      <c r="E64" s="284">
        <f>SUM(E6:E63)</f>
        <v>51812265.609999999</v>
      </c>
      <c r="F64" s="289"/>
    </row>
  </sheetData>
  <phoneticPr fontId="34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41" workbookViewId="0">
      <selection activeCell="F19" sqref="F19:R59"/>
    </sheetView>
  </sheetViews>
  <sheetFormatPr defaultColWidth="9" defaultRowHeight="14.25" x14ac:dyDescent="0.2"/>
  <cols>
    <col min="1" max="1" width="6.28515625" style="1" customWidth="1"/>
    <col min="2" max="2" width="37.28515625" style="1" customWidth="1"/>
    <col min="3" max="3" width="7.7109375" style="1" customWidth="1"/>
    <col min="4" max="4" width="12.85546875" style="1" customWidth="1"/>
    <col min="5" max="5" width="13.5703125" style="1" customWidth="1"/>
    <col min="6" max="7" width="11.7109375" style="1" customWidth="1"/>
    <col min="8" max="8" width="12" style="1" customWidth="1"/>
    <col min="9" max="9" width="13.140625" style="1" customWidth="1"/>
    <col min="10" max="10" width="9" style="1"/>
    <col min="11" max="11" width="9.5703125" style="1" customWidth="1"/>
    <col min="12" max="12" width="9" style="1"/>
    <col min="13" max="13" width="9.5703125" style="1" customWidth="1"/>
    <col min="14" max="14" width="9.28515625" style="1" customWidth="1"/>
    <col min="15" max="16384" width="9" style="1"/>
  </cols>
  <sheetData>
    <row r="1" spans="1:7" ht="15" x14ac:dyDescent="0.25">
      <c r="B1" s="82" t="s">
        <v>0</v>
      </c>
      <c r="C1" s="2"/>
      <c r="D1" s="3"/>
      <c r="G1" s="2"/>
    </row>
    <row r="2" spans="1:7" ht="15" customHeight="1" x14ac:dyDescent="0.25">
      <c r="A2" s="298" t="s">
        <v>111</v>
      </c>
      <c r="B2" s="298"/>
      <c r="C2" s="298"/>
      <c r="D2" s="298"/>
      <c r="E2" s="298"/>
      <c r="F2" s="4"/>
      <c r="G2" s="2"/>
    </row>
    <row r="3" spans="1:7" ht="15" customHeight="1" x14ac:dyDescent="0.25">
      <c r="A3" s="4"/>
      <c r="B3" s="298" t="s">
        <v>181</v>
      </c>
      <c r="C3" s="298"/>
      <c r="D3" s="298"/>
      <c r="E3" s="298"/>
      <c r="G3" s="2"/>
    </row>
    <row r="4" spans="1:7" ht="15" customHeight="1" x14ac:dyDescent="0.25">
      <c r="A4" s="4"/>
      <c r="B4" s="291"/>
      <c r="C4" s="291"/>
      <c r="D4" s="291"/>
      <c r="E4" s="291"/>
      <c r="G4" s="2"/>
    </row>
    <row r="5" spans="1:7" ht="15" x14ac:dyDescent="0.25">
      <c r="B5" s="163" t="s">
        <v>182</v>
      </c>
      <c r="C5" s="163"/>
      <c r="D5" s="163">
        <v>294262.02</v>
      </c>
      <c r="E5" s="168"/>
      <c r="G5" s="2"/>
    </row>
    <row r="6" spans="1:7" ht="15" x14ac:dyDescent="0.25">
      <c r="A6" s="6"/>
      <c r="B6" s="164" t="s">
        <v>211</v>
      </c>
      <c r="C6" s="167" t="s">
        <v>6</v>
      </c>
      <c r="D6" s="161">
        <v>-87899.31</v>
      </c>
      <c r="E6" s="160"/>
      <c r="G6" s="2"/>
    </row>
    <row r="7" spans="1:7" x14ac:dyDescent="0.2">
      <c r="A7" s="6"/>
      <c r="B7" s="165" t="s">
        <v>2</v>
      </c>
      <c r="C7" s="167" t="s">
        <v>112</v>
      </c>
      <c r="D7" s="160">
        <v>6568.9</v>
      </c>
      <c r="E7" s="160"/>
      <c r="F7" s="155"/>
      <c r="G7" s="153"/>
    </row>
    <row r="8" spans="1:7" x14ac:dyDescent="0.2">
      <c r="A8" s="6"/>
      <c r="B8" s="165" t="s">
        <v>4</v>
      </c>
      <c r="C8" s="167" t="s">
        <v>112</v>
      </c>
      <c r="D8" s="160">
        <v>4261</v>
      </c>
      <c r="E8" s="160"/>
      <c r="F8" s="155"/>
      <c r="G8" s="153"/>
    </row>
    <row r="9" spans="1:7" x14ac:dyDescent="0.2">
      <c r="A9" s="6"/>
      <c r="B9" s="166" t="s">
        <v>5</v>
      </c>
      <c r="C9" s="164" t="s">
        <v>6</v>
      </c>
      <c r="D9" s="161">
        <v>819056.21</v>
      </c>
      <c r="E9" s="160"/>
      <c r="F9" s="155"/>
      <c r="G9" s="153"/>
    </row>
    <row r="10" spans="1:7" ht="15" x14ac:dyDescent="0.25">
      <c r="A10" s="6"/>
      <c r="B10" s="164"/>
      <c r="C10" s="164"/>
      <c r="D10" s="160"/>
      <c r="E10" s="160"/>
      <c r="F10" s="2"/>
    </row>
    <row r="11" spans="1:7" ht="15" x14ac:dyDescent="0.25">
      <c r="A11" s="6"/>
      <c r="B11" s="166" t="s">
        <v>7</v>
      </c>
      <c r="C11" s="164"/>
      <c r="D11" s="160"/>
      <c r="E11" s="160"/>
      <c r="F11" s="2"/>
    </row>
    <row r="12" spans="1:7" ht="15" x14ac:dyDescent="0.25">
      <c r="A12" s="6">
        <v>1</v>
      </c>
      <c r="B12" s="167" t="s">
        <v>84</v>
      </c>
      <c r="C12" s="167" t="s">
        <v>6</v>
      </c>
      <c r="D12" s="160">
        <v>771404.35</v>
      </c>
      <c r="E12" s="160"/>
      <c r="F12" s="2"/>
    </row>
    <row r="13" spans="1:7" ht="15" x14ac:dyDescent="0.25">
      <c r="A13" s="6">
        <v>2</v>
      </c>
      <c r="B13" s="167" t="s">
        <v>113</v>
      </c>
      <c r="C13" s="167" t="s">
        <v>6</v>
      </c>
      <c r="D13" s="160">
        <v>41189.949999999997</v>
      </c>
      <c r="E13" s="160"/>
      <c r="F13" s="2"/>
    </row>
    <row r="14" spans="1:7" ht="15" x14ac:dyDescent="0.25">
      <c r="A14" s="6">
        <v>3</v>
      </c>
      <c r="B14" s="167" t="s">
        <v>9</v>
      </c>
      <c r="C14" s="167" t="s">
        <v>6</v>
      </c>
      <c r="D14" s="160">
        <f>3000+6300+9000</f>
        <v>18300</v>
      </c>
      <c r="E14" s="160"/>
      <c r="F14" s="2"/>
    </row>
    <row r="15" spans="1:7" ht="15" x14ac:dyDescent="0.25">
      <c r="A15" s="6"/>
      <c r="B15" s="166" t="s">
        <v>10</v>
      </c>
      <c r="C15" s="164" t="s">
        <v>6</v>
      </c>
      <c r="D15" s="161">
        <f>D12+D13+D14</f>
        <v>830894.29999999993</v>
      </c>
      <c r="E15" s="160"/>
      <c r="F15" s="2"/>
    </row>
    <row r="16" spans="1:7" ht="15" x14ac:dyDescent="0.25">
      <c r="B16" s="5"/>
      <c r="C16" s="5"/>
      <c r="F16" s="2"/>
    </row>
    <row r="17" spans="1:6" ht="15" x14ac:dyDescent="0.25">
      <c r="B17" s="87" t="s">
        <v>11</v>
      </c>
      <c r="C17" s="5"/>
      <c r="F17" s="2"/>
    </row>
    <row r="18" spans="1:6" ht="15" x14ac:dyDescent="0.25">
      <c r="A18" s="13"/>
      <c r="B18" s="14"/>
      <c r="C18" s="14"/>
      <c r="D18" s="13"/>
      <c r="E18" s="13"/>
      <c r="F18" s="2"/>
    </row>
    <row r="19" spans="1:6" ht="15" x14ac:dyDescent="0.25">
      <c r="A19" s="15" t="s">
        <v>12</v>
      </c>
      <c r="B19" s="16"/>
      <c r="C19" s="17" t="s">
        <v>85</v>
      </c>
      <c r="D19" s="137" t="s">
        <v>114</v>
      </c>
      <c r="E19" s="137" t="s">
        <v>86</v>
      </c>
      <c r="F19" s="2"/>
    </row>
    <row r="20" spans="1:6" ht="15" x14ac:dyDescent="0.25">
      <c r="A20" s="15" t="s">
        <v>15</v>
      </c>
      <c r="B20" s="20" t="s">
        <v>16</v>
      </c>
      <c r="C20" s="20" t="s">
        <v>87</v>
      </c>
      <c r="D20" s="137" t="s">
        <v>17</v>
      </c>
      <c r="E20" s="125"/>
      <c r="F20" s="2"/>
    </row>
    <row r="21" spans="1:6" ht="26.25" x14ac:dyDescent="0.25">
      <c r="A21" s="22" t="s">
        <v>18</v>
      </c>
      <c r="B21" s="23" t="s">
        <v>88</v>
      </c>
      <c r="C21" s="24"/>
      <c r="D21" s="6"/>
      <c r="E21" s="6"/>
      <c r="F21" s="2"/>
    </row>
    <row r="22" spans="1:6" ht="51.75" x14ac:dyDescent="0.25">
      <c r="A22" s="22"/>
      <c r="B22" s="25" t="s">
        <v>20</v>
      </c>
      <c r="C22" s="26" t="s">
        <v>6</v>
      </c>
      <c r="D22" s="216">
        <f>D23+D24+D25</f>
        <v>140092.64000000001</v>
      </c>
      <c r="E22" s="6"/>
      <c r="F22" s="2"/>
    </row>
    <row r="23" spans="1:6" ht="90.75" x14ac:dyDescent="0.25">
      <c r="A23" s="22"/>
      <c r="B23" s="28" t="s">
        <v>21</v>
      </c>
      <c r="C23" s="29"/>
      <c r="D23" s="204">
        <v>61128.76</v>
      </c>
      <c r="E23" s="6"/>
      <c r="F23" s="2"/>
    </row>
    <row r="24" spans="1:6" ht="117" customHeight="1" x14ac:dyDescent="0.25">
      <c r="A24" s="30"/>
      <c r="B24" s="28" t="s">
        <v>22</v>
      </c>
      <c r="C24" s="29"/>
      <c r="D24" s="204">
        <v>70782.880000000005</v>
      </c>
      <c r="E24" s="6"/>
      <c r="F24" s="2"/>
    </row>
    <row r="25" spans="1:6" ht="23.25" x14ac:dyDescent="0.25">
      <c r="A25" s="31"/>
      <c r="B25" s="40" t="s">
        <v>23</v>
      </c>
      <c r="C25" s="29"/>
      <c r="D25" s="204">
        <v>8181</v>
      </c>
      <c r="E25" s="6"/>
      <c r="F25" s="2"/>
    </row>
    <row r="26" spans="1:6" ht="27" customHeight="1" x14ac:dyDescent="0.25">
      <c r="A26" s="22"/>
      <c r="B26" s="25" t="s">
        <v>24</v>
      </c>
      <c r="C26" s="26" t="s">
        <v>6</v>
      </c>
      <c r="D26" s="216">
        <f>D27+D28</f>
        <v>8783</v>
      </c>
      <c r="E26" s="6"/>
      <c r="F26" s="2"/>
    </row>
    <row r="27" spans="1:6" ht="15.75" customHeight="1" x14ac:dyDescent="0.25">
      <c r="A27" s="33"/>
      <c r="B27" s="70" t="s">
        <v>25</v>
      </c>
      <c r="C27" s="35"/>
      <c r="D27" s="204">
        <v>7761</v>
      </c>
      <c r="E27" s="6"/>
      <c r="F27" s="2"/>
    </row>
    <row r="28" spans="1:6" ht="15" x14ac:dyDescent="0.25">
      <c r="A28" s="22"/>
      <c r="B28" s="70" t="s">
        <v>26</v>
      </c>
      <c r="C28" s="35"/>
      <c r="D28" s="204">
        <v>1022</v>
      </c>
      <c r="E28" s="6"/>
      <c r="F28" s="2"/>
    </row>
    <row r="29" spans="1:6" ht="40.5" customHeight="1" x14ac:dyDescent="0.25">
      <c r="A29" s="22" t="s">
        <v>27</v>
      </c>
      <c r="B29" s="25" t="s">
        <v>28</v>
      </c>
      <c r="C29" s="36" t="s">
        <v>6</v>
      </c>
      <c r="D29" s="216">
        <f>D30+D31</f>
        <v>38100</v>
      </c>
      <c r="E29" s="6"/>
      <c r="F29" s="2"/>
    </row>
    <row r="30" spans="1:6" ht="80.099999999999994" customHeight="1" x14ac:dyDescent="0.25">
      <c r="A30" s="37"/>
      <c r="B30" s="28" t="s">
        <v>29</v>
      </c>
      <c r="C30" s="29"/>
      <c r="D30" s="204">
        <v>38100</v>
      </c>
      <c r="E30" s="6"/>
      <c r="F30" s="2"/>
    </row>
    <row r="31" spans="1:6" ht="25.5" customHeight="1" x14ac:dyDescent="0.25">
      <c r="A31" s="138"/>
      <c r="B31" s="38" t="s">
        <v>30</v>
      </c>
      <c r="C31" s="39"/>
      <c r="D31" s="204">
        <v>0</v>
      </c>
      <c r="E31" s="6"/>
      <c r="F31" s="2"/>
    </row>
    <row r="32" spans="1:6" ht="53.25" customHeight="1" x14ac:dyDescent="0.25">
      <c r="A32" s="37" t="s">
        <v>31</v>
      </c>
      <c r="B32" s="25" t="s">
        <v>32</v>
      </c>
      <c r="C32" s="12" t="s">
        <v>6</v>
      </c>
      <c r="D32" s="216">
        <f>D33+D34+D35</f>
        <v>6965</v>
      </c>
      <c r="E32" s="6"/>
      <c r="F32" s="2"/>
    </row>
    <row r="33" spans="1:6" ht="33.950000000000003" customHeight="1" x14ac:dyDescent="0.25">
      <c r="A33" s="135"/>
      <c r="B33" s="40" t="s">
        <v>33</v>
      </c>
      <c r="C33" s="39"/>
      <c r="D33" s="204">
        <v>3105</v>
      </c>
      <c r="E33" s="6"/>
      <c r="F33" s="2"/>
    </row>
    <row r="34" spans="1:6" ht="23.1" customHeight="1" x14ac:dyDescent="0.25">
      <c r="A34" s="135"/>
      <c r="B34" s="38" t="s">
        <v>89</v>
      </c>
      <c r="C34" s="39"/>
      <c r="D34" s="204">
        <v>3860</v>
      </c>
      <c r="E34" s="6"/>
      <c r="F34" s="2"/>
    </row>
    <row r="35" spans="1:6" ht="21" customHeight="1" x14ac:dyDescent="0.25">
      <c r="A35" s="135"/>
      <c r="B35" s="38" t="s">
        <v>35</v>
      </c>
      <c r="C35" s="39"/>
      <c r="D35" s="204">
        <v>0</v>
      </c>
      <c r="E35" s="6"/>
      <c r="F35" s="2"/>
    </row>
    <row r="36" spans="1:6" ht="18" customHeight="1" x14ac:dyDescent="0.25">
      <c r="A36" s="31" t="s">
        <v>36</v>
      </c>
      <c r="B36" s="51" t="s">
        <v>37</v>
      </c>
      <c r="C36" s="20" t="s">
        <v>6</v>
      </c>
      <c r="D36" s="216">
        <f>D37+D38+D39+D41+D42+D43+D44</f>
        <v>33985.480000000003</v>
      </c>
      <c r="E36" s="6"/>
      <c r="F36" s="2"/>
    </row>
    <row r="37" spans="1:6" ht="15.75" customHeight="1" x14ac:dyDescent="0.25">
      <c r="A37" s="42"/>
      <c r="B37" s="43" t="s">
        <v>38</v>
      </c>
      <c r="C37" s="44"/>
      <c r="D37" s="204">
        <v>3684.24</v>
      </c>
      <c r="E37" s="6"/>
      <c r="F37" s="2"/>
    </row>
    <row r="38" spans="1:6" ht="24" customHeight="1" x14ac:dyDescent="0.25">
      <c r="A38" s="42"/>
      <c r="B38" s="43" t="s">
        <v>39</v>
      </c>
      <c r="C38" s="44"/>
      <c r="D38" s="204">
        <v>7024.5</v>
      </c>
      <c r="E38" s="6"/>
      <c r="F38" s="2"/>
    </row>
    <row r="39" spans="1:6" ht="15" customHeight="1" x14ac:dyDescent="0.25">
      <c r="A39" s="42"/>
      <c r="B39" s="45" t="s">
        <v>40</v>
      </c>
      <c r="C39" s="44"/>
      <c r="D39" s="204">
        <v>19884.8</v>
      </c>
      <c r="E39" s="6"/>
      <c r="F39" s="2"/>
    </row>
    <row r="40" spans="1:6" ht="45.95" customHeight="1" x14ac:dyDescent="0.25">
      <c r="A40" s="31"/>
      <c r="B40" s="46" t="s">
        <v>41</v>
      </c>
      <c r="C40" s="44"/>
      <c r="D40" s="204"/>
      <c r="E40" s="6"/>
      <c r="F40" s="2"/>
    </row>
    <row r="41" spans="1:6" ht="15.75" customHeight="1" x14ac:dyDescent="0.25">
      <c r="A41" s="42"/>
      <c r="B41" s="47" t="s">
        <v>90</v>
      </c>
      <c r="C41" s="44"/>
      <c r="D41" s="204">
        <v>0</v>
      </c>
      <c r="E41" s="6"/>
      <c r="F41" s="2"/>
    </row>
    <row r="42" spans="1:6" ht="15" customHeight="1" x14ac:dyDescent="0.25">
      <c r="A42" s="42"/>
      <c r="B42" s="47" t="s">
        <v>91</v>
      </c>
      <c r="C42" s="44"/>
      <c r="D42" s="204">
        <v>707.87</v>
      </c>
      <c r="E42" s="6"/>
      <c r="F42" s="2"/>
    </row>
    <row r="43" spans="1:6" ht="14.25" customHeight="1" x14ac:dyDescent="0.25">
      <c r="A43" s="29"/>
      <c r="B43" s="47" t="s">
        <v>92</v>
      </c>
      <c r="C43" s="44"/>
      <c r="D43" s="204">
        <v>2159.2800000000002</v>
      </c>
      <c r="E43" s="6"/>
      <c r="F43" s="2"/>
    </row>
    <row r="44" spans="1:6" ht="24" customHeight="1" x14ac:dyDescent="0.25">
      <c r="A44" s="42"/>
      <c r="B44" s="47" t="s">
        <v>45</v>
      </c>
      <c r="C44" s="44"/>
      <c r="D44" s="204">
        <v>524.79</v>
      </c>
      <c r="E44" s="6"/>
      <c r="F44" s="2"/>
    </row>
    <row r="45" spans="1:6" ht="51.75" x14ac:dyDescent="0.25">
      <c r="A45" s="12" t="s">
        <v>46</v>
      </c>
      <c r="B45" s="48" t="s">
        <v>47</v>
      </c>
      <c r="C45" s="49"/>
      <c r="D45" s="204"/>
      <c r="E45" s="6"/>
      <c r="F45" s="2"/>
    </row>
    <row r="46" spans="1:6" ht="14.1" customHeight="1" x14ac:dyDescent="0.25">
      <c r="A46" s="49"/>
      <c r="B46" s="50" t="s">
        <v>48</v>
      </c>
      <c r="C46" s="49"/>
      <c r="D46" s="204"/>
      <c r="E46" s="6"/>
      <c r="F46" s="2"/>
    </row>
    <row r="47" spans="1:6" ht="24.95" customHeight="1" x14ac:dyDescent="0.25">
      <c r="A47" s="31"/>
      <c r="B47" s="51" t="s">
        <v>49</v>
      </c>
      <c r="C47" s="20" t="s">
        <v>6</v>
      </c>
      <c r="D47" s="216">
        <f>D48+D49+D50</f>
        <v>100327.25</v>
      </c>
      <c r="E47" s="6"/>
      <c r="F47" s="2"/>
    </row>
    <row r="48" spans="1:6" ht="23.25" x14ac:dyDescent="0.25">
      <c r="A48" s="33"/>
      <c r="B48" s="28" t="s">
        <v>50</v>
      </c>
      <c r="C48" s="39"/>
      <c r="D48" s="204">
        <v>96899.32</v>
      </c>
      <c r="E48" s="6"/>
      <c r="F48" s="2"/>
    </row>
    <row r="49" spans="1:15" ht="15" x14ac:dyDescent="0.25">
      <c r="A49" s="31"/>
      <c r="B49" s="52" t="s">
        <v>51</v>
      </c>
      <c r="C49" s="39"/>
      <c r="D49" s="204">
        <v>0</v>
      </c>
      <c r="E49" s="6"/>
      <c r="F49" s="2"/>
    </row>
    <row r="50" spans="1:15" ht="23.25" x14ac:dyDescent="0.25">
      <c r="A50" s="31"/>
      <c r="B50" s="52" t="s">
        <v>52</v>
      </c>
      <c r="C50" s="39"/>
      <c r="D50" s="204">
        <v>3427.93</v>
      </c>
      <c r="E50" s="6"/>
      <c r="F50" s="2"/>
    </row>
    <row r="51" spans="1:15" ht="15" x14ac:dyDescent="0.25">
      <c r="A51" s="31" t="s">
        <v>60</v>
      </c>
      <c r="B51" s="210" t="s">
        <v>252</v>
      </c>
      <c r="C51" s="75"/>
      <c r="D51" s="216">
        <v>10359.879999999999</v>
      </c>
      <c r="E51" s="6"/>
      <c r="F51" s="2"/>
    </row>
    <row r="52" spans="1:15" ht="15" x14ac:dyDescent="0.25">
      <c r="A52" s="31" t="s">
        <v>62</v>
      </c>
      <c r="B52" s="211" t="s">
        <v>253</v>
      </c>
      <c r="C52" s="142" t="s">
        <v>6</v>
      </c>
      <c r="D52" s="216">
        <v>5321.82</v>
      </c>
      <c r="E52" s="6"/>
      <c r="F52" s="2"/>
    </row>
    <row r="53" spans="1:15" ht="48.75" x14ac:dyDescent="0.25">
      <c r="A53" s="31" t="s">
        <v>64</v>
      </c>
      <c r="B53" s="56" t="s">
        <v>65</v>
      </c>
      <c r="C53" s="55" t="s">
        <v>6</v>
      </c>
      <c r="D53" s="216">
        <v>68110.240000000005</v>
      </c>
      <c r="E53" s="6"/>
      <c r="F53" s="2"/>
    </row>
    <row r="54" spans="1:15" ht="60.75" x14ac:dyDescent="0.25">
      <c r="A54" s="31" t="s">
        <v>66</v>
      </c>
      <c r="B54" s="57" t="s">
        <v>67</v>
      </c>
      <c r="C54" s="55" t="s">
        <v>6</v>
      </c>
      <c r="D54" s="216">
        <f>151733.87+8237.8</f>
        <v>159971.66999999998</v>
      </c>
      <c r="E54" s="6"/>
      <c r="F54" s="2"/>
    </row>
    <row r="55" spans="1:15" ht="15" x14ac:dyDescent="0.25">
      <c r="A55" s="213" t="s">
        <v>68</v>
      </c>
      <c r="B55" s="58" t="s">
        <v>69</v>
      </c>
      <c r="C55" s="55" t="s">
        <v>6</v>
      </c>
      <c r="D55" s="218">
        <f>D15*6%</f>
        <v>49853.657999999996</v>
      </c>
      <c r="E55" s="6"/>
      <c r="F55" s="2"/>
    </row>
    <row r="56" spans="1:15" ht="21" customHeight="1" x14ac:dyDescent="0.25">
      <c r="A56" s="31"/>
      <c r="B56" s="59" t="s">
        <v>115</v>
      </c>
      <c r="C56" s="130" t="s">
        <v>6</v>
      </c>
      <c r="D56" s="218">
        <f>D22+D26+D29+D32+D36+D47+D51+D52+D53+D54+D55</f>
        <v>621870.63800000004</v>
      </c>
      <c r="E56" s="6"/>
      <c r="F56" s="2"/>
    </row>
    <row r="57" spans="1:15" ht="15" x14ac:dyDescent="0.25">
      <c r="A57" s="60"/>
      <c r="B57" s="61"/>
      <c r="C57" s="89"/>
      <c r="D57" s="156"/>
      <c r="E57" s="158"/>
      <c r="F57" s="2"/>
    </row>
    <row r="58" spans="1:15" ht="15.75" x14ac:dyDescent="0.25">
      <c r="A58" s="60"/>
      <c r="B58" s="61"/>
      <c r="C58" s="62"/>
      <c r="D58" s="232"/>
      <c r="E58" s="153"/>
      <c r="F58" s="2"/>
    </row>
    <row r="59" spans="1:15" ht="15.75" x14ac:dyDescent="0.25">
      <c r="A59" s="60"/>
      <c r="B59" s="61" t="s">
        <v>104</v>
      </c>
      <c r="C59" s="62"/>
      <c r="D59" s="239">
        <f>D6+D15-D56</f>
        <v>121124.35199999996</v>
      </c>
      <c r="E59" s="153"/>
      <c r="F59" s="2"/>
    </row>
    <row r="60" spans="1:15" ht="15.75" x14ac:dyDescent="0.25">
      <c r="A60" s="60"/>
      <c r="B60" s="61"/>
      <c r="C60" s="62"/>
      <c r="D60" s="232"/>
      <c r="E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5.75" x14ac:dyDescent="0.25">
      <c r="A61" s="60"/>
      <c r="B61" s="61"/>
      <c r="C61" s="62"/>
      <c r="D61" s="232"/>
      <c r="E61" s="153"/>
    </row>
    <row r="62" spans="1:15" ht="15.75" x14ac:dyDescent="0.25">
      <c r="A62" s="60"/>
      <c r="B62" s="61"/>
      <c r="C62" s="62"/>
      <c r="D62" s="104"/>
      <c r="E62" s="101"/>
    </row>
    <row r="63" spans="1:15" x14ac:dyDescent="0.2">
      <c r="A63" s="60"/>
    </row>
    <row r="64" spans="1:15" x14ac:dyDescent="0.2">
      <c r="B64" s="66" t="s">
        <v>72</v>
      </c>
      <c r="C64" s="66"/>
      <c r="D64" s="66" t="s">
        <v>73</v>
      </c>
    </row>
    <row r="65" spans="2:4" x14ac:dyDescent="0.2">
      <c r="B65" s="66" t="s">
        <v>74</v>
      </c>
      <c r="C65" s="66"/>
      <c r="D65" s="275" t="s">
        <v>273</v>
      </c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42" workbookViewId="0">
      <selection activeCell="F20" sqref="F20:R62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7.7109375" style="1" customWidth="1"/>
    <col min="4" max="4" width="14.140625" style="1" customWidth="1"/>
    <col min="5" max="5" width="13.85546875" style="1" customWidth="1"/>
    <col min="6" max="6" width="10.5703125" style="1" customWidth="1"/>
    <col min="7" max="7" width="11.85546875" style="1" customWidth="1"/>
    <col min="8" max="8" width="11.7109375" style="1" customWidth="1"/>
    <col min="9" max="9" width="9.42578125" style="1" customWidth="1"/>
    <col min="10" max="16384" width="9" style="1"/>
  </cols>
  <sheetData>
    <row r="1" spans="1:6" ht="15" x14ac:dyDescent="0.25">
      <c r="B1" s="82" t="s">
        <v>0</v>
      </c>
      <c r="C1" s="2"/>
      <c r="D1" s="3"/>
    </row>
    <row r="2" spans="1:6" ht="15" customHeight="1" x14ac:dyDescent="0.2">
      <c r="A2" s="298" t="s">
        <v>111</v>
      </c>
      <c r="B2" s="298"/>
      <c r="C2" s="298"/>
      <c r="D2" s="298"/>
      <c r="E2" s="298"/>
      <c r="F2" s="4"/>
    </row>
    <row r="3" spans="1:6" ht="15" customHeight="1" x14ac:dyDescent="0.2">
      <c r="A3" s="4"/>
      <c r="B3" s="298" t="s">
        <v>187</v>
      </c>
      <c r="C3" s="298"/>
      <c r="D3" s="298"/>
      <c r="E3" s="298"/>
    </row>
    <row r="4" spans="1:6" x14ac:dyDescent="0.2">
      <c r="B4" s="5"/>
      <c r="C4" s="5"/>
      <c r="D4" s="5"/>
    </row>
    <row r="5" spans="1:6" x14ac:dyDescent="0.2">
      <c r="B5" s="5" t="s">
        <v>182</v>
      </c>
      <c r="C5" s="5"/>
      <c r="D5" s="169" t="s">
        <v>213</v>
      </c>
    </row>
    <row r="6" spans="1:6" x14ac:dyDescent="0.2">
      <c r="A6" s="6"/>
      <c r="B6" s="7" t="s">
        <v>116</v>
      </c>
      <c r="C6" s="8" t="s">
        <v>6</v>
      </c>
      <c r="D6" s="117">
        <v>143294.62</v>
      </c>
      <c r="E6" s="6"/>
    </row>
    <row r="7" spans="1:6" x14ac:dyDescent="0.2">
      <c r="A7" s="6"/>
      <c r="B7" s="10" t="s">
        <v>2</v>
      </c>
      <c r="C7" s="8" t="s">
        <v>3</v>
      </c>
      <c r="D7" s="116">
        <v>2919.3</v>
      </c>
      <c r="E7" s="6"/>
    </row>
    <row r="8" spans="1:6" x14ac:dyDescent="0.2">
      <c r="A8" s="6"/>
      <c r="B8" s="10" t="s">
        <v>4</v>
      </c>
      <c r="C8" s="8" t="s">
        <v>3</v>
      </c>
      <c r="D8" s="116">
        <v>1932.8</v>
      </c>
      <c r="E8" s="6"/>
    </row>
    <row r="9" spans="1:6" x14ac:dyDescent="0.2">
      <c r="A9" s="6"/>
      <c r="B9" s="12" t="s">
        <v>5</v>
      </c>
      <c r="C9" s="7" t="s">
        <v>6</v>
      </c>
      <c r="D9" s="116">
        <v>466609.55</v>
      </c>
      <c r="E9" s="6"/>
    </row>
    <row r="10" spans="1:6" x14ac:dyDescent="0.2">
      <c r="A10" s="6"/>
      <c r="B10" s="7"/>
      <c r="C10" s="7"/>
      <c r="D10" s="116"/>
      <c r="E10" s="6"/>
    </row>
    <row r="11" spans="1:6" x14ac:dyDescent="0.2">
      <c r="A11" s="6"/>
      <c r="B11" s="12" t="s">
        <v>7</v>
      </c>
      <c r="C11" s="7"/>
      <c r="D11" s="116"/>
      <c r="E11" s="6"/>
    </row>
    <row r="12" spans="1:6" x14ac:dyDescent="0.2">
      <c r="A12" s="6">
        <v>1</v>
      </c>
      <c r="B12" s="8" t="s">
        <v>8</v>
      </c>
      <c r="C12" s="8" t="s">
        <v>6</v>
      </c>
      <c r="D12" s="116">
        <v>392783.43</v>
      </c>
      <c r="E12" s="6"/>
    </row>
    <row r="13" spans="1:6" x14ac:dyDescent="0.2">
      <c r="A13" s="6">
        <v>2</v>
      </c>
      <c r="B13" s="8" t="s">
        <v>9</v>
      </c>
      <c r="C13" s="8" t="s">
        <v>6</v>
      </c>
      <c r="D13" s="116">
        <f>4200</f>
        <v>4200</v>
      </c>
      <c r="E13" s="6"/>
    </row>
    <row r="14" spans="1:6" x14ac:dyDescent="0.2">
      <c r="A14" s="6"/>
      <c r="B14" s="8"/>
      <c r="C14" s="7"/>
      <c r="D14" s="116"/>
      <c r="E14" s="6"/>
    </row>
    <row r="15" spans="1:6" x14ac:dyDescent="0.2">
      <c r="A15" s="6"/>
      <c r="B15" s="12" t="s">
        <v>10</v>
      </c>
      <c r="C15" s="7" t="s">
        <v>6</v>
      </c>
      <c r="D15" s="117">
        <f>D12+D13+D14</f>
        <v>396983.43</v>
      </c>
      <c r="E15" s="6"/>
    </row>
    <row r="16" spans="1:6" x14ac:dyDescent="0.2">
      <c r="A16" s="6"/>
      <c r="B16" s="7"/>
      <c r="C16" s="7"/>
      <c r="D16" s="6"/>
      <c r="E16" s="6"/>
    </row>
    <row r="17" spans="1:5" x14ac:dyDescent="0.2">
      <c r="B17" s="5"/>
      <c r="C17" s="5"/>
    </row>
    <row r="18" spans="1:5" x14ac:dyDescent="0.2">
      <c r="B18" s="87" t="s">
        <v>11</v>
      </c>
      <c r="C18" s="5"/>
    </row>
    <row r="19" spans="1:5" x14ac:dyDescent="0.2">
      <c r="A19" s="13"/>
      <c r="B19" s="14"/>
      <c r="C19" s="14"/>
      <c r="D19" s="13"/>
      <c r="E19" s="13"/>
    </row>
    <row r="20" spans="1:5" ht="15" x14ac:dyDescent="0.25">
      <c r="A20" s="15" t="s">
        <v>12</v>
      </c>
      <c r="B20" s="16"/>
      <c r="C20" s="17" t="s">
        <v>117</v>
      </c>
      <c r="D20" s="18" t="s">
        <v>13</v>
      </c>
      <c r="E20" s="137" t="s">
        <v>86</v>
      </c>
    </row>
    <row r="21" spans="1:5" ht="18" customHeight="1" x14ac:dyDescent="0.25">
      <c r="A21" s="15" t="s">
        <v>15</v>
      </c>
      <c r="B21" s="20" t="s">
        <v>16</v>
      </c>
      <c r="C21" s="20" t="s">
        <v>118</v>
      </c>
      <c r="D21" s="18" t="s">
        <v>17</v>
      </c>
      <c r="E21" s="125"/>
    </row>
    <row r="22" spans="1:5" ht="25.5" x14ac:dyDescent="0.2">
      <c r="A22" s="22" t="s">
        <v>18</v>
      </c>
      <c r="B22" s="23" t="s">
        <v>88</v>
      </c>
      <c r="C22" s="24"/>
      <c r="D22" s="6"/>
      <c r="E22" s="6"/>
    </row>
    <row r="23" spans="1:5" ht="51" x14ac:dyDescent="0.2">
      <c r="A23" s="22"/>
      <c r="B23" s="25" t="s">
        <v>20</v>
      </c>
      <c r="C23" s="26" t="s">
        <v>6</v>
      </c>
      <c r="D23" s="216">
        <f>D24</f>
        <v>49631.350000000006</v>
      </c>
      <c r="E23" s="6"/>
    </row>
    <row r="24" spans="1:5" ht="81" customHeight="1" x14ac:dyDescent="0.2">
      <c r="A24" s="22"/>
      <c r="B24" s="28" t="s">
        <v>21</v>
      </c>
      <c r="C24" s="29">
        <v>1.07</v>
      </c>
      <c r="D24" s="204">
        <f>47278.78+2410.16-57.59</f>
        <v>49631.350000000006</v>
      </c>
      <c r="E24" s="6"/>
    </row>
    <row r="25" spans="1:5" ht="38.25" x14ac:dyDescent="0.2">
      <c r="A25" s="22" t="s">
        <v>27</v>
      </c>
      <c r="B25" s="25" t="s">
        <v>28</v>
      </c>
      <c r="C25" s="36" t="s">
        <v>6</v>
      </c>
      <c r="D25" s="216">
        <f>D26</f>
        <v>22640</v>
      </c>
      <c r="E25" s="6"/>
    </row>
    <row r="26" spans="1:5" ht="78.75" x14ac:dyDescent="0.2">
      <c r="A26" s="37"/>
      <c r="B26" s="28" t="s">
        <v>29</v>
      </c>
      <c r="C26" s="29"/>
      <c r="D26" s="204">
        <v>22640</v>
      </c>
      <c r="E26" s="6"/>
    </row>
    <row r="27" spans="1:5" ht="22.5" x14ac:dyDescent="0.2">
      <c r="A27" s="37"/>
      <c r="B27" s="38" t="s">
        <v>30</v>
      </c>
      <c r="C27" s="39"/>
      <c r="D27" s="204">
        <v>0</v>
      </c>
      <c r="E27" s="6"/>
    </row>
    <row r="28" spans="1:5" ht="51" x14ac:dyDescent="0.2">
      <c r="A28" s="37" t="s">
        <v>31</v>
      </c>
      <c r="B28" s="25" t="s">
        <v>32</v>
      </c>
      <c r="C28" s="12" t="s">
        <v>6</v>
      </c>
      <c r="D28" s="216">
        <f>D29+D30+D31</f>
        <v>1606</v>
      </c>
      <c r="E28" s="6"/>
    </row>
    <row r="29" spans="1:5" ht="33" customHeight="1" x14ac:dyDescent="0.2">
      <c r="A29" s="33"/>
      <c r="B29" s="40" t="s">
        <v>33</v>
      </c>
      <c r="C29" s="39"/>
      <c r="D29" s="204">
        <v>456</v>
      </c>
      <c r="E29" s="6"/>
    </row>
    <row r="30" spans="1:5" ht="24.75" customHeight="1" x14ac:dyDescent="0.2">
      <c r="A30" s="12"/>
      <c r="B30" s="38" t="s">
        <v>34</v>
      </c>
      <c r="C30" s="39"/>
      <c r="D30" s="204">
        <v>1150</v>
      </c>
      <c r="E30" s="6"/>
    </row>
    <row r="31" spans="1:5" ht="22.5" x14ac:dyDescent="0.2">
      <c r="A31" s="33"/>
      <c r="B31" s="38" t="s">
        <v>35</v>
      </c>
      <c r="C31" s="39"/>
      <c r="D31" s="204">
        <v>0</v>
      </c>
      <c r="E31" s="6"/>
    </row>
    <row r="32" spans="1:5" ht="15.75" x14ac:dyDescent="0.25">
      <c r="A32" s="31" t="s">
        <v>36</v>
      </c>
      <c r="B32" s="41" t="s">
        <v>37</v>
      </c>
      <c r="C32" s="20" t="s">
        <v>6</v>
      </c>
      <c r="D32" s="216">
        <f>D33+D34+D35+D37+D38</f>
        <v>10362.200000000001</v>
      </c>
      <c r="E32" s="6"/>
    </row>
    <row r="33" spans="1:5" x14ac:dyDescent="0.2">
      <c r="A33" s="42"/>
      <c r="B33" s="43" t="s">
        <v>38</v>
      </c>
      <c r="C33" s="44"/>
      <c r="D33" s="204">
        <v>0</v>
      </c>
      <c r="E33" s="6"/>
    </row>
    <row r="34" spans="1:5" ht="22.5" x14ac:dyDescent="0.2">
      <c r="A34" s="42"/>
      <c r="B34" s="43" t="s">
        <v>39</v>
      </c>
      <c r="C34" s="44"/>
      <c r="D34" s="204">
        <v>0</v>
      </c>
      <c r="E34" s="6"/>
    </row>
    <row r="35" spans="1:5" x14ac:dyDescent="0.2">
      <c r="A35" s="42"/>
      <c r="B35" s="45" t="s">
        <v>40</v>
      </c>
      <c r="C35" s="44"/>
      <c r="D35" s="204">
        <v>9024.14</v>
      </c>
      <c r="E35" s="6"/>
    </row>
    <row r="36" spans="1:5" ht="45" x14ac:dyDescent="0.2">
      <c r="A36" s="31"/>
      <c r="B36" s="46" t="s">
        <v>41</v>
      </c>
      <c r="C36" s="44"/>
      <c r="D36" s="204"/>
      <c r="E36" s="6"/>
    </row>
    <row r="37" spans="1:5" x14ac:dyDescent="0.2">
      <c r="A37" s="29"/>
      <c r="B37" s="47" t="s">
        <v>119</v>
      </c>
      <c r="C37" s="44"/>
      <c r="D37" s="204">
        <v>979.45</v>
      </c>
      <c r="E37" s="6"/>
    </row>
    <row r="38" spans="1:5" ht="22.5" x14ac:dyDescent="0.2">
      <c r="A38" s="42"/>
      <c r="B38" s="47" t="s">
        <v>120</v>
      </c>
      <c r="C38" s="44"/>
      <c r="D38" s="204">
        <v>358.61</v>
      </c>
      <c r="E38" s="6"/>
    </row>
    <row r="39" spans="1:5" ht="51" x14ac:dyDescent="0.2">
      <c r="A39" s="12" t="s">
        <v>46</v>
      </c>
      <c r="B39" s="48" t="s">
        <v>47</v>
      </c>
      <c r="C39" s="49"/>
      <c r="D39" s="204"/>
      <c r="E39" s="6"/>
    </row>
    <row r="40" spans="1:5" ht="15.95" customHeight="1" x14ac:dyDescent="0.2">
      <c r="A40" s="49"/>
      <c r="B40" s="50" t="s">
        <v>48</v>
      </c>
      <c r="C40" s="49"/>
      <c r="D40" s="204"/>
      <c r="E40" s="6"/>
    </row>
    <row r="41" spans="1:5" ht="25.5" x14ac:dyDescent="0.2">
      <c r="A41" s="31"/>
      <c r="B41" s="51" t="s">
        <v>49</v>
      </c>
      <c r="C41" s="20" t="s">
        <v>6</v>
      </c>
      <c r="D41" s="216">
        <f>D42+D43+D44</f>
        <v>33246.53</v>
      </c>
      <c r="E41" s="6"/>
    </row>
    <row r="42" spans="1:5" ht="22.5" x14ac:dyDescent="0.2">
      <c r="A42" s="33"/>
      <c r="B42" s="28" t="s">
        <v>50</v>
      </c>
      <c r="C42" s="39"/>
      <c r="D42" s="204">
        <v>33246.53</v>
      </c>
      <c r="E42" s="6"/>
    </row>
    <row r="43" spans="1:5" x14ac:dyDescent="0.2">
      <c r="A43" s="31"/>
      <c r="B43" s="52" t="s">
        <v>51</v>
      </c>
      <c r="C43" s="39"/>
      <c r="D43" s="204">
        <v>0</v>
      </c>
      <c r="E43" s="6"/>
    </row>
    <row r="44" spans="1:5" ht="22.5" x14ac:dyDescent="0.2">
      <c r="A44" s="31"/>
      <c r="B44" s="52" t="s">
        <v>52</v>
      </c>
      <c r="C44" s="39"/>
      <c r="D44" s="204">
        <v>0</v>
      </c>
      <c r="E44" s="6"/>
    </row>
    <row r="45" spans="1:5" x14ac:dyDescent="0.2">
      <c r="A45" s="49"/>
      <c r="B45" s="76" t="s">
        <v>53</v>
      </c>
      <c r="C45" s="49"/>
      <c r="D45" s="204"/>
      <c r="E45" s="6"/>
    </row>
    <row r="46" spans="1:5" x14ac:dyDescent="0.2">
      <c r="A46" s="17"/>
      <c r="B46" s="77" t="s">
        <v>54</v>
      </c>
      <c r="C46" s="20" t="s">
        <v>6</v>
      </c>
      <c r="D46" s="216">
        <f>D47+D48+D49+D50</f>
        <v>104403.73999999999</v>
      </c>
      <c r="E46" s="6"/>
    </row>
    <row r="47" spans="1:5" x14ac:dyDescent="0.2">
      <c r="A47" s="17"/>
      <c r="B47" s="78" t="s">
        <v>55</v>
      </c>
      <c r="C47" s="79"/>
      <c r="D47" s="204">
        <v>40141.07</v>
      </c>
      <c r="E47" s="6"/>
    </row>
    <row r="48" spans="1:5" x14ac:dyDescent="0.2">
      <c r="A48" s="17"/>
      <c r="B48" s="78" t="s">
        <v>56</v>
      </c>
      <c r="C48" s="79"/>
      <c r="D48" s="204">
        <v>55381.27</v>
      </c>
      <c r="E48" s="6"/>
    </row>
    <row r="49" spans="1:16" x14ac:dyDescent="0.2">
      <c r="A49" s="17"/>
      <c r="B49" s="78" t="s">
        <v>57</v>
      </c>
      <c r="C49" s="79"/>
      <c r="D49" s="204">
        <v>3470</v>
      </c>
      <c r="E49" s="6"/>
    </row>
    <row r="50" spans="1:16" x14ac:dyDescent="0.2">
      <c r="A50" s="17"/>
      <c r="B50" s="28" t="s">
        <v>97</v>
      </c>
      <c r="C50" s="79"/>
      <c r="D50" s="204">
        <v>5411.4</v>
      </c>
      <c r="E50" s="6"/>
    </row>
    <row r="51" spans="1:16" x14ac:dyDescent="0.2">
      <c r="A51" s="33" t="s">
        <v>60</v>
      </c>
      <c r="B51" s="210" t="s">
        <v>252</v>
      </c>
      <c r="C51" s="214" t="s">
        <v>6</v>
      </c>
      <c r="D51" s="216">
        <v>4699.2700000000004</v>
      </c>
      <c r="E51" s="6"/>
    </row>
    <row r="52" spans="1:16" x14ac:dyDescent="0.2">
      <c r="A52" s="31" t="s">
        <v>62</v>
      </c>
      <c r="B52" s="211" t="s">
        <v>253</v>
      </c>
      <c r="C52" s="215" t="s">
        <v>6</v>
      </c>
      <c r="D52" s="216">
        <v>164766</v>
      </c>
      <c r="E52" s="6"/>
    </row>
    <row r="53" spans="1:16" ht="33.75" x14ac:dyDescent="0.2">
      <c r="A53" s="31"/>
      <c r="B53" s="54" t="s">
        <v>63</v>
      </c>
      <c r="C53" s="55"/>
      <c r="D53" s="204"/>
      <c r="E53" s="6"/>
    </row>
    <row r="54" spans="1:16" ht="25.5" x14ac:dyDescent="0.2">
      <c r="A54" s="31" t="s">
        <v>64</v>
      </c>
      <c r="B54" s="51" t="s">
        <v>121</v>
      </c>
      <c r="C54" s="55" t="s">
        <v>6</v>
      </c>
      <c r="D54" s="216">
        <v>0</v>
      </c>
      <c r="E54" s="6"/>
    </row>
    <row r="55" spans="1:16" ht="25.5" x14ac:dyDescent="0.2">
      <c r="A55" s="31" t="s">
        <v>66</v>
      </c>
      <c r="B55" s="51" t="s">
        <v>122</v>
      </c>
      <c r="C55" s="55" t="s">
        <v>6</v>
      </c>
      <c r="D55" s="216">
        <v>14825</v>
      </c>
      <c r="E55" s="6"/>
    </row>
    <row r="56" spans="1:16" ht="48" x14ac:dyDescent="0.2">
      <c r="A56" s="213" t="s">
        <v>68</v>
      </c>
      <c r="B56" s="56" t="s">
        <v>65</v>
      </c>
      <c r="C56" s="55" t="s">
        <v>6</v>
      </c>
      <c r="D56" s="216">
        <v>31438.21</v>
      </c>
      <c r="E56" s="6"/>
    </row>
    <row r="57" spans="1:16" ht="60" x14ac:dyDescent="0.2">
      <c r="A57" s="213" t="s">
        <v>251</v>
      </c>
      <c r="B57" s="57" t="s">
        <v>67</v>
      </c>
      <c r="C57" s="55" t="s">
        <v>6</v>
      </c>
      <c r="D57" s="216">
        <v>90254</v>
      </c>
      <c r="E57" s="6"/>
    </row>
    <row r="58" spans="1:16" ht="15" x14ac:dyDescent="0.25">
      <c r="A58" s="213" t="s">
        <v>127</v>
      </c>
      <c r="B58" s="58" t="s">
        <v>69</v>
      </c>
      <c r="C58" s="55" t="s">
        <v>6</v>
      </c>
      <c r="D58" s="218">
        <f>D15*6%</f>
        <v>23819.005799999999</v>
      </c>
      <c r="E58" s="6"/>
    </row>
    <row r="59" spans="1:16" x14ac:dyDescent="0.2">
      <c r="A59" s="31"/>
      <c r="B59" s="59" t="s">
        <v>70</v>
      </c>
      <c r="C59" s="130" t="s">
        <v>6</v>
      </c>
      <c r="D59" s="218">
        <f>D58+D57+D56+D55+D54+D52+D51+D46+D41+D32+D28+D25+D23</f>
        <v>551691.30580000009</v>
      </c>
      <c r="E59" s="6"/>
    </row>
    <row r="60" spans="1:16" ht="15.75" x14ac:dyDescent="0.25">
      <c r="A60" s="60"/>
      <c r="B60" s="61"/>
      <c r="C60" s="62"/>
      <c r="D60" s="156"/>
      <c r="E60" s="153"/>
    </row>
    <row r="61" spans="1:16" ht="15.75" x14ac:dyDescent="0.25">
      <c r="A61" s="60"/>
      <c r="B61" s="61" t="s">
        <v>76</v>
      </c>
      <c r="C61" s="62"/>
      <c r="D61" s="159">
        <f>D6+D15-D59</f>
        <v>-11413.255800000043</v>
      </c>
      <c r="E61" s="153"/>
    </row>
    <row r="62" spans="1:16" ht="15.75" x14ac:dyDescent="0.25">
      <c r="A62" s="60"/>
      <c r="B62" s="61"/>
      <c r="C62" s="62"/>
      <c r="D62" s="228"/>
      <c r="E62" s="153"/>
    </row>
    <row r="63" spans="1:16" x14ac:dyDescent="0.2">
      <c r="A63" s="60"/>
      <c r="B63" s="66" t="s">
        <v>72</v>
      </c>
      <c r="C63" s="66"/>
      <c r="D63" s="66" t="s">
        <v>73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x14ac:dyDescent="0.2">
      <c r="B64" s="66" t="s">
        <v>74</v>
      </c>
      <c r="C64" s="66"/>
      <c r="D64" s="66" t="s">
        <v>273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47" workbookViewId="0">
      <selection activeCell="F22" sqref="F22:Q66"/>
    </sheetView>
  </sheetViews>
  <sheetFormatPr defaultColWidth="9" defaultRowHeight="14.25" x14ac:dyDescent="0.2"/>
  <cols>
    <col min="1" max="1" width="4.7109375" style="1" customWidth="1"/>
    <col min="2" max="2" width="38.7109375" style="1" customWidth="1"/>
    <col min="3" max="3" width="9" style="1"/>
    <col min="4" max="4" width="12.28515625" style="1" customWidth="1"/>
    <col min="5" max="5" width="13.7109375" style="1" customWidth="1"/>
    <col min="6" max="6" width="11.140625" style="1" customWidth="1"/>
    <col min="7" max="7" width="11.85546875" style="1" customWidth="1"/>
    <col min="8" max="8" width="12" style="1" customWidth="1"/>
    <col min="9" max="9" width="14" style="1" customWidth="1"/>
    <col min="10" max="16384" width="9" style="1"/>
  </cols>
  <sheetData>
    <row r="1" spans="1:15" ht="15" x14ac:dyDescent="0.25">
      <c r="B1" s="82" t="s">
        <v>0</v>
      </c>
      <c r="C1" s="2"/>
      <c r="D1" s="3"/>
      <c r="G1" s="2"/>
    </row>
    <row r="2" spans="1:15" ht="15" customHeight="1" x14ac:dyDescent="0.25">
      <c r="A2" s="298" t="s">
        <v>130</v>
      </c>
      <c r="B2" s="298"/>
      <c r="C2" s="298"/>
      <c r="D2" s="298"/>
      <c r="E2" s="298"/>
      <c r="F2" s="4"/>
      <c r="G2" s="2"/>
    </row>
    <row r="3" spans="1:15" ht="15" customHeight="1" x14ac:dyDescent="0.25">
      <c r="A3" s="4"/>
      <c r="B3" s="299" t="s">
        <v>255</v>
      </c>
      <c r="C3" s="298"/>
      <c r="D3" s="298"/>
      <c r="E3" s="298"/>
      <c r="G3" s="2"/>
    </row>
    <row r="4" spans="1:15" ht="15" x14ac:dyDescent="0.25">
      <c r="B4" s="5"/>
      <c r="C4" s="5"/>
      <c r="D4" s="5"/>
      <c r="G4" s="2"/>
    </row>
    <row r="5" spans="1:15" ht="15" x14ac:dyDescent="0.25">
      <c r="B5" s="5" t="s">
        <v>182</v>
      </c>
      <c r="C5" s="5"/>
      <c r="D5" s="163">
        <v>433255.14</v>
      </c>
      <c r="G5" s="2"/>
    </row>
    <row r="6" spans="1:15" ht="15" x14ac:dyDescent="0.25">
      <c r="A6" s="6"/>
      <c r="B6" s="7" t="s">
        <v>123</v>
      </c>
      <c r="C6" s="8" t="s">
        <v>6</v>
      </c>
      <c r="D6" s="161">
        <v>12966.66</v>
      </c>
      <c r="E6" s="6"/>
      <c r="F6" s="2"/>
    </row>
    <row r="7" spans="1:15" x14ac:dyDescent="0.2">
      <c r="A7" s="6"/>
      <c r="B7" s="7"/>
      <c r="C7" s="8"/>
      <c r="D7" s="161"/>
      <c r="E7" s="6"/>
    </row>
    <row r="8" spans="1:15" x14ac:dyDescent="0.2">
      <c r="A8" s="6"/>
      <c r="B8" s="10" t="s">
        <v>2</v>
      </c>
      <c r="C8" s="8" t="s">
        <v>3</v>
      </c>
      <c r="D8" s="160">
        <v>8500.2999999999993</v>
      </c>
      <c r="E8" s="6"/>
    </row>
    <row r="9" spans="1:15" x14ac:dyDescent="0.2">
      <c r="A9" s="6"/>
      <c r="B9" s="10" t="s">
        <v>4</v>
      </c>
      <c r="C9" s="8" t="s">
        <v>3</v>
      </c>
      <c r="D9" s="160">
        <v>5596.7</v>
      </c>
      <c r="E9" s="6"/>
    </row>
    <row r="10" spans="1:15" x14ac:dyDescent="0.2">
      <c r="A10" s="6"/>
      <c r="B10" s="12" t="s">
        <v>5</v>
      </c>
      <c r="C10" s="7" t="s">
        <v>6</v>
      </c>
      <c r="D10" s="161">
        <v>1537355.46</v>
      </c>
      <c r="E10" s="6"/>
    </row>
    <row r="11" spans="1:15" x14ac:dyDescent="0.2">
      <c r="A11" s="6"/>
      <c r="B11" s="7"/>
      <c r="C11" s="7"/>
      <c r="D11" s="160"/>
      <c r="E11" s="6"/>
    </row>
    <row r="12" spans="1:15" x14ac:dyDescent="0.2">
      <c r="A12" s="6"/>
      <c r="B12" s="12" t="s">
        <v>7</v>
      </c>
      <c r="C12" s="7"/>
      <c r="D12" s="160"/>
      <c r="E12" s="6"/>
    </row>
    <row r="13" spans="1:15" x14ac:dyDescent="0.2">
      <c r="A13" s="6">
        <v>1</v>
      </c>
      <c r="B13" s="8" t="s">
        <v>84</v>
      </c>
      <c r="C13" s="8" t="s">
        <v>6</v>
      </c>
      <c r="D13" s="160">
        <v>1371950.02</v>
      </c>
      <c r="E13" s="6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6"/>
      <c r="B14" s="8"/>
      <c r="C14" s="8"/>
      <c r="D14" s="160"/>
      <c r="E14" s="6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6"/>
      <c r="B15" s="12" t="s">
        <v>10</v>
      </c>
      <c r="C15" s="7" t="s">
        <v>6</v>
      </c>
      <c r="D15" s="161">
        <f>D13+D14</f>
        <v>1371950.02</v>
      </c>
      <c r="E15" s="6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6"/>
      <c r="B16" s="7"/>
      <c r="C16" s="7"/>
      <c r="D16" s="6"/>
      <c r="E16" s="6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6"/>
      <c r="B17" s="7"/>
      <c r="C17" s="7"/>
      <c r="D17" s="6"/>
      <c r="E17" s="6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">
      <c r="B18" s="5"/>
      <c r="C18" s="5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x14ac:dyDescent="0.2">
      <c r="B19" s="87" t="s">
        <v>11</v>
      </c>
      <c r="C19" s="5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x14ac:dyDescent="0.2">
      <c r="A20" s="13"/>
      <c r="B20" s="14"/>
      <c r="C20" s="14"/>
      <c r="D20" s="13"/>
      <c r="E20" s="1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 x14ac:dyDescent="0.25">
      <c r="A21" s="15" t="s">
        <v>12</v>
      </c>
      <c r="B21" s="16"/>
      <c r="C21" s="17" t="s">
        <v>85</v>
      </c>
      <c r="D21" s="18" t="s">
        <v>13</v>
      </c>
      <c r="E21" s="18" t="s">
        <v>86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x14ac:dyDescent="0.25">
      <c r="A22" s="15" t="s">
        <v>15</v>
      </c>
      <c r="B22" s="20" t="s">
        <v>16</v>
      </c>
      <c r="C22" s="20" t="s">
        <v>87</v>
      </c>
      <c r="D22" s="18" t="s">
        <v>17</v>
      </c>
      <c r="E22" s="125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25.5" x14ac:dyDescent="0.2">
      <c r="A23" s="22" t="s">
        <v>18</v>
      </c>
      <c r="B23" s="23" t="s">
        <v>88</v>
      </c>
      <c r="C23" s="24"/>
      <c r="D23" s="6"/>
      <c r="E23" s="6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51" x14ac:dyDescent="0.2">
      <c r="A24" s="22"/>
      <c r="B24" s="25" t="s">
        <v>20</v>
      </c>
      <c r="C24" s="26" t="s">
        <v>6</v>
      </c>
      <c r="D24" s="216">
        <f>D25</f>
        <v>162925.98000000001</v>
      </c>
      <c r="E24" s="6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81" customHeight="1" x14ac:dyDescent="0.2">
      <c r="A25" s="22"/>
      <c r="B25" s="28" t="s">
        <v>21</v>
      </c>
      <c r="C25" s="29"/>
      <c r="D25" s="204">
        <f>159758.07+3167.91</f>
        <v>162925.98000000001</v>
      </c>
      <c r="E25" s="6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38.25" x14ac:dyDescent="0.2">
      <c r="A26" s="22" t="s">
        <v>27</v>
      </c>
      <c r="B26" s="25" t="s">
        <v>28</v>
      </c>
      <c r="C26" s="36" t="s">
        <v>6</v>
      </c>
      <c r="D26" s="216">
        <f>D27+D28</f>
        <v>69160</v>
      </c>
      <c r="E26" s="6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78.75" x14ac:dyDescent="0.2">
      <c r="A27" s="37"/>
      <c r="B27" s="28" t="s">
        <v>29</v>
      </c>
      <c r="C27" s="29"/>
      <c r="D27" s="204">
        <v>69160</v>
      </c>
      <c r="E27" s="6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22.5" x14ac:dyDescent="0.2">
      <c r="A28" s="37"/>
      <c r="B28" s="38" t="s">
        <v>30</v>
      </c>
      <c r="C28" s="39"/>
      <c r="D28" s="204">
        <v>0</v>
      </c>
      <c r="E28" s="6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38.25" customHeight="1" x14ac:dyDescent="0.2">
      <c r="A29" s="37" t="s">
        <v>31</v>
      </c>
      <c r="B29" s="25" t="s">
        <v>32</v>
      </c>
      <c r="C29" s="12" t="s">
        <v>6</v>
      </c>
      <c r="D29" s="216">
        <f>D30+D31+D32</f>
        <v>6436</v>
      </c>
      <c r="E29" s="6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33.75" x14ac:dyDescent="0.2">
      <c r="A30" s="33"/>
      <c r="B30" s="40" t="s">
        <v>33</v>
      </c>
      <c r="C30" s="39"/>
      <c r="D30" s="204">
        <v>3280</v>
      </c>
      <c r="E30" s="6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22.5" x14ac:dyDescent="0.2">
      <c r="A31" s="12"/>
      <c r="B31" s="38" t="s">
        <v>89</v>
      </c>
      <c r="C31" s="39"/>
      <c r="D31" s="204">
        <v>3156</v>
      </c>
      <c r="E31" s="6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22.5" x14ac:dyDescent="0.2">
      <c r="A32" s="33"/>
      <c r="B32" s="38" t="s">
        <v>35</v>
      </c>
      <c r="C32" s="39"/>
      <c r="D32" s="204">
        <v>0</v>
      </c>
      <c r="E32" s="6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15.75" x14ac:dyDescent="0.25">
      <c r="A33" s="31" t="s">
        <v>36</v>
      </c>
      <c r="B33" s="41" t="s">
        <v>37</v>
      </c>
      <c r="C33" s="20" t="s">
        <v>6</v>
      </c>
      <c r="D33" s="216">
        <f>D34+D35+D36+D38+D39+D40+D41+D42</f>
        <v>30607.01</v>
      </c>
      <c r="E33" s="6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39.75" customHeight="1" x14ac:dyDescent="0.2">
      <c r="A34" s="42"/>
      <c r="B34" s="43" t="s">
        <v>38</v>
      </c>
      <c r="C34" s="44"/>
      <c r="D34" s="204">
        <v>0</v>
      </c>
      <c r="E34" s="6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22.5" x14ac:dyDescent="0.2">
      <c r="A35" s="42"/>
      <c r="B35" s="43" t="s">
        <v>39</v>
      </c>
      <c r="C35" s="44"/>
      <c r="D35" s="204">
        <v>0</v>
      </c>
      <c r="E35" s="6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x14ac:dyDescent="0.2">
      <c r="A36" s="42"/>
      <c r="B36" s="45" t="s">
        <v>40</v>
      </c>
      <c r="C36" s="44"/>
      <c r="D36" s="204">
        <v>26130.69</v>
      </c>
      <c r="E36" s="6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45" x14ac:dyDescent="0.2">
      <c r="A37" s="31"/>
      <c r="B37" s="46" t="s">
        <v>41</v>
      </c>
      <c r="C37" s="44"/>
      <c r="D37" s="204"/>
      <c r="E37" s="6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">
      <c r="A38" s="42"/>
      <c r="B38" s="47" t="s">
        <v>90</v>
      </c>
      <c r="C38" s="44"/>
      <c r="D38" s="204">
        <v>0</v>
      </c>
      <c r="E38" s="6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x14ac:dyDescent="0.2">
      <c r="A39" s="42"/>
      <c r="B39" s="47" t="s">
        <v>109</v>
      </c>
      <c r="C39" s="44"/>
      <c r="D39" s="204">
        <v>0</v>
      </c>
      <c r="E39" s="6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x14ac:dyDescent="0.2">
      <c r="A40" s="42"/>
      <c r="B40" s="47" t="s">
        <v>91</v>
      </c>
      <c r="C40" s="44"/>
      <c r="D40" s="204">
        <v>0</v>
      </c>
      <c r="E40" s="6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x14ac:dyDescent="0.2">
      <c r="A41" s="29"/>
      <c r="B41" s="47" t="s">
        <v>92</v>
      </c>
      <c r="C41" s="44"/>
      <c r="D41" s="204">
        <v>4036.15</v>
      </c>
      <c r="E41" s="6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6" customHeight="1" x14ac:dyDescent="0.2">
      <c r="A42" s="42"/>
      <c r="B42" s="240" t="s">
        <v>258</v>
      </c>
      <c r="C42" s="44"/>
      <c r="D42" s="204">
        <v>440.17</v>
      </c>
      <c r="E42" s="6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51" x14ac:dyDescent="0.2">
      <c r="A43" s="12" t="s">
        <v>46</v>
      </c>
      <c r="B43" s="48" t="s">
        <v>47</v>
      </c>
      <c r="C43" s="49"/>
      <c r="D43" s="204"/>
      <c r="E43" s="6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x14ac:dyDescent="0.2">
      <c r="A44" s="49"/>
      <c r="B44" s="50" t="s">
        <v>48</v>
      </c>
      <c r="C44" s="49"/>
      <c r="D44" s="204"/>
      <c r="E44" s="6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25.5" x14ac:dyDescent="0.2">
      <c r="A45" s="31"/>
      <c r="B45" s="51" t="s">
        <v>49</v>
      </c>
      <c r="C45" s="20" t="s">
        <v>6</v>
      </c>
      <c r="D45" s="216">
        <f>D46+D47+D48</f>
        <v>123823.58</v>
      </c>
      <c r="E45" s="6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2.5" x14ac:dyDescent="0.2">
      <c r="A46" s="33"/>
      <c r="B46" s="28" t="s">
        <v>50</v>
      </c>
      <c r="C46" s="39"/>
      <c r="D46" s="204">
        <v>123823.58</v>
      </c>
      <c r="E46" s="6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31"/>
      <c r="B47" s="52" t="s">
        <v>51</v>
      </c>
      <c r="C47" s="39"/>
      <c r="D47" s="204"/>
      <c r="E47" s="6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6.25" customHeight="1" x14ac:dyDescent="0.2">
      <c r="A48" s="31"/>
      <c r="B48" s="52" t="s">
        <v>52</v>
      </c>
      <c r="C48" s="39"/>
      <c r="D48" s="204">
        <v>0</v>
      </c>
      <c r="E48" s="6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49"/>
      <c r="B49" s="76" t="s">
        <v>53</v>
      </c>
      <c r="C49" s="49"/>
      <c r="D49" s="204"/>
      <c r="E49" s="6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x14ac:dyDescent="0.2">
      <c r="A50" s="17"/>
      <c r="B50" s="77" t="s">
        <v>54</v>
      </c>
      <c r="C50" s="20" t="s">
        <v>6</v>
      </c>
      <c r="D50" s="216">
        <f>D51+D52+D53+D54+D55</f>
        <v>321652.12</v>
      </c>
      <c r="E50" s="6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">
      <c r="A51" s="17"/>
      <c r="B51" s="78" t="s">
        <v>55</v>
      </c>
      <c r="C51" s="79"/>
      <c r="D51" s="204">
        <v>120889</v>
      </c>
      <c r="E51" s="6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17"/>
      <c r="B52" s="78" t="s">
        <v>56</v>
      </c>
      <c r="C52" s="79"/>
      <c r="D52" s="204">
        <v>180038.7</v>
      </c>
      <c r="E52" s="6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">
      <c r="A53" s="17"/>
      <c r="B53" s="78" t="s">
        <v>57</v>
      </c>
      <c r="C53" s="79"/>
      <c r="D53" s="204">
        <v>10075</v>
      </c>
      <c r="E53" s="6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">
      <c r="A54" s="17"/>
      <c r="B54" s="78" t="s">
        <v>59</v>
      </c>
      <c r="C54" s="79"/>
      <c r="D54" s="204">
        <v>0</v>
      </c>
      <c r="E54" s="6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">
      <c r="A55" s="17"/>
      <c r="B55" s="28" t="s">
        <v>97</v>
      </c>
      <c r="C55" s="79"/>
      <c r="D55" s="204">
        <v>10649.42</v>
      </c>
      <c r="E55" s="6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">
      <c r="A56" s="33" t="s">
        <v>60</v>
      </c>
      <c r="B56" s="210" t="s">
        <v>252</v>
      </c>
      <c r="C56" s="20" t="s">
        <v>6</v>
      </c>
      <c r="D56" s="216">
        <v>13607.4</v>
      </c>
      <c r="E56" s="6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">
      <c r="A57" s="31" t="s">
        <v>62</v>
      </c>
      <c r="B57" s="211" t="s">
        <v>253</v>
      </c>
      <c r="C57" s="20" t="s">
        <v>6</v>
      </c>
      <c r="D57" s="216">
        <v>42579.99</v>
      </c>
      <c r="E57" s="6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33.75" x14ac:dyDescent="0.2">
      <c r="A58" s="31"/>
      <c r="B58" s="54" t="s">
        <v>63</v>
      </c>
      <c r="C58" s="55"/>
      <c r="D58" s="204"/>
      <c r="E58" s="6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51" x14ac:dyDescent="0.2">
      <c r="A59" s="31" t="s">
        <v>64</v>
      </c>
      <c r="B59" s="51" t="s">
        <v>124</v>
      </c>
      <c r="C59" s="20" t="s">
        <v>6</v>
      </c>
      <c r="D59" s="216">
        <v>160800</v>
      </c>
      <c r="E59" s="6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25.5" x14ac:dyDescent="0.2">
      <c r="A60" s="31" t="s">
        <v>66</v>
      </c>
      <c r="B60" s="136" t="s">
        <v>126</v>
      </c>
      <c r="C60" s="20" t="s">
        <v>6</v>
      </c>
      <c r="D60" s="216">
        <v>160515.5</v>
      </c>
      <c r="E60" s="6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48" x14ac:dyDescent="0.2">
      <c r="A61" s="15" t="s">
        <v>125</v>
      </c>
      <c r="B61" s="56" t="s">
        <v>65</v>
      </c>
      <c r="C61" s="55" t="s">
        <v>6</v>
      </c>
      <c r="D61" s="216">
        <v>70360</v>
      </c>
      <c r="E61" s="6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60" x14ac:dyDescent="0.2">
      <c r="A62" s="33" t="s">
        <v>127</v>
      </c>
      <c r="B62" s="57" t="s">
        <v>67</v>
      </c>
      <c r="C62" s="55" t="s">
        <v>6</v>
      </c>
      <c r="D62" s="216">
        <f>229183.46+6602.36</f>
        <v>235785.81999999998</v>
      </c>
      <c r="E62" s="6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5" x14ac:dyDescent="0.25">
      <c r="A63" s="22" t="s">
        <v>128</v>
      </c>
      <c r="B63" s="58" t="s">
        <v>69</v>
      </c>
      <c r="C63" s="55" t="s">
        <v>6</v>
      </c>
      <c r="D63" s="218">
        <f>D15*6%</f>
        <v>82317.001199999999</v>
      </c>
      <c r="E63" s="6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x14ac:dyDescent="0.2">
      <c r="A64" s="31"/>
      <c r="B64" s="59" t="s">
        <v>70</v>
      </c>
      <c r="C64" s="55" t="s">
        <v>6</v>
      </c>
      <c r="D64" s="218">
        <f>D24+D26+D29+D33+D45+D50+D56+D57+D59+D60+D61+D62+D63</f>
        <v>1480570.4012000002</v>
      </c>
      <c r="E64" s="6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5.75" x14ac:dyDescent="0.25">
      <c r="A65" s="60"/>
      <c r="B65" s="61"/>
      <c r="C65" s="62"/>
      <c r="D65" s="156"/>
      <c r="E65" s="156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5.75" x14ac:dyDescent="0.25">
      <c r="A66" s="60"/>
      <c r="B66" s="61" t="s">
        <v>116</v>
      </c>
      <c r="C66" s="62"/>
      <c r="D66" s="159">
        <f>D6+D15-D64</f>
        <v>-95653.721200000262</v>
      </c>
      <c r="E66" s="156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5.75" x14ac:dyDescent="0.25">
      <c r="A67" s="60"/>
      <c r="B67" s="61"/>
      <c r="C67" s="62"/>
      <c r="D67" s="156"/>
      <c r="E67" s="156"/>
      <c r="F67" s="6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.75" x14ac:dyDescent="0.25">
      <c r="A68" s="60"/>
      <c r="B68" s="61"/>
      <c r="C68" s="62"/>
      <c r="D68" s="63"/>
      <c r="E68" s="63"/>
      <c r="F68" s="6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5.75" x14ac:dyDescent="0.25">
      <c r="A69" s="60"/>
      <c r="B69" s="61"/>
      <c r="C69" s="62"/>
      <c r="D69" s="65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x14ac:dyDescent="0.2">
      <c r="A70" s="60"/>
      <c r="B70" s="66" t="s">
        <v>72</v>
      </c>
      <c r="C70" s="66"/>
      <c r="D70" s="66" t="s">
        <v>73</v>
      </c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x14ac:dyDescent="0.2">
      <c r="A71" s="60"/>
      <c r="B71" s="66" t="s">
        <v>74</v>
      </c>
      <c r="C71" s="66"/>
      <c r="D71" s="66" t="s">
        <v>275</v>
      </c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x14ac:dyDescent="0.2">
      <c r="A72" s="60"/>
      <c r="G72" s="153"/>
      <c r="H72" s="153"/>
      <c r="I72" s="153"/>
      <c r="J72" s="153"/>
      <c r="O72" s="153"/>
    </row>
    <row r="73" spans="1:15" x14ac:dyDescent="0.2">
      <c r="O73" s="153"/>
    </row>
    <row r="74" spans="1:15" x14ac:dyDescent="0.2">
      <c r="O74" s="153"/>
    </row>
    <row r="75" spans="1:15" x14ac:dyDescent="0.2">
      <c r="O75" s="153"/>
    </row>
    <row r="76" spans="1:15" x14ac:dyDescent="0.2">
      <c r="O76" s="153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42" workbookViewId="0">
      <selection activeCell="F21" sqref="F21:Q62"/>
    </sheetView>
  </sheetViews>
  <sheetFormatPr defaultColWidth="9" defaultRowHeight="14.25" x14ac:dyDescent="0.2"/>
  <cols>
    <col min="1" max="1" width="5.140625" style="1" customWidth="1"/>
    <col min="2" max="2" width="41" style="1" customWidth="1"/>
    <col min="3" max="3" width="7.85546875" style="1" customWidth="1"/>
    <col min="4" max="4" width="13" style="1" customWidth="1"/>
    <col min="5" max="5" width="13.2851562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" style="1" customWidth="1"/>
    <col min="10" max="10" width="9.28515625" style="1" customWidth="1"/>
    <col min="11" max="11" width="9.5703125" style="1" customWidth="1"/>
    <col min="12" max="16384" width="9" style="1"/>
  </cols>
  <sheetData>
    <row r="1" spans="1:7" ht="15" x14ac:dyDescent="0.25">
      <c r="B1" s="82" t="s">
        <v>0</v>
      </c>
      <c r="C1" s="2"/>
      <c r="D1" s="3"/>
      <c r="G1" s="2"/>
    </row>
    <row r="2" spans="1:7" ht="15" customHeight="1" x14ac:dyDescent="0.25">
      <c r="A2" s="298" t="s">
        <v>111</v>
      </c>
      <c r="B2" s="298"/>
      <c r="C2" s="298"/>
      <c r="D2" s="298"/>
      <c r="E2" s="298"/>
      <c r="F2" s="4"/>
      <c r="G2" s="2"/>
    </row>
    <row r="3" spans="1:7" ht="15" customHeight="1" x14ac:dyDescent="0.25">
      <c r="A3" s="4"/>
      <c r="B3" s="298" t="s">
        <v>188</v>
      </c>
      <c r="C3" s="298"/>
      <c r="D3" s="298"/>
      <c r="E3" s="298"/>
      <c r="G3" s="2"/>
    </row>
    <row r="4" spans="1:7" ht="15" x14ac:dyDescent="0.25">
      <c r="B4" s="5"/>
      <c r="C4" s="5"/>
      <c r="D4" s="5"/>
      <c r="G4" s="2"/>
    </row>
    <row r="5" spans="1:7" ht="15" x14ac:dyDescent="0.25">
      <c r="B5" s="5" t="s">
        <v>182</v>
      </c>
      <c r="C5" s="5"/>
      <c r="D5" s="163">
        <v>369519.81</v>
      </c>
      <c r="G5" s="2"/>
    </row>
    <row r="6" spans="1:7" ht="15" x14ac:dyDescent="0.25">
      <c r="A6" s="6"/>
      <c r="B6" s="164" t="s">
        <v>211</v>
      </c>
      <c r="C6" s="8" t="s">
        <v>6</v>
      </c>
      <c r="D6" s="161">
        <v>597366.03</v>
      </c>
      <c r="E6" s="6"/>
      <c r="F6" s="2"/>
    </row>
    <row r="7" spans="1:7" ht="15" x14ac:dyDescent="0.25">
      <c r="A7" s="6"/>
      <c r="B7" s="164"/>
      <c r="C7" s="8"/>
      <c r="D7" s="161"/>
      <c r="E7" s="6"/>
      <c r="F7" s="2"/>
    </row>
    <row r="8" spans="1:7" ht="15" x14ac:dyDescent="0.25">
      <c r="A8" s="6"/>
      <c r="B8" s="165" t="s">
        <v>2</v>
      </c>
      <c r="C8" s="8" t="s">
        <v>3</v>
      </c>
      <c r="D8" s="160">
        <v>6835.6</v>
      </c>
      <c r="E8" s="6"/>
      <c r="F8" s="2"/>
    </row>
    <row r="9" spans="1:7" ht="15" x14ac:dyDescent="0.25">
      <c r="A9" s="6"/>
      <c r="B9" s="165" t="s">
        <v>4</v>
      </c>
      <c r="C9" s="8" t="s">
        <v>3</v>
      </c>
      <c r="D9" s="160">
        <v>4439</v>
      </c>
      <c r="E9" s="6"/>
      <c r="F9" s="2"/>
    </row>
    <row r="10" spans="1:7" ht="15" x14ac:dyDescent="0.25">
      <c r="A10" s="6"/>
      <c r="B10" s="166" t="s">
        <v>5</v>
      </c>
      <c r="C10" s="7" t="s">
        <v>6</v>
      </c>
      <c r="D10" s="161">
        <v>847757.64</v>
      </c>
      <c r="E10" s="6"/>
      <c r="F10" s="2"/>
    </row>
    <row r="11" spans="1:7" ht="15" x14ac:dyDescent="0.25">
      <c r="A11" s="6"/>
      <c r="B11" s="164"/>
      <c r="C11" s="7"/>
      <c r="D11" s="160"/>
      <c r="E11" s="6"/>
      <c r="F11" s="2"/>
    </row>
    <row r="12" spans="1:7" ht="15" x14ac:dyDescent="0.25">
      <c r="A12" s="6"/>
      <c r="B12" s="166" t="s">
        <v>7</v>
      </c>
      <c r="C12" s="7"/>
      <c r="D12" s="160"/>
      <c r="E12" s="6"/>
      <c r="F12" s="2"/>
    </row>
    <row r="13" spans="1:7" ht="15" x14ac:dyDescent="0.25">
      <c r="A13" s="6">
        <v>1</v>
      </c>
      <c r="B13" s="167" t="s">
        <v>208</v>
      </c>
      <c r="C13" s="8" t="s">
        <v>6</v>
      </c>
      <c r="D13" s="160">
        <v>685013.73</v>
      </c>
      <c r="E13" s="6"/>
      <c r="F13" s="2"/>
    </row>
    <row r="14" spans="1:7" ht="15" x14ac:dyDescent="0.25">
      <c r="A14" s="6">
        <v>2</v>
      </c>
      <c r="B14" s="167" t="s">
        <v>9</v>
      </c>
      <c r="C14" s="8" t="s">
        <v>6</v>
      </c>
      <c r="D14" s="160">
        <f>3000+6300+9000</f>
        <v>18300</v>
      </c>
      <c r="E14" s="6"/>
      <c r="F14" s="2"/>
    </row>
    <row r="15" spans="1:7" ht="15" x14ac:dyDescent="0.25">
      <c r="A15" s="6"/>
      <c r="B15" s="167"/>
      <c r="C15" s="8"/>
      <c r="D15" s="160"/>
      <c r="E15" s="6"/>
      <c r="F15" s="2"/>
    </row>
    <row r="16" spans="1:7" ht="15" x14ac:dyDescent="0.25">
      <c r="A16" s="6"/>
      <c r="B16" s="166" t="s">
        <v>10</v>
      </c>
      <c r="C16" s="7" t="s">
        <v>6</v>
      </c>
      <c r="D16" s="161">
        <f>D13+D14+D15</f>
        <v>703313.73</v>
      </c>
      <c r="E16" s="6"/>
      <c r="F16" s="2"/>
    </row>
    <row r="17" spans="1:6" ht="15" x14ac:dyDescent="0.25">
      <c r="A17" s="6"/>
      <c r="B17" s="7"/>
      <c r="C17" s="7"/>
      <c r="D17" s="160"/>
      <c r="E17" s="6"/>
      <c r="F17" s="2"/>
    </row>
    <row r="18" spans="1:6" x14ac:dyDescent="0.2">
      <c r="B18" s="5"/>
      <c r="C18" s="5"/>
      <c r="D18" s="131"/>
    </row>
    <row r="19" spans="1:6" x14ac:dyDescent="0.2">
      <c r="B19" s="87" t="s">
        <v>11</v>
      </c>
      <c r="C19" s="5"/>
      <c r="D19" s="131"/>
    </row>
    <row r="20" spans="1:6" x14ac:dyDescent="0.2">
      <c r="A20" s="13"/>
      <c r="B20" s="14"/>
      <c r="C20" s="14"/>
      <c r="D20" s="132"/>
      <c r="E20" s="13"/>
    </row>
    <row r="21" spans="1:6" ht="15" x14ac:dyDescent="0.25">
      <c r="A21" s="15" t="s">
        <v>12</v>
      </c>
      <c r="B21" s="16"/>
      <c r="C21" s="17" t="s">
        <v>85</v>
      </c>
      <c r="D21" s="133" t="s">
        <v>13</v>
      </c>
      <c r="E21" s="18" t="s">
        <v>86</v>
      </c>
    </row>
    <row r="22" spans="1:6" ht="15" x14ac:dyDescent="0.25">
      <c r="A22" s="15" t="s">
        <v>15</v>
      </c>
      <c r="B22" s="20" t="s">
        <v>16</v>
      </c>
      <c r="C22" s="20" t="s">
        <v>87</v>
      </c>
      <c r="D22" s="133" t="s">
        <v>17</v>
      </c>
      <c r="E22" s="125"/>
    </row>
    <row r="23" spans="1:6" ht="25.5" x14ac:dyDescent="0.2">
      <c r="A23" s="22" t="s">
        <v>18</v>
      </c>
      <c r="B23" s="23" t="s">
        <v>88</v>
      </c>
      <c r="C23" s="24"/>
      <c r="D23" s="68"/>
      <c r="E23" s="6"/>
    </row>
    <row r="24" spans="1:6" ht="41.25" customHeight="1" x14ac:dyDescent="0.2">
      <c r="A24" s="22"/>
      <c r="B24" s="25" t="s">
        <v>20</v>
      </c>
      <c r="C24" s="26" t="s">
        <v>6</v>
      </c>
      <c r="D24" s="216">
        <f>D25+D26+D27</f>
        <v>159252.76</v>
      </c>
      <c r="E24" s="6"/>
    </row>
    <row r="25" spans="1:6" ht="81.75" customHeight="1" x14ac:dyDescent="0.2">
      <c r="A25" s="22"/>
      <c r="B25" s="28" t="s">
        <v>21</v>
      </c>
      <c r="C25" s="29"/>
      <c r="D25" s="204">
        <v>70720</v>
      </c>
      <c r="E25" s="6"/>
    </row>
    <row r="26" spans="1:6" ht="112.5" x14ac:dyDescent="0.2">
      <c r="A26" s="30"/>
      <c r="B26" s="28" t="s">
        <v>22</v>
      </c>
      <c r="C26" s="29"/>
      <c r="D26" s="204">
        <v>80010.759999999995</v>
      </c>
      <c r="E26" s="6"/>
    </row>
    <row r="27" spans="1:6" ht="24" x14ac:dyDescent="0.2">
      <c r="A27" s="31"/>
      <c r="B27" s="32" t="s">
        <v>23</v>
      </c>
      <c r="C27" s="29"/>
      <c r="D27" s="204">
        <v>8522</v>
      </c>
      <c r="E27" s="6"/>
    </row>
    <row r="28" spans="1:6" ht="25.5" x14ac:dyDescent="0.2">
      <c r="A28" s="22"/>
      <c r="B28" s="25" t="s">
        <v>24</v>
      </c>
      <c r="C28" s="26" t="s">
        <v>6</v>
      </c>
      <c r="D28" s="216">
        <f>D29+D30</f>
        <v>9891</v>
      </c>
      <c r="E28" s="6"/>
    </row>
    <row r="29" spans="1:6" x14ac:dyDescent="0.2">
      <c r="A29" s="33"/>
      <c r="B29" s="34" t="s">
        <v>25</v>
      </c>
      <c r="C29" s="35"/>
      <c r="D29" s="204">
        <v>7761</v>
      </c>
      <c r="E29" s="6"/>
    </row>
    <row r="30" spans="1:6" x14ac:dyDescent="0.2">
      <c r="A30" s="22"/>
      <c r="B30" s="34" t="s">
        <v>26</v>
      </c>
      <c r="C30" s="35"/>
      <c r="D30" s="204">
        <v>2130</v>
      </c>
      <c r="E30" s="6"/>
    </row>
    <row r="31" spans="1:6" ht="38.25" x14ac:dyDescent="0.2">
      <c r="A31" s="22" t="s">
        <v>27</v>
      </c>
      <c r="B31" s="25" t="s">
        <v>28</v>
      </c>
      <c r="C31" s="36" t="s">
        <v>6</v>
      </c>
      <c r="D31" s="216">
        <f>D32+D33</f>
        <v>27200</v>
      </c>
      <c r="E31" s="6"/>
    </row>
    <row r="32" spans="1:6" ht="72" customHeight="1" x14ac:dyDescent="0.2">
      <c r="A32" s="37"/>
      <c r="B32" s="28" t="s">
        <v>29</v>
      </c>
      <c r="C32" s="29"/>
      <c r="D32" s="204">
        <v>27200</v>
      </c>
      <c r="E32" s="6"/>
    </row>
    <row r="33" spans="1:5" ht="22.5" x14ac:dyDescent="0.2">
      <c r="A33" s="37"/>
      <c r="B33" s="248" t="s">
        <v>30</v>
      </c>
      <c r="C33" s="39"/>
      <c r="D33" s="204">
        <v>0</v>
      </c>
      <c r="E33" s="6"/>
    </row>
    <row r="34" spans="1:5" ht="39" customHeight="1" x14ac:dyDescent="0.2">
      <c r="A34" s="37" t="s">
        <v>31</v>
      </c>
      <c r="B34" s="25" t="s">
        <v>32</v>
      </c>
      <c r="C34" s="12" t="s">
        <v>6</v>
      </c>
      <c r="D34" s="216">
        <f>D35+D36+D37</f>
        <v>8070</v>
      </c>
      <c r="E34" s="6"/>
    </row>
    <row r="35" spans="1:5" ht="33.75" x14ac:dyDescent="0.2">
      <c r="A35" s="33"/>
      <c r="B35" s="250" t="s">
        <v>33</v>
      </c>
      <c r="C35" s="39"/>
      <c r="D35" s="204">
        <v>1850</v>
      </c>
      <c r="E35" s="6"/>
    </row>
    <row r="36" spans="1:5" ht="22.5" x14ac:dyDescent="0.2">
      <c r="A36" s="33"/>
      <c r="B36" s="248" t="s">
        <v>89</v>
      </c>
      <c r="C36" s="39"/>
      <c r="D36" s="204">
        <v>6220</v>
      </c>
      <c r="E36" s="6"/>
    </row>
    <row r="37" spans="1:5" ht="22.5" x14ac:dyDescent="0.2">
      <c r="A37" s="33"/>
      <c r="B37" s="248" t="s">
        <v>35</v>
      </c>
      <c r="C37" s="39"/>
      <c r="D37" s="204">
        <v>0</v>
      </c>
      <c r="E37" s="6"/>
    </row>
    <row r="38" spans="1:5" ht="15.75" x14ac:dyDescent="0.25">
      <c r="A38" s="31" t="s">
        <v>36</v>
      </c>
      <c r="B38" s="41" t="s">
        <v>37</v>
      </c>
      <c r="C38" s="20" t="s">
        <v>6</v>
      </c>
      <c r="D38" s="216">
        <f>D39+D40+D41+D43+D44+D45+D46</f>
        <v>46282.38</v>
      </c>
      <c r="E38" s="6"/>
    </row>
    <row r="39" spans="1:5" x14ac:dyDescent="0.2">
      <c r="A39" s="42"/>
      <c r="B39" s="202" t="s">
        <v>38</v>
      </c>
      <c r="C39" s="44"/>
      <c r="D39" s="204">
        <v>5761.56</v>
      </c>
      <c r="E39" s="6"/>
    </row>
    <row r="40" spans="1:5" ht="14.25" customHeight="1" x14ac:dyDescent="0.2">
      <c r="A40" s="42"/>
      <c r="B40" s="202" t="s">
        <v>39</v>
      </c>
      <c r="C40" s="44"/>
      <c r="D40" s="204">
        <v>13066</v>
      </c>
      <c r="E40" s="6"/>
    </row>
    <row r="41" spans="1:5" x14ac:dyDescent="0.2">
      <c r="A41" s="42"/>
      <c r="B41" s="205" t="s">
        <v>40</v>
      </c>
      <c r="C41" s="44"/>
      <c r="D41" s="204">
        <v>20715.02</v>
      </c>
      <c r="E41" s="6"/>
    </row>
    <row r="42" spans="1:5" ht="37.5" customHeight="1" x14ac:dyDescent="0.2">
      <c r="A42" s="31"/>
      <c r="B42" s="207" t="s">
        <v>41</v>
      </c>
      <c r="C42" s="44"/>
      <c r="D42" s="204"/>
      <c r="E42" s="6"/>
    </row>
    <row r="43" spans="1:5" x14ac:dyDescent="0.2">
      <c r="A43" s="42"/>
      <c r="B43" s="208" t="s">
        <v>90</v>
      </c>
      <c r="C43" s="44"/>
      <c r="D43" s="204"/>
      <c r="E43" s="6"/>
    </row>
    <row r="44" spans="1:5" x14ac:dyDescent="0.2">
      <c r="A44" s="42"/>
      <c r="B44" s="208" t="s">
        <v>91</v>
      </c>
      <c r="C44" s="44"/>
      <c r="D44" s="204">
        <v>715.53</v>
      </c>
      <c r="E44" s="6"/>
    </row>
    <row r="45" spans="1:5" x14ac:dyDescent="0.2">
      <c r="A45" s="29"/>
      <c r="B45" s="208" t="s">
        <v>92</v>
      </c>
      <c r="C45" s="44"/>
      <c r="D45" s="204">
        <v>5499.48</v>
      </c>
      <c r="E45" s="6"/>
    </row>
    <row r="46" spans="1:5" ht="12" customHeight="1" x14ac:dyDescent="0.2">
      <c r="A46" s="42"/>
      <c r="B46" s="208" t="s">
        <v>45</v>
      </c>
      <c r="C46" s="44"/>
      <c r="D46" s="204">
        <v>524.79</v>
      </c>
      <c r="E46" s="6"/>
    </row>
    <row r="47" spans="1:5" ht="41.25" customHeight="1" x14ac:dyDescent="0.2">
      <c r="A47" s="12" t="s">
        <v>46</v>
      </c>
      <c r="B47" s="48" t="s">
        <v>47</v>
      </c>
      <c r="C47" s="49"/>
      <c r="D47" s="204"/>
      <c r="E47" s="6"/>
    </row>
    <row r="48" spans="1:5" x14ac:dyDescent="0.2">
      <c r="A48" s="49"/>
      <c r="B48" s="50" t="s">
        <v>48</v>
      </c>
      <c r="C48" s="49"/>
      <c r="D48" s="204"/>
      <c r="E48" s="6"/>
    </row>
    <row r="49" spans="1:15" ht="25.5" x14ac:dyDescent="0.2">
      <c r="A49" s="31"/>
      <c r="B49" s="51" t="s">
        <v>49</v>
      </c>
      <c r="C49" s="20" t="s">
        <v>6</v>
      </c>
      <c r="D49" s="216">
        <f>D50+D51+D52</f>
        <v>109932.60999999999</v>
      </c>
      <c r="E49" s="6"/>
    </row>
    <row r="50" spans="1:15" ht="22.5" x14ac:dyDescent="0.2">
      <c r="A50" s="33"/>
      <c r="B50" s="28" t="s">
        <v>50</v>
      </c>
      <c r="C50" s="39"/>
      <c r="D50" s="204">
        <v>106504.68</v>
      </c>
      <c r="E50" s="6"/>
    </row>
    <row r="51" spans="1:15" x14ac:dyDescent="0.2">
      <c r="A51" s="31"/>
      <c r="B51" s="52" t="s">
        <v>51</v>
      </c>
      <c r="C51" s="75"/>
      <c r="D51" s="204">
        <v>0</v>
      </c>
      <c r="E51" s="6"/>
    </row>
    <row r="52" spans="1:15" ht="22.5" x14ac:dyDescent="0.2">
      <c r="A52" s="31"/>
      <c r="B52" s="52" t="s">
        <v>52</v>
      </c>
      <c r="C52" s="75"/>
      <c r="D52" s="204">
        <v>3427.93</v>
      </c>
      <c r="E52" s="6"/>
    </row>
    <row r="53" spans="1:15" x14ac:dyDescent="0.2">
      <c r="A53" s="33" t="s">
        <v>60</v>
      </c>
      <c r="B53" s="210" t="s">
        <v>252</v>
      </c>
      <c r="C53" s="20" t="s">
        <v>6</v>
      </c>
      <c r="D53" s="204">
        <v>10792.66</v>
      </c>
      <c r="E53" s="6"/>
    </row>
    <row r="54" spans="1:15" x14ac:dyDescent="0.2">
      <c r="A54" s="31" t="s">
        <v>62</v>
      </c>
      <c r="B54" s="211" t="s">
        <v>262</v>
      </c>
      <c r="C54" s="20" t="s">
        <v>6</v>
      </c>
      <c r="D54" s="216">
        <v>168759.82</v>
      </c>
      <c r="E54" s="6"/>
    </row>
    <row r="55" spans="1:15" ht="33.75" x14ac:dyDescent="0.2">
      <c r="A55" s="31"/>
      <c r="B55" s="54" t="s">
        <v>63</v>
      </c>
      <c r="C55" s="55"/>
      <c r="D55" s="204"/>
      <c r="E55" s="6"/>
    </row>
    <row r="56" spans="1:15" ht="45" x14ac:dyDescent="0.2">
      <c r="A56" s="31" t="s">
        <v>64</v>
      </c>
      <c r="B56" s="264" t="s">
        <v>65</v>
      </c>
      <c r="C56" s="55" t="s">
        <v>6</v>
      </c>
      <c r="D56" s="216">
        <f>68045.94+118.54</f>
        <v>68164.479999999996</v>
      </c>
      <c r="E56" s="6"/>
    </row>
    <row r="57" spans="1:15" ht="45" customHeight="1" x14ac:dyDescent="0.2">
      <c r="A57" s="31" t="s">
        <v>66</v>
      </c>
      <c r="B57" s="265" t="s">
        <v>67</v>
      </c>
      <c r="C57" s="55" t="s">
        <v>6</v>
      </c>
      <c r="D57" s="216">
        <v>174653.84</v>
      </c>
      <c r="E57" s="6"/>
    </row>
    <row r="58" spans="1:15" x14ac:dyDescent="0.2">
      <c r="A58" s="213" t="s">
        <v>68</v>
      </c>
      <c r="B58" s="184" t="s">
        <v>69</v>
      </c>
      <c r="C58" s="55" t="s">
        <v>6</v>
      </c>
      <c r="D58" s="218">
        <f>D16*6%</f>
        <v>42198.823799999998</v>
      </c>
      <c r="E58" s="6"/>
    </row>
    <row r="59" spans="1:15" x14ac:dyDescent="0.2">
      <c r="A59" s="31"/>
      <c r="B59" s="59" t="s">
        <v>70</v>
      </c>
      <c r="C59" s="55" t="s">
        <v>6</v>
      </c>
      <c r="D59" s="218">
        <f>D58+D57+D56+D54+D53+D49+D38+D34+D31+D28+D24</f>
        <v>825198.37379999994</v>
      </c>
      <c r="E59" s="6"/>
    </row>
    <row r="60" spans="1:15" ht="15.75" x14ac:dyDescent="0.25">
      <c r="A60" s="60"/>
      <c r="B60" s="61" t="s">
        <v>116</v>
      </c>
      <c r="C60" s="62"/>
      <c r="D60" s="159">
        <f>D6+D16-D59</f>
        <v>475481.38620000007</v>
      </c>
      <c r="E60" s="159"/>
    </row>
    <row r="61" spans="1:15" ht="15.75" x14ac:dyDescent="0.25">
      <c r="A61" s="60"/>
      <c r="B61" s="61"/>
      <c r="C61" s="62"/>
      <c r="D61" s="159"/>
      <c r="E61" s="159"/>
    </row>
    <row r="62" spans="1:15" x14ac:dyDescent="0.2">
      <c r="A62" s="60"/>
      <c r="B62" s="66" t="s">
        <v>72</v>
      </c>
      <c r="C62" s="66"/>
      <c r="D62" s="66" t="s">
        <v>73</v>
      </c>
      <c r="E62" s="159"/>
    </row>
    <row r="63" spans="1:15" x14ac:dyDescent="0.2">
      <c r="A63" s="60"/>
      <c r="B63" s="66" t="s">
        <v>74</v>
      </c>
      <c r="C63" s="66"/>
      <c r="D63" s="275" t="s">
        <v>273</v>
      </c>
      <c r="E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5.75" x14ac:dyDescent="0.25">
      <c r="A64" s="60"/>
      <c r="B64" s="61"/>
      <c r="C64" s="62"/>
      <c r="D64" s="228"/>
      <c r="E64" s="153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4" ht="15.75" x14ac:dyDescent="0.25">
      <c r="A65" s="60"/>
      <c r="B65" s="61"/>
      <c r="C65" s="62"/>
      <c r="D65" s="228"/>
    </row>
    <row r="66" spans="1:4" ht="15.75" x14ac:dyDescent="0.25">
      <c r="B66" s="61"/>
      <c r="C66" s="62"/>
      <c r="D66" s="228"/>
    </row>
    <row r="67" spans="1:4" ht="15.75" x14ac:dyDescent="0.25">
      <c r="B67" s="61"/>
      <c r="C67" s="62"/>
      <c r="D67" s="228"/>
    </row>
  </sheetData>
  <mergeCells count="2">
    <mergeCell ref="A2:E2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А7</vt:lpstr>
      <vt:lpstr>А18</vt:lpstr>
      <vt:lpstr>А23а</vt:lpstr>
      <vt:lpstr>А25</vt:lpstr>
      <vt:lpstr>В4</vt:lpstr>
      <vt:lpstr>В10</vt:lpstr>
      <vt:lpstr>В10,7</vt:lpstr>
      <vt:lpstr>В10.8</vt:lpstr>
      <vt:lpstr>В12</vt:lpstr>
      <vt:lpstr>В16</vt:lpstr>
      <vt:lpstr>В17</vt:lpstr>
      <vt:lpstr>В19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В31</vt:lpstr>
      <vt:lpstr>В32</vt:lpstr>
      <vt:lpstr>В34</vt:lpstr>
      <vt:lpstr>В36</vt:lpstr>
      <vt:lpstr>М8,7</vt:lpstr>
      <vt:lpstr>М13.2</vt:lpstr>
      <vt:lpstr>М18</vt:lpstr>
      <vt:lpstr>М19</vt:lpstr>
      <vt:lpstr>М28</vt:lpstr>
      <vt:lpstr>М30</vt:lpstr>
      <vt:lpstr>М30,1</vt:lpstr>
      <vt:lpstr>М39</vt:lpstr>
      <vt:lpstr>М41</vt:lpstr>
      <vt:lpstr>М45</vt:lpstr>
      <vt:lpstr>М47</vt:lpstr>
      <vt:lpstr>М,Б34.18</vt:lpstr>
      <vt:lpstr>Т3</vt:lpstr>
      <vt:lpstr>Т4</vt:lpstr>
      <vt:lpstr>Т10</vt:lpstr>
      <vt:lpstr>Т13</vt:lpstr>
      <vt:lpstr>Т15</vt:lpstr>
      <vt:lpstr>Тр17.1</vt:lpstr>
      <vt:lpstr>Тр17.2</vt:lpstr>
      <vt:lpstr>Т18</vt:lpstr>
      <vt:lpstr>Т21</vt:lpstr>
      <vt:lpstr>Т23</vt:lpstr>
      <vt:lpstr>Т27</vt:lpstr>
      <vt:lpstr>Пл.100</vt:lpstr>
      <vt:lpstr>Пл177</vt:lpstr>
      <vt:lpstr>Пл179а</vt:lpstr>
      <vt:lpstr>Пл.181</vt:lpstr>
      <vt:lpstr>Пл.181а</vt:lpstr>
      <vt:lpstr>Пл187</vt:lpstr>
      <vt:lpstr>Пл.191</vt:lpstr>
      <vt:lpstr>ВЛКСМ14</vt:lpstr>
      <vt:lpstr>ВЛКСМ16</vt:lpstr>
      <vt:lpstr>отчет</vt:lpstr>
      <vt:lpstr>Лист57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cp:lastPrinted>2020-04-20T12:31:37Z</cp:lastPrinted>
  <dcterms:created xsi:type="dcterms:W3CDTF">2006-09-28T05:33:00Z</dcterms:created>
  <dcterms:modified xsi:type="dcterms:W3CDTF">2020-04-20T18:08:00Z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