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МЕДЯНКИНА Л.Д\Desktop\отчеты 2023\"/>
    </mc:Choice>
  </mc:AlternateContent>
  <xr:revisionPtr revIDLastSave="0" documentId="13_ncr:1_{8A04C1CC-8567-4B04-941F-5CAA347FAE28}" xr6:coauthVersionLast="47" xr6:coauthVersionMax="47" xr10:uidLastSave="{00000000-0000-0000-0000-000000000000}"/>
  <bookViews>
    <workbookView minimized="1" xWindow="5100" yWindow="4620" windowWidth="15300" windowHeight="6300" tabRatio="845" firstSheet="2" activeTab="2" xr2:uid="{00000000-000D-0000-FFFF-FFFF00000000}"/>
  </bookViews>
  <sheets>
    <sheet name="оплата" sheetId="418" r:id="rId1"/>
    <sheet name="А7-21" sheetId="359" r:id="rId2"/>
    <sheet name="А18-21" sheetId="360" r:id="rId3"/>
    <sheet name="А25-21" sheetId="361" r:id="rId4"/>
    <sheet name="В4-21" sheetId="362" r:id="rId5"/>
    <sheet name="В10-21" sheetId="363" r:id="rId6"/>
    <sheet name="В10,7-21" sheetId="364" r:id="rId7"/>
    <sheet name="В10,8-21" sheetId="366" r:id="rId8"/>
    <sheet name="В12-21" sheetId="367" r:id="rId9"/>
    <sheet name="В16-21" sheetId="368" r:id="rId10"/>
    <sheet name="В17-21" sheetId="369" r:id="rId11"/>
    <sheet name="В19-21" sheetId="370" r:id="rId12"/>
    <sheet name="В21-21" sheetId="371" r:id="rId13"/>
    <sheet name="В22-21" sheetId="373" r:id="rId14"/>
    <sheet name="В23-21" sheetId="372" r:id="rId15"/>
    <sheet name="В24-21" sheetId="374" r:id="rId16"/>
    <sheet name="В25-21" sheetId="375" r:id="rId17"/>
    <sheet name="В26-21" sheetId="376" r:id="rId18"/>
    <sheet name="В27-21" sheetId="377" r:id="rId19"/>
    <sheet name="В28-21" sheetId="378" r:id="rId20"/>
    <sheet name="В30-21" sheetId="379" r:id="rId21"/>
    <sheet name="В31-21" sheetId="380" r:id="rId22"/>
    <sheet name="В31-Д" sheetId="417" r:id="rId23"/>
    <sheet name="В32-21" sheetId="381" r:id="rId24"/>
    <sheet name="В34-21" sheetId="382" r:id="rId25"/>
    <sheet name="В36-21" sheetId="383" r:id="rId26"/>
    <sheet name="М 6" sheetId="416" r:id="rId27"/>
    <sheet name="М13,2-21" sheetId="384" r:id="rId28"/>
    <sheet name="М30,1-21" sheetId="385" r:id="rId29"/>
    <sheet name="М18-21" sheetId="386" r:id="rId30"/>
    <sheet name="М19-21" sheetId="387" r:id="rId31"/>
    <sheet name="М28-21" sheetId="388" r:id="rId32"/>
    <sheet name="М30-21" sheetId="389" r:id="rId33"/>
    <sheet name="М39-21" sheetId="390" r:id="rId34"/>
    <sheet name="М41-21" sheetId="391" r:id="rId35"/>
    <sheet name="М45-21" sheetId="392" r:id="rId36"/>
    <sheet name="М47-21" sheetId="393" r:id="rId37"/>
    <sheet name="М,Б34,18-21" sheetId="394" r:id="rId38"/>
    <sheet name="Т3-21" sheetId="396" r:id="rId39"/>
    <sheet name="Т4-21" sheetId="397" r:id="rId40"/>
    <sheet name="Т10-21" sheetId="398" r:id="rId41"/>
    <sheet name="Т13-21" sheetId="399" r:id="rId42"/>
    <sheet name="Т15-21" sheetId="414" r:id="rId43"/>
    <sheet name="Т17,1-21" sheetId="400" r:id="rId44"/>
    <sheet name="Т17,2-21" sheetId="401" r:id="rId45"/>
    <sheet name="Т18-21" sheetId="402" r:id="rId46"/>
    <sheet name="Т21-21" sheetId="403" r:id="rId47"/>
    <sheet name="Т23-21" sheetId="404" r:id="rId48"/>
    <sheet name="Т27-21" sheetId="405" r:id="rId49"/>
    <sheet name="Пл.100-21" sheetId="407" r:id="rId50"/>
    <sheet name="Пл177-21" sheetId="415" r:id="rId51"/>
    <sheet name="пл179а-21" sheetId="408" r:id="rId52"/>
    <sheet name="Пл181-21" sheetId="409" r:id="rId53"/>
    <sheet name="Пл.181а-21" sheetId="410" r:id="rId54"/>
    <sheet name="Пл187-21" sheetId="411" r:id="rId55"/>
    <sheet name="Пл191-21" sheetId="412" r:id="rId56"/>
    <sheet name="ВЛКСМ16-21" sheetId="413" r:id="rId57"/>
  </sheets>
  <externalReferences>
    <externalReference r:id="rId58"/>
    <externalReference r:id="rId59"/>
    <externalReference r:id="rId60"/>
    <externalReference r:id="rId61"/>
  </externalReferences>
  <definedNames>
    <definedName name="__ibqRep_27_AG_All__" localSheetId="22">#REF!</definedName>
    <definedName name="__ibqRep_27_AG_All__" localSheetId="26">#REF!</definedName>
    <definedName name="__ibqRep_27_AG_All__">#REF!</definedName>
    <definedName name="__ibqRep_27_AG_City__" localSheetId="22">#REF!</definedName>
    <definedName name="__ibqRep_27_AG_City__" localSheetId="26">#REF!</definedName>
    <definedName name="__ibqRep_27_AG_City__">#REF!</definedName>
    <definedName name="__ibqRep_27_AG_Procent__" localSheetId="22">#REF!</definedName>
    <definedName name="__ibqRep_27_AG_Procent__" localSheetId="26">#REF!</definedName>
    <definedName name="__ibqRep_27_AG_Procent__">#REF!</definedName>
    <definedName name="__iqRep_City__" localSheetId="22">#REF!</definedName>
    <definedName name="__iqRep_City__" localSheetId="26">#REF!</definedName>
    <definedName name="__iqRep_City__">#REF!</definedName>
    <definedName name="__iqRep_Description__" localSheetId="22">#REF!</definedName>
    <definedName name="__iqRep_Description__" localSheetId="26">#REF!</definedName>
    <definedName name="__MAIN__" localSheetId="22">#REF!</definedName>
    <definedName name="__MAIN__" localSheetId="26">#REF!</definedName>
    <definedName name="__MAIN__">#REF!</definedName>
    <definedName name="__mtReportLst_Desc__" localSheetId="22">#REF!</definedName>
    <definedName name="__mtReportLst_Desc__" localSheetId="26">#REF!</definedName>
    <definedName name="Excel_BuiltIn__FilterDatabase" localSheetId="22">#REF!</definedName>
    <definedName name="Excel_BuiltIn__FilterDatabase" localSheetId="26">#REF!</definedName>
    <definedName name="Excel_BuiltIn__FilterDatabase">#REF!</definedName>
    <definedName name="апренот">#REF!</definedName>
    <definedName name="васленп4">[1]Лист1!#REF!</definedName>
    <definedName name="жщлз">#REF!</definedName>
    <definedName name="лллллл">'[2]МУП СТЭ'!#REF!</definedName>
    <definedName name="о111111" localSheetId="22">#REF!</definedName>
    <definedName name="о111111" localSheetId="26">#REF!</definedName>
    <definedName name="о111111">#REF!</definedName>
    <definedName name="одн">'[2]МУП СТЭ'!#REF!</definedName>
    <definedName name="Поставщик">#REF!</definedName>
    <definedName name="ппппп">[1]Лист1!#REF!</definedName>
    <definedName name="я17">#REF!</definedName>
    <definedName name="янв">#REF!</definedName>
  </definedNames>
  <calcPr calcId="181029" refMode="R1C1"/>
</workbook>
</file>

<file path=xl/calcChain.xml><?xml version="1.0" encoding="utf-8"?>
<calcChain xmlns="http://schemas.openxmlformats.org/spreadsheetml/2006/main">
  <c r="F35" i="418" l="1"/>
  <c r="F28" i="418"/>
  <c r="F27" i="418"/>
  <c r="F24" i="418"/>
  <c r="F23" i="418"/>
  <c r="F21" i="418"/>
  <c r="F19" i="418"/>
  <c r="F15" i="418"/>
  <c r="F13" i="418"/>
  <c r="F8" i="418"/>
  <c r="F6" i="418"/>
  <c r="F4" i="418"/>
  <c r="C65" i="418"/>
  <c r="B61" i="418"/>
  <c r="D60" i="418"/>
  <c r="C60" i="418"/>
  <c r="D58" i="418"/>
  <c r="C58" i="418"/>
  <c r="D57" i="418"/>
  <c r="C57" i="418"/>
  <c r="D56" i="418"/>
  <c r="C56" i="418"/>
  <c r="D55" i="418"/>
  <c r="C55" i="418"/>
  <c r="D54" i="418"/>
  <c r="C54" i="418"/>
  <c r="D53" i="418"/>
  <c r="C53" i="418"/>
  <c r="D52" i="418"/>
  <c r="C52" i="418"/>
  <c r="D51" i="418"/>
  <c r="C51" i="418"/>
  <c r="D50" i="418"/>
  <c r="C50" i="418"/>
  <c r="D49" i="418"/>
  <c r="C49" i="418"/>
  <c r="D48" i="418"/>
  <c r="C48" i="418"/>
  <c r="D47" i="418"/>
  <c r="C47" i="418"/>
  <c r="D46" i="418"/>
  <c r="C46" i="418"/>
  <c r="D45" i="418"/>
  <c r="C45" i="418"/>
  <c r="D44" i="418"/>
  <c r="C44" i="418"/>
  <c r="D43" i="418"/>
  <c r="C43" i="418"/>
  <c r="D42" i="418"/>
  <c r="C42" i="418"/>
  <c r="D41" i="418"/>
  <c r="C41" i="418"/>
  <c r="D40" i="418"/>
  <c r="C40" i="418"/>
  <c r="D39" i="418"/>
  <c r="C39" i="418"/>
  <c r="D38" i="418"/>
  <c r="C38" i="418"/>
  <c r="D37" i="418"/>
  <c r="C37" i="418"/>
  <c r="D36" i="418"/>
  <c r="C36" i="418"/>
  <c r="D35" i="418"/>
  <c r="C35" i="418"/>
  <c r="D34" i="418"/>
  <c r="C34" i="418"/>
  <c r="D33" i="418"/>
  <c r="C33" i="418"/>
  <c r="D32" i="418"/>
  <c r="D31" i="418"/>
  <c r="C31" i="418"/>
  <c r="D30" i="418"/>
  <c r="C30" i="418"/>
  <c r="D29" i="418"/>
  <c r="C29" i="418"/>
  <c r="D28" i="418"/>
  <c r="C28" i="418"/>
  <c r="D27" i="418"/>
  <c r="C27" i="418"/>
  <c r="D26" i="418"/>
  <c r="C26" i="418"/>
  <c r="D25" i="418"/>
  <c r="C25" i="418"/>
  <c r="D24" i="418"/>
  <c r="C24" i="418"/>
  <c r="D23" i="418"/>
  <c r="C23" i="418"/>
  <c r="D22" i="418"/>
  <c r="C22" i="418"/>
  <c r="D21" i="418"/>
  <c r="C21" i="418"/>
  <c r="D20" i="418"/>
  <c r="C20" i="418"/>
  <c r="D19" i="418"/>
  <c r="C19" i="418"/>
  <c r="D18" i="418"/>
  <c r="C18" i="418"/>
  <c r="D17" i="418"/>
  <c r="C17" i="418"/>
  <c r="D16" i="418"/>
  <c r="C16" i="418"/>
  <c r="D15" i="418"/>
  <c r="C15" i="418"/>
  <c r="D14" i="418"/>
  <c r="C14" i="418"/>
  <c r="D13" i="418"/>
  <c r="C13" i="418"/>
  <c r="D12" i="418"/>
  <c r="C12" i="418"/>
  <c r="D11" i="418"/>
  <c r="C11" i="418"/>
  <c r="D10" i="418"/>
  <c r="C10" i="418"/>
  <c r="D9" i="418"/>
  <c r="C9" i="418"/>
  <c r="D8" i="418"/>
  <c r="C8" i="418"/>
  <c r="D7" i="418"/>
  <c r="C7" i="418"/>
  <c r="D5" i="418"/>
  <c r="C5" i="418"/>
  <c r="D4" i="418"/>
  <c r="C4" i="418"/>
  <c r="C62" i="418" l="1"/>
  <c r="C66" i="418" s="1"/>
  <c r="D62" i="418"/>
  <c r="G30" i="361"/>
  <c r="E11" i="405" l="1"/>
  <c r="E12" i="405"/>
  <c r="E13" i="405"/>
  <c r="E15" i="405"/>
  <c r="E16" i="405"/>
  <c r="E17" i="405"/>
  <c r="E18" i="405"/>
  <c r="E19" i="405"/>
  <c r="E20" i="405"/>
  <c r="E21" i="405"/>
  <c r="E22" i="405"/>
  <c r="E23" i="405"/>
  <c r="E24" i="405"/>
  <c r="E25" i="405"/>
  <c r="E26" i="405"/>
  <c r="E27" i="405"/>
  <c r="E28" i="405"/>
  <c r="E29" i="405"/>
  <c r="E30" i="405"/>
  <c r="E31" i="405"/>
  <c r="E10" i="405"/>
  <c r="E11" i="404"/>
  <c r="E12" i="404"/>
  <c r="E13" i="404"/>
  <c r="E14" i="404"/>
  <c r="E15" i="404"/>
  <c r="E16" i="404"/>
  <c r="E17" i="404"/>
  <c r="E18" i="404"/>
  <c r="E19" i="404"/>
  <c r="E20" i="404"/>
  <c r="E21" i="404"/>
  <c r="E22" i="404"/>
  <c r="E23" i="404"/>
  <c r="E24" i="404"/>
  <c r="E25" i="404"/>
  <c r="E26" i="404"/>
  <c r="E27" i="404"/>
  <c r="E28" i="404"/>
  <c r="E29" i="404"/>
  <c r="E30" i="404"/>
  <c r="E31" i="404"/>
  <c r="E10" i="404"/>
  <c r="E11" i="403"/>
  <c r="E12" i="403"/>
  <c r="E13" i="403"/>
  <c r="E15" i="403"/>
  <c r="E16" i="403"/>
  <c r="E17" i="403"/>
  <c r="E18" i="403"/>
  <c r="E19" i="403"/>
  <c r="E20" i="403"/>
  <c r="E21" i="403"/>
  <c r="E22" i="403"/>
  <c r="E23" i="403"/>
  <c r="E24" i="403"/>
  <c r="E25" i="403"/>
  <c r="E26" i="403"/>
  <c r="E27" i="403"/>
  <c r="E28" i="403"/>
  <c r="E10" i="403"/>
  <c r="E11" i="402"/>
  <c r="E12" i="402"/>
  <c r="E13" i="402"/>
  <c r="E15" i="402"/>
  <c r="E16" i="402"/>
  <c r="E17" i="402"/>
  <c r="E18" i="402"/>
  <c r="E19" i="402"/>
  <c r="E20" i="402"/>
  <c r="E21" i="402"/>
  <c r="E22" i="402"/>
  <c r="E23" i="402"/>
  <c r="E24" i="402"/>
  <c r="E25" i="402"/>
  <c r="E26" i="402"/>
  <c r="E27" i="402"/>
  <c r="E28" i="402"/>
  <c r="E10" i="402"/>
  <c r="E11" i="401"/>
  <c r="E12" i="401"/>
  <c r="E13" i="401"/>
  <c r="E15" i="401"/>
  <c r="E16" i="401"/>
  <c r="E17" i="401"/>
  <c r="E18" i="401"/>
  <c r="E19" i="401"/>
  <c r="E20" i="401"/>
  <c r="E21" i="401"/>
  <c r="E22" i="401"/>
  <c r="E23" i="401"/>
  <c r="E24" i="401"/>
  <c r="E25" i="401"/>
  <c r="E26" i="401"/>
  <c r="E27" i="401"/>
  <c r="E28" i="401"/>
  <c r="E29" i="401"/>
  <c r="E30" i="401"/>
  <c r="E31" i="401"/>
  <c r="E10" i="401"/>
  <c r="E11" i="414"/>
  <c r="E12" i="414"/>
  <c r="E13" i="414"/>
  <c r="E15" i="414"/>
  <c r="E16" i="414"/>
  <c r="E17" i="414"/>
  <c r="E18" i="414"/>
  <c r="E19" i="414"/>
  <c r="E20" i="414"/>
  <c r="E21" i="414"/>
  <c r="E22" i="414"/>
  <c r="E23" i="414"/>
  <c r="E24" i="414"/>
  <c r="E25" i="414"/>
  <c r="E26" i="414"/>
  <c r="E27" i="414"/>
  <c r="E28" i="414"/>
  <c r="E10" i="414"/>
  <c r="E11" i="399"/>
  <c r="E12" i="399"/>
  <c r="E13" i="399"/>
  <c r="E15" i="399"/>
  <c r="E16" i="399"/>
  <c r="E17" i="399"/>
  <c r="E18" i="399"/>
  <c r="E19" i="399"/>
  <c r="E20" i="399"/>
  <c r="E21" i="399"/>
  <c r="E22" i="399"/>
  <c r="E23" i="399"/>
  <c r="E24" i="399"/>
  <c r="E25" i="399"/>
  <c r="E26" i="399"/>
  <c r="E27" i="399"/>
  <c r="E28" i="399"/>
  <c r="E10" i="399"/>
  <c r="E11" i="398"/>
  <c r="E12" i="398"/>
  <c r="E13" i="398"/>
  <c r="E15" i="398"/>
  <c r="E16" i="398"/>
  <c r="E17" i="398"/>
  <c r="E18" i="398"/>
  <c r="E19" i="398"/>
  <c r="E20" i="398"/>
  <c r="E21" i="398"/>
  <c r="E22" i="398"/>
  <c r="E23" i="398"/>
  <c r="E24" i="398"/>
  <c r="E25" i="398"/>
  <c r="E26" i="398"/>
  <c r="E27" i="398"/>
  <c r="E28" i="398"/>
  <c r="E10" i="398"/>
  <c r="E11" i="397"/>
  <c r="E12" i="397"/>
  <c r="E13" i="397"/>
  <c r="E15" i="397"/>
  <c r="E16" i="397"/>
  <c r="E17" i="397"/>
  <c r="E18" i="397"/>
  <c r="E19" i="397"/>
  <c r="E20" i="397"/>
  <c r="E21" i="397"/>
  <c r="E22" i="397"/>
  <c r="E23" i="397"/>
  <c r="E24" i="397"/>
  <c r="E25" i="397"/>
  <c r="E26" i="397"/>
  <c r="E27" i="397"/>
  <c r="E28" i="397"/>
  <c r="E10" i="397"/>
  <c r="E11" i="396"/>
  <c r="E12" i="396"/>
  <c r="E13" i="396"/>
  <c r="E15" i="396"/>
  <c r="E16" i="396"/>
  <c r="E17" i="396"/>
  <c r="E18" i="396"/>
  <c r="E19" i="396"/>
  <c r="E20" i="396"/>
  <c r="E21" i="396"/>
  <c r="E22" i="396"/>
  <c r="E23" i="396"/>
  <c r="E24" i="396"/>
  <c r="E25" i="396"/>
  <c r="E26" i="396"/>
  <c r="E27" i="396"/>
  <c r="E28" i="396"/>
  <c r="E10" i="396"/>
  <c r="E11" i="412"/>
  <c r="E12" i="412"/>
  <c r="E13" i="412"/>
  <c r="E15" i="412"/>
  <c r="E16" i="412"/>
  <c r="E17" i="412"/>
  <c r="E18" i="412"/>
  <c r="E19" i="412"/>
  <c r="E20" i="412"/>
  <c r="E21" i="412"/>
  <c r="E22" i="412"/>
  <c r="E23" i="412"/>
  <c r="E24" i="412"/>
  <c r="E25" i="412"/>
  <c r="E26" i="412"/>
  <c r="E27" i="412"/>
  <c r="E28" i="412"/>
  <c r="E10" i="412"/>
  <c r="E11" i="411"/>
  <c r="E12" i="411"/>
  <c r="E13" i="411"/>
  <c r="E15" i="411"/>
  <c r="E16" i="411"/>
  <c r="E17" i="411"/>
  <c r="E18" i="411"/>
  <c r="E19" i="411"/>
  <c r="E20" i="411"/>
  <c r="E21" i="411"/>
  <c r="E22" i="411"/>
  <c r="E23" i="411"/>
  <c r="E24" i="411"/>
  <c r="E25" i="411"/>
  <c r="E26" i="411"/>
  <c r="E27" i="411"/>
  <c r="E28" i="411"/>
  <c r="E10" i="411"/>
  <c r="E11" i="410"/>
  <c r="E12" i="410"/>
  <c r="E13" i="410"/>
  <c r="E15" i="410"/>
  <c r="E16" i="410"/>
  <c r="E17" i="410"/>
  <c r="E18" i="410"/>
  <c r="E19" i="410"/>
  <c r="E20" i="410"/>
  <c r="E21" i="410"/>
  <c r="E22" i="410"/>
  <c r="E23" i="410"/>
  <c r="E24" i="410"/>
  <c r="E25" i="410"/>
  <c r="E26" i="410"/>
  <c r="E27" i="410"/>
  <c r="E28" i="410"/>
  <c r="E29" i="410"/>
  <c r="E30" i="410"/>
  <c r="E31" i="410"/>
  <c r="E10" i="410"/>
  <c r="E11" i="409"/>
  <c r="E12" i="409"/>
  <c r="E13" i="409"/>
  <c r="E15" i="409"/>
  <c r="E16" i="409"/>
  <c r="E17" i="409"/>
  <c r="E18" i="409"/>
  <c r="E19" i="409"/>
  <c r="E20" i="409"/>
  <c r="E21" i="409"/>
  <c r="E22" i="409"/>
  <c r="E23" i="409"/>
  <c r="E24" i="409"/>
  <c r="E25" i="409"/>
  <c r="E26" i="409"/>
  <c r="E27" i="409"/>
  <c r="E28" i="409"/>
  <c r="E10" i="409"/>
  <c r="E11" i="408"/>
  <c r="E12" i="408"/>
  <c r="E13" i="408"/>
  <c r="E15" i="408"/>
  <c r="E16" i="408"/>
  <c r="E17" i="408"/>
  <c r="E18" i="408"/>
  <c r="E19" i="408"/>
  <c r="E20" i="408"/>
  <c r="E21" i="408"/>
  <c r="E22" i="408"/>
  <c r="E23" i="408"/>
  <c r="E24" i="408"/>
  <c r="E25" i="408"/>
  <c r="E26" i="408"/>
  <c r="E27" i="408"/>
  <c r="E28" i="408"/>
  <c r="E10" i="408"/>
  <c r="E11" i="415"/>
  <c r="E12" i="415"/>
  <c r="E13" i="415"/>
  <c r="E15" i="415"/>
  <c r="E16" i="415"/>
  <c r="E17" i="415"/>
  <c r="E18" i="415"/>
  <c r="E19" i="415"/>
  <c r="E20" i="415"/>
  <c r="E21" i="415"/>
  <c r="E22" i="415"/>
  <c r="E23" i="415"/>
  <c r="E24" i="415"/>
  <c r="E25" i="415"/>
  <c r="E26" i="415"/>
  <c r="E27" i="415"/>
  <c r="E28" i="415"/>
  <c r="E29" i="415"/>
  <c r="E30" i="415"/>
  <c r="E31" i="415"/>
  <c r="E32" i="415"/>
  <c r="E10" i="415"/>
  <c r="E11" i="407"/>
  <c r="E12" i="407"/>
  <c r="E13" i="407"/>
  <c r="E15" i="407"/>
  <c r="E16" i="407"/>
  <c r="E17" i="407"/>
  <c r="E18" i="407"/>
  <c r="E19" i="407"/>
  <c r="E20" i="407"/>
  <c r="E21" i="407"/>
  <c r="E22" i="407"/>
  <c r="E23" i="407"/>
  <c r="E24" i="407"/>
  <c r="E25" i="407"/>
  <c r="E26" i="407"/>
  <c r="E27" i="407"/>
  <c r="E28" i="407"/>
  <c r="E29" i="407"/>
  <c r="E30" i="407"/>
  <c r="E31" i="407"/>
  <c r="E10" i="407"/>
  <c r="E11" i="393"/>
  <c r="E12" i="393"/>
  <c r="E13" i="393"/>
  <c r="E15" i="393"/>
  <c r="E16" i="393"/>
  <c r="E17" i="393"/>
  <c r="E18" i="393"/>
  <c r="E19" i="393"/>
  <c r="E20" i="393"/>
  <c r="E21" i="393"/>
  <c r="E22" i="393"/>
  <c r="E23" i="393"/>
  <c r="E24" i="393"/>
  <c r="E25" i="393"/>
  <c r="E26" i="393"/>
  <c r="E27" i="393"/>
  <c r="E28" i="393"/>
  <c r="E29" i="393"/>
  <c r="E30" i="393"/>
  <c r="E31" i="393"/>
  <c r="E10" i="393"/>
  <c r="E11" i="392"/>
  <c r="E12" i="392"/>
  <c r="E13" i="392"/>
  <c r="E15" i="392"/>
  <c r="E16" i="392"/>
  <c r="E17" i="392"/>
  <c r="E18" i="392"/>
  <c r="E19" i="392"/>
  <c r="E20" i="392"/>
  <c r="E21" i="392"/>
  <c r="E22" i="392"/>
  <c r="E23" i="392"/>
  <c r="E24" i="392"/>
  <c r="E25" i="392"/>
  <c r="E26" i="392"/>
  <c r="E27" i="392"/>
  <c r="E28" i="392"/>
  <c r="E29" i="392"/>
  <c r="E30" i="392"/>
  <c r="E31" i="392"/>
  <c r="E10" i="392"/>
  <c r="E11" i="391"/>
  <c r="E12" i="391"/>
  <c r="E13" i="391"/>
  <c r="E15" i="391"/>
  <c r="E16" i="391"/>
  <c r="E17" i="391"/>
  <c r="E18" i="391"/>
  <c r="E19" i="391"/>
  <c r="E20" i="391"/>
  <c r="E21" i="391"/>
  <c r="E22" i="391"/>
  <c r="E23" i="391"/>
  <c r="E24" i="391"/>
  <c r="E25" i="391"/>
  <c r="E26" i="391"/>
  <c r="E27" i="391"/>
  <c r="E28" i="391"/>
  <c r="E29" i="391"/>
  <c r="E30" i="391"/>
  <c r="E31" i="391"/>
  <c r="E10" i="391"/>
  <c r="E11" i="390"/>
  <c r="E12" i="390"/>
  <c r="E13" i="390"/>
  <c r="E14" i="390"/>
  <c r="E15" i="390"/>
  <c r="E16" i="390"/>
  <c r="E17" i="390"/>
  <c r="E18" i="390"/>
  <c r="E19" i="390"/>
  <c r="E20" i="390"/>
  <c r="E21" i="390"/>
  <c r="E22" i="390"/>
  <c r="E23" i="390"/>
  <c r="E24" i="390"/>
  <c r="E25" i="390"/>
  <c r="E26" i="390"/>
  <c r="E27" i="390"/>
  <c r="E28" i="390"/>
  <c r="E29" i="390"/>
  <c r="E30" i="390"/>
  <c r="E31" i="390"/>
  <c r="E32" i="390"/>
  <c r="E10" i="390"/>
  <c r="E11" i="385" l="1"/>
  <c r="E12" i="385"/>
  <c r="E13" i="385"/>
  <c r="E14" i="385"/>
  <c r="E15" i="385"/>
  <c r="E16" i="385"/>
  <c r="E17" i="385"/>
  <c r="E18" i="385"/>
  <c r="E19" i="385"/>
  <c r="E20" i="385"/>
  <c r="E21" i="385"/>
  <c r="E22" i="385"/>
  <c r="E23" i="385"/>
  <c r="E24" i="385"/>
  <c r="E25" i="385"/>
  <c r="E26" i="385"/>
  <c r="E27" i="385"/>
  <c r="E28" i="385"/>
  <c r="E29" i="385"/>
  <c r="E10" i="385"/>
  <c r="E11" i="389"/>
  <c r="E12" i="389"/>
  <c r="E13" i="389"/>
  <c r="E15" i="389"/>
  <c r="E16" i="389"/>
  <c r="E17" i="389"/>
  <c r="E18" i="389"/>
  <c r="E19" i="389"/>
  <c r="E20" i="389"/>
  <c r="E21" i="389"/>
  <c r="E22" i="389"/>
  <c r="E23" i="389"/>
  <c r="E24" i="389"/>
  <c r="E25" i="389"/>
  <c r="E26" i="389"/>
  <c r="E27" i="389"/>
  <c r="E28" i="389"/>
  <c r="E29" i="389"/>
  <c r="E30" i="389"/>
  <c r="E31" i="389"/>
  <c r="E32" i="389"/>
  <c r="E10" i="389"/>
  <c r="E11" i="388"/>
  <c r="E12" i="388"/>
  <c r="E13" i="388"/>
  <c r="E15" i="388"/>
  <c r="E16" i="388"/>
  <c r="E17" i="388"/>
  <c r="E18" i="388"/>
  <c r="E19" i="388"/>
  <c r="E20" i="388"/>
  <c r="E21" i="388"/>
  <c r="E22" i="388"/>
  <c r="E23" i="388"/>
  <c r="E24" i="388"/>
  <c r="E25" i="388"/>
  <c r="E26" i="388"/>
  <c r="E27" i="388"/>
  <c r="E28" i="388"/>
  <c r="E29" i="388"/>
  <c r="E30" i="388"/>
  <c r="E31" i="388"/>
  <c r="E32" i="388"/>
  <c r="E10" i="388"/>
  <c r="E11" i="387"/>
  <c r="E12" i="387"/>
  <c r="E13" i="387"/>
  <c r="E15" i="387"/>
  <c r="E16" i="387"/>
  <c r="E17" i="387"/>
  <c r="E18" i="387"/>
  <c r="E19" i="387"/>
  <c r="E20" i="387"/>
  <c r="E21" i="387"/>
  <c r="E22" i="387"/>
  <c r="E23" i="387"/>
  <c r="E24" i="387"/>
  <c r="E25" i="387"/>
  <c r="E26" i="387"/>
  <c r="E27" i="387"/>
  <c r="E28" i="387"/>
  <c r="E29" i="387"/>
  <c r="E30" i="387"/>
  <c r="E31" i="387"/>
  <c r="E32" i="387"/>
  <c r="E10" i="387"/>
  <c r="E11" i="384"/>
  <c r="E12" i="384"/>
  <c r="E13" i="384"/>
  <c r="E15" i="384"/>
  <c r="E16" i="384"/>
  <c r="E17" i="384"/>
  <c r="E18" i="384"/>
  <c r="E19" i="384"/>
  <c r="E20" i="384"/>
  <c r="E21" i="384"/>
  <c r="E22" i="384"/>
  <c r="E23" i="384"/>
  <c r="E24" i="384"/>
  <c r="E25" i="384"/>
  <c r="E26" i="384"/>
  <c r="E27" i="384"/>
  <c r="E28" i="384"/>
  <c r="E29" i="384"/>
  <c r="E30" i="384"/>
  <c r="E31" i="384"/>
  <c r="E32" i="384"/>
  <c r="E10" i="384"/>
  <c r="E11" i="383"/>
  <c r="E12" i="383"/>
  <c r="E13" i="383"/>
  <c r="E15" i="383"/>
  <c r="E16" i="383"/>
  <c r="E17" i="383"/>
  <c r="E18" i="383"/>
  <c r="E19" i="383"/>
  <c r="E20" i="383"/>
  <c r="E21" i="383"/>
  <c r="E22" i="383"/>
  <c r="E23" i="383"/>
  <c r="E24" i="383"/>
  <c r="E25" i="383"/>
  <c r="E26" i="383"/>
  <c r="E27" i="383"/>
  <c r="E28" i="383"/>
  <c r="E29" i="383"/>
  <c r="E30" i="383"/>
  <c r="E31" i="383"/>
  <c r="E10" i="383"/>
  <c r="E11" i="382"/>
  <c r="E12" i="382"/>
  <c r="E13" i="382"/>
  <c r="E15" i="382"/>
  <c r="E16" i="382"/>
  <c r="E17" i="382"/>
  <c r="E18" i="382"/>
  <c r="E19" i="382"/>
  <c r="E20" i="382"/>
  <c r="E21" i="382"/>
  <c r="E22" i="382"/>
  <c r="E23" i="382"/>
  <c r="E24" i="382"/>
  <c r="E25" i="382"/>
  <c r="E26" i="382"/>
  <c r="E27" i="382"/>
  <c r="E28" i="382"/>
  <c r="E29" i="382"/>
  <c r="E30" i="382"/>
  <c r="E31" i="382"/>
  <c r="E10" i="382"/>
  <c r="E11" i="381"/>
  <c r="E12" i="381"/>
  <c r="E13" i="381"/>
  <c r="E15" i="381"/>
  <c r="E16" i="381"/>
  <c r="E17" i="381"/>
  <c r="E18" i="381"/>
  <c r="E19" i="381"/>
  <c r="E20" i="381"/>
  <c r="E21" i="381"/>
  <c r="E22" i="381"/>
  <c r="E23" i="381"/>
  <c r="E24" i="381"/>
  <c r="E25" i="381"/>
  <c r="E26" i="381"/>
  <c r="E27" i="381"/>
  <c r="E28" i="381"/>
  <c r="E29" i="381"/>
  <c r="E30" i="381"/>
  <c r="E31" i="381"/>
  <c r="E10" i="381"/>
  <c r="E11" i="380"/>
  <c r="E12" i="380"/>
  <c r="E13" i="380"/>
  <c r="E15" i="380"/>
  <c r="E16" i="380"/>
  <c r="E17" i="380"/>
  <c r="E18" i="380"/>
  <c r="E19" i="380"/>
  <c r="E20" i="380"/>
  <c r="E21" i="380"/>
  <c r="E22" i="380"/>
  <c r="E23" i="380"/>
  <c r="E24" i="380"/>
  <c r="E25" i="380"/>
  <c r="E26" i="380"/>
  <c r="E27" i="380"/>
  <c r="E28" i="380"/>
  <c r="E29" i="380"/>
  <c r="E30" i="380"/>
  <c r="E31" i="380"/>
  <c r="E10" i="380"/>
  <c r="E11" i="379"/>
  <c r="E12" i="379"/>
  <c r="E13" i="379"/>
  <c r="E15" i="379"/>
  <c r="E16" i="379"/>
  <c r="E17" i="379"/>
  <c r="E18" i="379"/>
  <c r="E19" i="379"/>
  <c r="E20" i="379"/>
  <c r="E21" i="379"/>
  <c r="E22" i="379"/>
  <c r="E23" i="379"/>
  <c r="E24" i="379"/>
  <c r="E25" i="379"/>
  <c r="E26" i="379"/>
  <c r="E27" i="379"/>
  <c r="E28" i="379"/>
  <c r="E29" i="379"/>
  <c r="E30" i="379"/>
  <c r="E31" i="379"/>
  <c r="E32" i="379"/>
  <c r="E10" i="379"/>
  <c r="E11" i="378"/>
  <c r="E12" i="378"/>
  <c r="E13" i="378"/>
  <c r="E15" i="378"/>
  <c r="E16" i="378"/>
  <c r="E17" i="378"/>
  <c r="E18" i="378"/>
  <c r="E19" i="378"/>
  <c r="E20" i="378"/>
  <c r="E21" i="378"/>
  <c r="E22" i="378"/>
  <c r="E23" i="378"/>
  <c r="E24" i="378"/>
  <c r="E25" i="378"/>
  <c r="E26" i="378"/>
  <c r="E27" i="378"/>
  <c r="E28" i="378"/>
  <c r="E29" i="378"/>
  <c r="E30" i="378"/>
  <c r="E31" i="378"/>
  <c r="E10" i="378"/>
  <c r="E11" i="377"/>
  <c r="E12" i="377"/>
  <c r="E13" i="377"/>
  <c r="E15" i="377"/>
  <c r="E16" i="377"/>
  <c r="E17" i="377"/>
  <c r="E18" i="377"/>
  <c r="E19" i="377"/>
  <c r="E20" i="377"/>
  <c r="E21" i="377"/>
  <c r="E22" i="377"/>
  <c r="E23" i="377"/>
  <c r="E24" i="377"/>
  <c r="E25" i="377"/>
  <c r="E26" i="377"/>
  <c r="E27" i="377"/>
  <c r="E28" i="377"/>
  <c r="E29" i="377"/>
  <c r="E30" i="377"/>
  <c r="E31" i="377"/>
  <c r="E10" i="377"/>
  <c r="E11" i="376"/>
  <c r="E12" i="376"/>
  <c r="E13" i="376"/>
  <c r="E15" i="376"/>
  <c r="E16" i="376"/>
  <c r="E17" i="376"/>
  <c r="E18" i="376"/>
  <c r="E19" i="376"/>
  <c r="E20" i="376"/>
  <c r="E21" i="376"/>
  <c r="E22" i="376"/>
  <c r="E23" i="376"/>
  <c r="E24" i="376"/>
  <c r="E25" i="376"/>
  <c r="E26" i="376"/>
  <c r="E27" i="376"/>
  <c r="E28" i="376"/>
  <c r="E29" i="376"/>
  <c r="E30" i="376"/>
  <c r="E31" i="376"/>
  <c r="E10" i="376"/>
  <c r="E11" i="375"/>
  <c r="E12" i="375"/>
  <c r="E13" i="375"/>
  <c r="E15" i="375"/>
  <c r="E16" i="375"/>
  <c r="E17" i="375"/>
  <c r="E18" i="375"/>
  <c r="E19" i="375"/>
  <c r="E20" i="375"/>
  <c r="E21" i="375"/>
  <c r="E22" i="375"/>
  <c r="E23" i="375"/>
  <c r="E24" i="375"/>
  <c r="E25" i="375"/>
  <c r="E26" i="375"/>
  <c r="E27" i="375"/>
  <c r="E28" i="375"/>
  <c r="E29" i="375"/>
  <c r="E30" i="375"/>
  <c r="E31" i="375"/>
  <c r="E10" i="375"/>
  <c r="E11" i="374"/>
  <c r="E12" i="374"/>
  <c r="E13" i="374"/>
  <c r="E15" i="374"/>
  <c r="E16" i="374"/>
  <c r="E17" i="374"/>
  <c r="E18" i="374"/>
  <c r="E19" i="374"/>
  <c r="E20" i="374"/>
  <c r="E21" i="374"/>
  <c r="E22" i="374"/>
  <c r="E23" i="374"/>
  <c r="E24" i="374"/>
  <c r="E25" i="374"/>
  <c r="E26" i="374"/>
  <c r="E27" i="374"/>
  <c r="E28" i="374"/>
  <c r="E29" i="374"/>
  <c r="E30" i="374"/>
  <c r="E31" i="374"/>
  <c r="E10" i="374"/>
  <c r="E11" i="372"/>
  <c r="E12" i="372"/>
  <c r="E13" i="372"/>
  <c r="E15" i="372"/>
  <c r="E16" i="372"/>
  <c r="E17" i="372"/>
  <c r="E18" i="372"/>
  <c r="E19" i="372"/>
  <c r="E20" i="372"/>
  <c r="E21" i="372"/>
  <c r="E22" i="372"/>
  <c r="E23" i="372"/>
  <c r="E24" i="372"/>
  <c r="E25" i="372"/>
  <c r="E26" i="372"/>
  <c r="E27" i="372"/>
  <c r="E28" i="372"/>
  <c r="E29" i="372"/>
  <c r="E30" i="372"/>
  <c r="E31" i="372"/>
  <c r="E10" i="372"/>
  <c r="E11" i="373"/>
  <c r="E12" i="373"/>
  <c r="E13" i="373"/>
  <c r="E15" i="373"/>
  <c r="E16" i="373"/>
  <c r="E17" i="373"/>
  <c r="E18" i="373"/>
  <c r="E19" i="373"/>
  <c r="E20" i="373"/>
  <c r="E21" i="373"/>
  <c r="E22" i="373"/>
  <c r="E23" i="373"/>
  <c r="E24" i="373"/>
  <c r="E25" i="373"/>
  <c r="E26" i="373"/>
  <c r="E27" i="373"/>
  <c r="E28" i="373"/>
  <c r="E29" i="373"/>
  <c r="E30" i="373"/>
  <c r="E31" i="373"/>
  <c r="E10" i="373"/>
  <c r="E11" i="371"/>
  <c r="E12" i="371"/>
  <c r="E13" i="371"/>
  <c r="E15" i="371"/>
  <c r="E16" i="371"/>
  <c r="E17" i="371"/>
  <c r="E18" i="371"/>
  <c r="E19" i="371"/>
  <c r="E20" i="371"/>
  <c r="E21" i="371"/>
  <c r="E22" i="371"/>
  <c r="E23" i="371"/>
  <c r="E24" i="371"/>
  <c r="E25" i="371"/>
  <c r="E26" i="371"/>
  <c r="E27" i="371"/>
  <c r="E28" i="371"/>
  <c r="E29" i="371"/>
  <c r="E30" i="371"/>
  <c r="E31" i="371"/>
  <c r="E10" i="371"/>
  <c r="E11" i="370"/>
  <c r="E12" i="370"/>
  <c r="E13" i="370"/>
  <c r="E15" i="370"/>
  <c r="E16" i="370"/>
  <c r="E17" i="370"/>
  <c r="E18" i="370"/>
  <c r="E19" i="370"/>
  <c r="E20" i="370"/>
  <c r="E21" i="370"/>
  <c r="E22" i="370"/>
  <c r="E23" i="370"/>
  <c r="E24" i="370"/>
  <c r="E25" i="370"/>
  <c r="E26" i="370"/>
  <c r="E27" i="370"/>
  <c r="E28" i="370"/>
  <c r="E29" i="370"/>
  <c r="E30" i="370"/>
  <c r="E31" i="370"/>
  <c r="E10" i="370"/>
  <c r="E11" i="369"/>
  <c r="E12" i="369"/>
  <c r="E13" i="369"/>
  <c r="E15" i="369"/>
  <c r="E16" i="369"/>
  <c r="E17" i="369"/>
  <c r="E18" i="369"/>
  <c r="E19" i="369"/>
  <c r="E20" i="369"/>
  <c r="E21" i="369"/>
  <c r="E22" i="369"/>
  <c r="E23" i="369"/>
  <c r="E24" i="369"/>
  <c r="E25" i="369"/>
  <c r="E26" i="369"/>
  <c r="E27" i="369"/>
  <c r="E28" i="369"/>
  <c r="E29" i="369"/>
  <c r="E30" i="369"/>
  <c r="E31" i="369"/>
  <c r="E10" i="369"/>
  <c r="E11" i="367"/>
  <c r="E12" i="367"/>
  <c r="E13" i="367"/>
  <c r="E15" i="367"/>
  <c r="E16" i="367"/>
  <c r="E17" i="367"/>
  <c r="E18" i="367"/>
  <c r="E19" i="367"/>
  <c r="E20" i="367"/>
  <c r="E21" i="367"/>
  <c r="E22" i="367"/>
  <c r="E23" i="367"/>
  <c r="E24" i="367"/>
  <c r="E25" i="367"/>
  <c r="E26" i="367"/>
  <c r="E27" i="367"/>
  <c r="E28" i="367"/>
  <c r="E29" i="367"/>
  <c r="E30" i="367"/>
  <c r="E31" i="367"/>
  <c r="E10" i="367"/>
  <c r="E11" i="364"/>
  <c r="E12" i="364"/>
  <c r="E13" i="364"/>
  <c r="E15" i="364"/>
  <c r="E16" i="364"/>
  <c r="E17" i="364"/>
  <c r="E18" i="364"/>
  <c r="E19" i="364"/>
  <c r="E20" i="364"/>
  <c r="E21" i="364"/>
  <c r="E22" i="364"/>
  <c r="E23" i="364"/>
  <c r="E24" i="364"/>
  <c r="E25" i="364"/>
  <c r="E26" i="364"/>
  <c r="E27" i="364"/>
  <c r="E28" i="364"/>
  <c r="E29" i="364"/>
  <c r="E30" i="364"/>
  <c r="E31" i="364"/>
  <c r="E10" i="364"/>
  <c r="E11" i="363"/>
  <c r="E12" i="363"/>
  <c r="E13" i="363"/>
  <c r="E15" i="363"/>
  <c r="E16" i="363"/>
  <c r="E17" i="363"/>
  <c r="E18" i="363"/>
  <c r="E19" i="363"/>
  <c r="E20" i="363"/>
  <c r="E21" i="363"/>
  <c r="E22" i="363"/>
  <c r="E23" i="363"/>
  <c r="E24" i="363"/>
  <c r="E25" i="363"/>
  <c r="E26" i="363"/>
  <c r="E27" i="363"/>
  <c r="E28" i="363"/>
  <c r="E29" i="363"/>
  <c r="E10" i="363"/>
  <c r="E11" i="362"/>
  <c r="E12" i="362"/>
  <c r="E13" i="362"/>
  <c r="E15" i="362"/>
  <c r="E16" i="362"/>
  <c r="E17" i="362"/>
  <c r="E18" i="362"/>
  <c r="E19" i="362"/>
  <c r="E20" i="362"/>
  <c r="E21" i="362"/>
  <c r="E22" i="362"/>
  <c r="E23" i="362"/>
  <c r="E24" i="362"/>
  <c r="E25" i="362"/>
  <c r="E26" i="362"/>
  <c r="E27" i="362"/>
  <c r="E28" i="362"/>
  <c r="E29" i="362"/>
  <c r="E30" i="362"/>
  <c r="E31" i="362"/>
  <c r="E32" i="362"/>
  <c r="E10" i="362"/>
  <c r="E11" i="361"/>
  <c r="E12" i="361"/>
  <c r="E13" i="361"/>
  <c r="E15" i="361"/>
  <c r="E16" i="361"/>
  <c r="E17" i="361"/>
  <c r="E18" i="361"/>
  <c r="E19" i="361"/>
  <c r="E20" i="361"/>
  <c r="E21" i="361"/>
  <c r="E22" i="361"/>
  <c r="E23" i="361"/>
  <c r="E24" i="361"/>
  <c r="E25" i="361"/>
  <c r="E26" i="361"/>
  <c r="E27" i="361"/>
  <c r="E28" i="361"/>
  <c r="E29" i="361"/>
  <c r="E10" i="361"/>
  <c r="E11" i="413"/>
  <c r="E12" i="413"/>
  <c r="E13" i="413"/>
  <c r="E15" i="413"/>
  <c r="E16" i="413"/>
  <c r="E17" i="413"/>
  <c r="E18" i="413"/>
  <c r="E19" i="413"/>
  <c r="E20" i="413"/>
  <c r="E21" i="413"/>
  <c r="E22" i="413"/>
  <c r="E23" i="413"/>
  <c r="E24" i="413"/>
  <c r="E25" i="413"/>
  <c r="E26" i="413"/>
  <c r="E27" i="413"/>
  <c r="E28" i="413"/>
  <c r="E29" i="413"/>
  <c r="E11" i="360"/>
  <c r="E12" i="360"/>
  <c r="E13" i="360"/>
  <c r="E15" i="360"/>
  <c r="E16" i="360"/>
  <c r="E17" i="360"/>
  <c r="E18" i="360"/>
  <c r="E19" i="360"/>
  <c r="E20" i="360"/>
  <c r="E21" i="360"/>
  <c r="E22" i="360"/>
  <c r="E23" i="360"/>
  <c r="E24" i="360"/>
  <c r="E25" i="360"/>
  <c r="E26" i="360"/>
  <c r="E27" i="360"/>
  <c r="E28" i="360"/>
  <c r="E29" i="360"/>
  <c r="E30" i="360"/>
  <c r="E31" i="360"/>
  <c r="E32" i="360"/>
  <c r="E10" i="360"/>
  <c r="E11" i="359"/>
  <c r="E12" i="359"/>
  <c r="E13" i="359"/>
  <c r="E15" i="359"/>
  <c r="E16" i="359"/>
  <c r="E17" i="359"/>
  <c r="E18" i="359"/>
  <c r="E19" i="359"/>
  <c r="E20" i="359"/>
  <c r="E21" i="359"/>
  <c r="E22" i="359"/>
  <c r="E23" i="359"/>
  <c r="E24" i="359"/>
  <c r="E25" i="359"/>
  <c r="E26" i="359"/>
  <c r="E27" i="359"/>
  <c r="E28" i="359"/>
  <c r="E29" i="359"/>
  <c r="E30" i="359"/>
  <c r="E31" i="359"/>
  <c r="E32" i="359"/>
  <c r="E10" i="359"/>
  <c r="E11" i="386"/>
  <c r="E12" i="386"/>
  <c r="E13" i="386"/>
  <c r="E15" i="386"/>
  <c r="E16" i="386"/>
  <c r="E17" i="386"/>
  <c r="E18" i="386"/>
  <c r="E19" i="386"/>
  <c r="E20" i="386"/>
  <c r="E21" i="386"/>
  <c r="E22" i="386"/>
  <c r="E23" i="386"/>
  <c r="E24" i="386"/>
  <c r="E25" i="386"/>
  <c r="E26" i="386"/>
  <c r="E27" i="386"/>
  <c r="E28" i="386"/>
  <c r="E29" i="386"/>
  <c r="E30" i="386"/>
  <c r="E31" i="386"/>
  <c r="E10" i="386"/>
  <c r="E58" i="417"/>
  <c r="D58" i="417" s="1"/>
  <c r="E54" i="417"/>
  <c r="D54" i="417" s="1"/>
  <c r="F26" i="418" s="1"/>
  <c r="F52" i="417"/>
  <c r="E52" i="417" s="1"/>
  <c r="D51" i="417"/>
  <c r="D50" i="417"/>
  <c r="D49" i="417"/>
  <c r="D48" i="417"/>
  <c r="E43" i="417"/>
  <c r="D43" i="417" s="1"/>
  <c r="E42" i="417"/>
  <c r="D42" i="417" s="1"/>
  <c r="E41" i="417"/>
  <c r="D41" i="417" s="1"/>
  <c r="E36" i="417"/>
  <c r="D36" i="417" s="1"/>
  <c r="E35" i="417"/>
  <c r="D35" i="417" s="1"/>
  <c r="E34" i="417"/>
  <c r="D34" i="417"/>
  <c r="E31" i="417"/>
  <c r="D31" i="417" s="1"/>
  <c r="F30" i="417"/>
  <c r="F46" i="417" s="1"/>
  <c r="E30" i="417"/>
  <c r="D30" i="417" s="1"/>
  <c r="E27" i="417"/>
  <c r="D27" i="417" s="1"/>
  <c r="E26" i="417"/>
  <c r="D26" i="417"/>
  <c r="E25" i="417"/>
  <c r="D25" i="417" s="1"/>
  <c r="E23" i="417"/>
  <c r="D23" i="417" s="1"/>
  <c r="F22" i="417"/>
  <c r="F28" i="417" s="1"/>
  <c r="E22" i="417"/>
  <c r="D22" i="417" s="1"/>
  <c r="E21" i="417"/>
  <c r="D21" i="417" s="1"/>
  <c r="E19" i="417"/>
  <c r="D19" i="417" s="1"/>
  <c r="E16" i="417"/>
  <c r="D16" i="417" s="1"/>
  <c r="E13" i="417"/>
  <c r="D13" i="417" s="1"/>
  <c r="E12" i="417"/>
  <c r="D12" i="417" s="1"/>
  <c r="F11" i="417"/>
  <c r="E11" i="417"/>
  <c r="D11" i="417" s="1"/>
  <c r="E72" i="416"/>
  <c r="D72" i="416" s="1"/>
  <c r="E68" i="416"/>
  <c r="D68" i="416" s="1"/>
  <c r="E66" i="416"/>
  <c r="D66" i="416" s="1"/>
  <c r="E65" i="416"/>
  <c r="D65" i="416"/>
  <c r="E64" i="416"/>
  <c r="D64" i="416" s="1"/>
  <c r="E59" i="416"/>
  <c r="D59" i="416" s="1"/>
  <c r="G59" i="416" s="1"/>
  <c r="F57" i="416"/>
  <c r="E57" i="416" s="1"/>
  <c r="G56" i="416"/>
  <c r="G55" i="416"/>
  <c r="D54" i="416"/>
  <c r="D53" i="416"/>
  <c r="G53" i="416" s="1"/>
  <c r="F51" i="416"/>
  <c r="E51" i="416" s="1"/>
  <c r="D51" i="416" s="1"/>
  <c r="E48" i="416"/>
  <c r="D48" i="416" s="1"/>
  <c r="G48" i="416" s="1"/>
  <c r="G47" i="416"/>
  <c r="E47" i="416"/>
  <c r="D47" i="416" s="1"/>
  <c r="E46" i="416"/>
  <c r="D46" i="416" s="1"/>
  <c r="I42" i="416"/>
  <c r="K43" i="416" s="1"/>
  <c r="K44" i="416" s="1"/>
  <c r="E41" i="416"/>
  <c r="D41" i="416" s="1"/>
  <c r="G41" i="416" s="1"/>
  <c r="G40" i="416" s="1"/>
  <c r="E40" i="416"/>
  <c r="D40" i="416" s="1"/>
  <c r="E39" i="416"/>
  <c r="D39" i="416" s="1"/>
  <c r="G35" i="416"/>
  <c r="E35" i="416"/>
  <c r="D35" i="416" s="1"/>
  <c r="E32" i="416"/>
  <c r="D32" i="416" s="1"/>
  <c r="E31" i="416"/>
  <c r="D31" i="416" s="1"/>
  <c r="E30" i="416"/>
  <c r="D30" i="416" s="1"/>
  <c r="E27" i="416"/>
  <c r="D27" i="416" s="1"/>
  <c r="G27" i="416" s="1"/>
  <c r="G26" i="416" s="1"/>
  <c r="F26" i="416"/>
  <c r="F33" i="416" s="1"/>
  <c r="E25" i="416"/>
  <c r="D25" i="416" s="1"/>
  <c r="G25" i="416" s="1"/>
  <c r="E24" i="416"/>
  <c r="D24" i="416" s="1"/>
  <c r="G24" i="416" s="1"/>
  <c r="G23" i="416" s="1"/>
  <c r="E23" i="416"/>
  <c r="D23" i="416"/>
  <c r="E20" i="416"/>
  <c r="E17" i="416"/>
  <c r="D17" i="416" s="1"/>
  <c r="E16" i="416"/>
  <c r="D16" i="416" s="1"/>
  <c r="F15" i="416"/>
  <c r="E15" i="416" s="1"/>
  <c r="D15" i="416" s="1"/>
  <c r="G57" i="416" l="1"/>
  <c r="E26" i="416"/>
  <c r="D26" i="416" s="1"/>
  <c r="E33" i="416"/>
  <c r="D33" i="416" s="1"/>
  <c r="F63" i="416"/>
  <c r="E63" i="416" s="1"/>
  <c r="D63" i="416" s="1"/>
  <c r="D57" i="416"/>
  <c r="F57" i="417"/>
  <c r="E46" i="417"/>
  <c r="D46" i="417" s="1"/>
  <c r="D52" i="417"/>
  <c r="E28" i="417"/>
  <c r="D28" i="417" s="1"/>
  <c r="F67" i="416"/>
  <c r="G33" i="416"/>
  <c r="G51" i="416"/>
  <c r="D20" i="416"/>
  <c r="G63" i="416" l="1"/>
  <c r="E57" i="417"/>
  <c r="D57" i="417" s="1"/>
  <c r="F59" i="417"/>
  <c r="E59" i="417" s="1"/>
  <c r="D59" i="417" s="1"/>
  <c r="E67" i="416"/>
  <c r="D67" i="416" s="1"/>
  <c r="F69" i="416"/>
  <c r="E69" i="416" s="1"/>
  <c r="D69" i="416" l="1"/>
  <c r="E73" i="416"/>
  <c r="D73" i="416" s="1"/>
  <c r="F27" i="360" l="1"/>
  <c r="H27" i="366"/>
  <c r="F19" i="366"/>
  <c r="E19" i="366"/>
  <c r="E25" i="394" l="1"/>
  <c r="E28" i="394"/>
  <c r="E19" i="394"/>
  <c r="E16" i="394"/>
  <c r="F26" i="394"/>
  <c r="E26" i="394"/>
  <c r="E24" i="394"/>
  <c r="C13" i="394"/>
  <c r="C29" i="394" s="1"/>
  <c r="E15" i="394"/>
  <c r="F15" i="394" s="1"/>
  <c r="F28" i="361" l="1"/>
  <c r="F7" i="418" s="1"/>
  <c r="C14" i="381"/>
  <c r="E14" i="381" s="1"/>
  <c r="C32" i="381"/>
  <c r="E32" i="381" s="1"/>
  <c r="C14" i="360"/>
  <c r="E14" i="360" s="1"/>
  <c r="C14" i="359"/>
  <c r="E14" i="359" s="1"/>
  <c r="F32" i="415"/>
  <c r="F31" i="415"/>
  <c r="F29" i="415"/>
  <c r="F28" i="415"/>
  <c r="F27" i="415"/>
  <c r="F25" i="415"/>
  <c r="F22" i="415"/>
  <c r="F21" i="415"/>
  <c r="F20" i="415"/>
  <c r="F17" i="415"/>
  <c r="F16" i="415"/>
  <c r="F15" i="415"/>
  <c r="C14" i="415"/>
  <c r="F13" i="415"/>
  <c r="F12" i="415"/>
  <c r="F11" i="415"/>
  <c r="F10" i="415"/>
  <c r="F25" i="413"/>
  <c r="F26" i="413"/>
  <c r="F29" i="413"/>
  <c r="F24" i="413"/>
  <c r="F16" i="413"/>
  <c r="F19" i="413"/>
  <c r="F20" i="413"/>
  <c r="F21" i="413"/>
  <c r="F15" i="413"/>
  <c r="F11" i="413"/>
  <c r="F12" i="413"/>
  <c r="E10" i="413"/>
  <c r="F28" i="413"/>
  <c r="F17" i="413"/>
  <c r="C14" i="413"/>
  <c r="E14" i="413" s="1"/>
  <c r="F13" i="413"/>
  <c r="C14" i="412"/>
  <c r="F27" i="412"/>
  <c r="F24" i="412"/>
  <c r="F17" i="412"/>
  <c r="F19" i="412"/>
  <c r="F12" i="412"/>
  <c r="C14" i="411"/>
  <c r="F25" i="411"/>
  <c r="F28" i="411"/>
  <c r="F19" i="411"/>
  <c r="F21" i="411"/>
  <c r="F11" i="411"/>
  <c r="F13" i="411"/>
  <c r="F30" i="410"/>
  <c r="F31" i="410"/>
  <c r="F27" i="410"/>
  <c r="F28" i="410"/>
  <c r="F17" i="410"/>
  <c r="F12" i="410"/>
  <c r="F10" i="410"/>
  <c r="F25" i="409"/>
  <c r="F28" i="409"/>
  <c r="F24" i="409"/>
  <c r="F17" i="409"/>
  <c r="F11" i="409"/>
  <c r="F12" i="409"/>
  <c r="F15" i="409"/>
  <c r="F10" i="409"/>
  <c r="F28" i="408"/>
  <c r="F24" i="408"/>
  <c r="F16" i="408"/>
  <c r="F20" i="408"/>
  <c r="F21" i="408"/>
  <c r="F12" i="408"/>
  <c r="F10" i="408"/>
  <c r="F25" i="407"/>
  <c r="F26" i="407"/>
  <c r="F27" i="407"/>
  <c r="F23" i="407"/>
  <c r="F19" i="407"/>
  <c r="F12" i="407"/>
  <c r="F28" i="412"/>
  <c r="F25" i="412"/>
  <c r="F21" i="412"/>
  <c r="F20" i="412"/>
  <c r="F16" i="412"/>
  <c r="F13" i="412"/>
  <c r="F11" i="412"/>
  <c r="F10" i="412"/>
  <c r="F27" i="411"/>
  <c r="F24" i="411"/>
  <c r="F20" i="411"/>
  <c r="F17" i="411"/>
  <c r="F16" i="411"/>
  <c r="F15" i="411"/>
  <c r="F12" i="411"/>
  <c r="F27" i="409"/>
  <c r="F21" i="409"/>
  <c r="F20" i="409"/>
  <c r="F19" i="409"/>
  <c r="F16" i="409"/>
  <c r="C14" i="409"/>
  <c r="F13" i="409"/>
  <c r="F27" i="408"/>
  <c r="F25" i="408"/>
  <c r="F17" i="408"/>
  <c r="C14" i="408"/>
  <c r="F13" i="408"/>
  <c r="F11" i="408"/>
  <c r="F26" i="410"/>
  <c r="F25" i="410"/>
  <c r="F23" i="410"/>
  <c r="F20" i="410"/>
  <c r="F19" i="410"/>
  <c r="F16" i="410"/>
  <c r="F15" i="410"/>
  <c r="C14" i="410"/>
  <c r="F13" i="410"/>
  <c r="F11" i="410"/>
  <c r="F31" i="407"/>
  <c r="F30" i="407"/>
  <c r="F28" i="407"/>
  <c r="F20" i="407"/>
  <c r="F17" i="407"/>
  <c r="F16" i="407"/>
  <c r="F15" i="407"/>
  <c r="C14" i="407"/>
  <c r="F13" i="407"/>
  <c r="F11" i="407"/>
  <c r="F20" i="405"/>
  <c r="C14" i="405"/>
  <c r="F26" i="405"/>
  <c r="F27" i="405"/>
  <c r="F28" i="405"/>
  <c r="F30" i="405"/>
  <c r="F31" i="405"/>
  <c r="F23" i="405"/>
  <c r="F16" i="405"/>
  <c r="F17" i="405"/>
  <c r="F19" i="405"/>
  <c r="F13" i="405"/>
  <c r="F15" i="405"/>
  <c r="F17" i="404"/>
  <c r="F19" i="404"/>
  <c r="F15" i="404"/>
  <c r="F25" i="404"/>
  <c r="F26" i="404"/>
  <c r="F27" i="404"/>
  <c r="F28" i="404"/>
  <c r="F30" i="404"/>
  <c r="F31" i="404"/>
  <c r="F23" i="404"/>
  <c r="F35" i="404"/>
  <c r="E35" i="404"/>
  <c r="F12" i="403"/>
  <c r="F13" i="403"/>
  <c r="F17" i="403"/>
  <c r="F15" i="403"/>
  <c r="F25" i="403"/>
  <c r="F27" i="403"/>
  <c r="F28" i="403"/>
  <c r="F25" i="402"/>
  <c r="F27" i="402"/>
  <c r="F28" i="402"/>
  <c r="F24" i="402"/>
  <c r="F16" i="402"/>
  <c r="F17" i="402"/>
  <c r="F20" i="402"/>
  <c r="F25" i="401"/>
  <c r="F28" i="401"/>
  <c r="F31" i="401"/>
  <c r="F23" i="401"/>
  <c r="F11" i="401"/>
  <c r="F12" i="401"/>
  <c r="F15" i="401"/>
  <c r="E24" i="400"/>
  <c r="E25" i="400"/>
  <c r="F25" i="400" s="1"/>
  <c r="E26" i="400"/>
  <c r="F26" i="400" s="1"/>
  <c r="E27" i="400"/>
  <c r="E29" i="400"/>
  <c r="F29" i="400" s="1"/>
  <c r="E30" i="400"/>
  <c r="F30" i="400" s="1"/>
  <c r="E23" i="400"/>
  <c r="F23" i="400" s="1"/>
  <c r="E16" i="400"/>
  <c r="F16" i="400" s="1"/>
  <c r="E17" i="400"/>
  <c r="F17" i="400" s="1"/>
  <c r="E18" i="400"/>
  <c r="E19" i="400"/>
  <c r="F19" i="400" s="1"/>
  <c r="E20" i="400"/>
  <c r="E11" i="400"/>
  <c r="F11" i="400" s="1"/>
  <c r="E12" i="400"/>
  <c r="F12" i="400" s="1"/>
  <c r="E13" i="400"/>
  <c r="F13" i="400" s="1"/>
  <c r="E15" i="400"/>
  <c r="F15" i="400" s="1"/>
  <c r="E10" i="400"/>
  <c r="F24" i="403"/>
  <c r="F21" i="403"/>
  <c r="F20" i="403"/>
  <c r="F19" i="403"/>
  <c r="F16" i="403"/>
  <c r="C14" i="403"/>
  <c r="F11" i="403"/>
  <c r="F21" i="402"/>
  <c r="F19" i="402"/>
  <c r="F15" i="402"/>
  <c r="C14" i="402"/>
  <c r="F13" i="402"/>
  <c r="F11" i="402"/>
  <c r="F25" i="405"/>
  <c r="F12" i="405"/>
  <c r="F11" i="405"/>
  <c r="F20" i="404"/>
  <c r="F16" i="404"/>
  <c r="C14" i="404"/>
  <c r="C32" i="404" s="1"/>
  <c r="F13" i="404"/>
  <c r="F12" i="404"/>
  <c r="F11" i="404"/>
  <c r="F30" i="401"/>
  <c r="F27" i="401"/>
  <c r="F26" i="401"/>
  <c r="F20" i="401"/>
  <c r="F17" i="401"/>
  <c r="F16" i="401"/>
  <c r="C14" i="401"/>
  <c r="F13" i="401"/>
  <c r="F27" i="400"/>
  <c r="F20" i="400"/>
  <c r="C14" i="400"/>
  <c r="C31" i="400" s="1"/>
  <c r="F25" i="414"/>
  <c r="F27" i="414"/>
  <c r="F28" i="414"/>
  <c r="F24" i="414"/>
  <c r="F11" i="414"/>
  <c r="F12" i="414"/>
  <c r="F17" i="414"/>
  <c r="F19" i="414"/>
  <c r="F20" i="414"/>
  <c r="F21" i="414"/>
  <c r="F15" i="414"/>
  <c r="F16" i="414"/>
  <c r="C14" i="414"/>
  <c r="F13" i="414"/>
  <c r="F25" i="399"/>
  <c r="F27" i="399"/>
  <c r="F28" i="399"/>
  <c r="F24" i="399"/>
  <c r="F17" i="399"/>
  <c r="F20" i="399"/>
  <c r="F15" i="399"/>
  <c r="F12" i="399"/>
  <c r="F13" i="399"/>
  <c r="F25" i="398"/>
  <c r="F27" i="398"/>
  <c r="F28" i="398"/>
  <c r="F24" i="398"/>
  <c r="F16" i="398"/>
  <c r="F21" i="398"/>
  <c r="F11" i="398"/>
  <c r="F12" i="398"/>
  <c r="F10" i="398"/>
  <c r="C29" i="397"/>
  <c r="E29" i="397" s="1"/>
  <c r="F27" i="397"/>
  <c r="F24" i="397"/>
  <c r="F21" i="397"/>
  <c r="F12" i="397"/>
  <c r="F10" i="397"/>
  <c r="F25" i="396"/>
  <c r="F28" i="396"/>
  <c r="F24" i="396"/>
  <c r="F17" i="396"/>
  <c r="F19" i="396"/>
  <c r="F20" i="396"/>
  <c r="F12" i="396"/>
  <c r="F21" i="399"/>
  <c r="F16" i="399"/>
  <c r="C14" i="399"/>
  <c r="F11" i="399"/>
  <c r="F20" i="398"/>
  <c r="F17" i="398"/>
  <c r="C14" i="398"/>
  <c r="F13" i="398"/>
  <c r="F28" i="397"/>
  <c r="F25" i="397"/>
  <c r="C14" i="397"/>
  <c r="E14" i="397" s="1"/>
  <c r="F13" i="397"/>
  <c r="F11" i="397"/>
  <c r="F27" i="396"/>
  <c r="F21" i="396"/>
  <c r="F16" i="396"/>
  <c r="F15" i="396"/>
  <c r="C14" i="396"/>
  <c r="F13" i="396"/>
  <c r="F11" i="396"/>
  <c r="F10" i="396"/>
  <c r="F28" i="394"/>
  <c r="F25" i="394"/>
  <c r="E27" i="394"/>
  <c r="F27" i="394" s="1"/>
  <c r="E22" i="394"/>
  <c r="F22" i="394" s="1"/>
  <c r="F16" i="394"/>
  <c r="F13" i="394" s="1"/>
  <c r="E17" i="394"/>
  <c r="E18" i="394"/>
  <c r="F18" i="394" s="1"/>
  <c r="F19" i="394"/>
  <c r="E14" i="394"/>
  <c r="F14" i="394" s="1"/>
  <c r="E11" i="394"/>
  <c r="F11" i="394" s="1"/>
  <c r="F12" i="394"/>
  <c r="E10" i="394"/>
  <c r="F10" i="394" s="1"/>
  <c r="C33" i="394"/>
  <c r="C14" i="378"/>
  <c r="E14" i="378" s="1"/>
  <c r="C14" i="379"/>
  <c r="E14" i="379" s="1"/>
  <c r="C14" i="380"/>
  <c r="E14" i="380" s="1"/>
  <c r="C14" i="382"/>
  <c r="E14" i="382" s="1"/>
  <c r="C14" i="383"/>
  <c r="C14" i="384"/>
  <c r="E14" i="384" s="1"/>
  <c r="C13" i="385"/>
  <c r="C14" i="389"/>
  <c r="E14" i="389" s="1"/>
  <c r="C14" i="388"/>
  <c r="E14" i="388" s="1"/>
  <c r="C14" i="387"/>
  <c r="E14" i="387" s="1"/>
  <c r="C14" i="386"/>
  <c r="E14" i="386" s="1"/>
  <c r="C14" i="393"/>
  <c r="F13" i="393"/>
  <c r="F10" i="393"/>
  <c r="F16" i="393"/>
  <c r="F19" i="393"/>
  <c r="F20" i="393"/>
  <c r="F15" i="393"/>
  <c r="F25" i="393"/>
  <c r="F26" i="393"/>
  <c r="F27" i="393"/>
  <c r="F30" i="393"/>
  <c r="F31" i="393"/>
  <c r="F23" i="393"/>
  <c r="F16" i="392"/>
  <c r="F17" i="392"/>
  <c r="F20" i="392"/>
  <c r="F12" i="392"/>
  <c r="F13" i="392"/>
  <c r="F10" i="392"/>
  <c r="F28" i="392"/>
  <c r="F30" i="392"/>
  <c r="F24" i="392"/>
  <c r="C32" i="391"/>
  <c r="E32" i="391" s="1"/>
  <c r="C14" i="391"/>
  <c r="E14" i="391" s="1"/>
  <c r="F25" i="391"/>
  <c r="F26" i="391"/>
  <c r="F27" i="391"/>
  <c r="F28" i="391"/>
  <c r="F30" i="391"/>
  <c r="F31" i="391"/>
  <c r="F23" i="391"/>
  <c r="F17" i="391"/>
  <c r="F20" i="391"/>
  <c r="F15" i="391"/>
  <c r="F11" i="391"/>
  <c r="F10" i="391"/>
  <c r="C33" i="390"/>
  <c r="E33" i="390" s="1"/>
  <c r="C14" i="390"/>
  <c r="F26" i="390"/>
  <c r="F27" i="390"/>
  <c r="F29" i="390"/>
  <c r="F31" i="390"/>
  <c r="F32" i="390"/>
  <c r="F24" i="390"/>
  <c r="F10" i="390"/>
  <c r="F28" i="393"/>
  <c r="F17" i="393"/>
  <c r="F14" i="393" s="1"/>
  <c r="F12" i="393"/>
  <c r="F11" i="393"/>
  <c r="F31" i="392"/>
  <c r="F27" i="392"/>
  <c r="F26" i="392"/>
  <c r="F21" i="392"/>
  <c r="F19" i="392"/>
  <c r="F15" i="392"/>
  <c r="C14" i="392"/>
  <c r="E14" i="392" s="1"/>
  <c r="F11" i="392"/>
  <c r="F19" i="391"/>
  <c r="F16" i="391"/>
  <c r="F13" i="391"/>
  <c r="F12" i="391"/>
  <c r="F28" i="390"/>
  <c r="F13" i="390"/>
  <c r="F12" i="390"/>
  <c r="F11" i="390"/>
  <c r="F28" i="389"/>
  <c r="F31" i="389"/>
  <c r="F34" i="418" s="1"/>
  <c r="F32" i="389"/>
  <c r="F24" i="389"/>
  <c r="F17" i="389"/>
  <c r="F14" i="389" s="1"/>
  <c r="F19" i="389"/>
  <c r="F11" i="389"/>
  <c r="F12" i="389"/>
  <c r="F10" i="389"/>
  <c r="C33" i="388"/>
  <c r="E33" i="388" s="1"/>
  <c r="F25" i="388"/>
  <c r="F28" i="388"/>
  <c r="F29" i="388"/>
  <c r="F30" i="388"/>
  <c r="F26" i="388"/>
  <c r="F27" i="388"/>
  <c r="F31" i="388"/>
  <c r="F33" i="418" s="1"/>
  <c r="F32" i="388"/>
  <c r="F24" i="388"/>
  <c r="F17" i="388"/>
  <c r="F20" i="388"/>
  <c r="F11" i="388"/>
  <c r="F12" i="388"/>
  <c r="F15" i="388"/>
  <c r="F10" i="388"/>
  <c r="F29" i="389"/>
  <c r="F27" i="389"/>
  <c r="F26" i="389"/>
  <c r="F21" i="389"/>
  <c r="F20" i="389"/>
  <c r="F16" i="389"/>
  <c r="F15" i="389"/>
  <c r="F13" i="389"/>
  <c r="F21" i="388"/>
  <c r="F19" i="388"/>
  <c r="F16" i="388"/>
  <c r="F13" i="388"/>
  <c r="F26" i="387"/>
  <c r="F27" i="387"/>
  <c r="F28" i="387"/>
  <c r="F29" i="387"/>
  <c r="F31" i="387"/>
  <c r="F32" i="418" s="1"/>
  <c r="F32" i="387"/>
  <c r="F24" i="387"/>
  <c r="F16" i="387"/>
  <c r="F17" i="387"/>
  <c r="F21" i="387"/>
  <c r="F15" i="387"/>
  <c r="F14" i="387" s="1"/>
  <c r="F12" i="387"/>
  <c r="F13" i="387"/>
  <c r="F10" i="387"/>
  <c r="F27" i="386"/>
  <c r="F26" i="386"/>
  <c r="F28" i="386"/>
  <c r="F29" i="386"/>
  <c r="F30" i="386"/>
  <c r="F31" i="418" s="1"/>
  <c r="F31" i="386"/>
  <c r="F24" i="386"/>
  <c r="F16" i="386"/>
  <c r="F20" i="386"/>
  <c r="F21" i="386"/>
  <c r="F11" i="386"/>
  <c r="F12" i="386"/>
  <c r="F10" i="386"/>
  <c r="F20" i="387"/>
  <c r="F19" i="387"/>
  <c r="F11" i="387"/>
  <c r="F19" i="386"/>
  <c r="C32" i="386"/>
  <c r="E32" i="386" s="1"/>
  <c r="F13" i="386"/>
  <c r="C29" i="385"/>
  <c r="F24" i="385"/>
  <c r="F25" i="385"/>
  <c r="F26" i="385"/>
  <c r="F27" i="385"/>
  <c r="F28" i="385"/>
  <c r="F15" i="385"/>
  <c r="F16" i="385"/>
  <c r="F18" i="385"/>
  <c r="F19" i="385"/>
  <c r="F11" i="385"/>
  <c r="F12" i="385"/>
  <c r="F22" i="385"/>
  <c r="F14" i="385"/>
  <c r="F10" i="385"/>
  <c r="F20" i="384"/>
  <c r="F16" i="384"/>
  <c r="F17" i="384"/>
  <c r="F19" i="384"/>
  <c r="F21" i="384"/>
  <c r="F15" i="384"/>
  <c r="F11" i="384"/>
  <c r="F12" i="384"/>
  <c r="F10" i="384"/>
  <c r="F25" i="384"/>
  <c r="F30" i="384"/>
  <c r="F32" i="384"/>
  <c r="F26" i="384"/>
  <c r="F27" i="384"/>
  <c r="F28" i="384"/>
  <c r="F29" i="384"/>
  <c r="F31" i="384"/>
  <c r="F30" i="418" s="1"/>
  <c r="F24" i="384"/>
  <c r="C33" i="384"/>
  <c r="E33" i="384" s="1"/>
  <c r="F13" i="384"/>
  <c r="F26" i="383"/>
  <c r="F25" i="383"/>
  <c r="F27" i="383"/>
  <c r="F28" i="383"/>
  <c r="F30" i="383"/>
  <c r="F29" i="418" s="1"/>
  <c r="F31" i="383"/>
  <c r="F26" i="382"/>
  <c r="C32" i="382"/>
  <c r="E32" i="382" s="1"/>
  <c r="F25" i="381"/>
  <c r="F26" i="381"/>
  <c r="F28" i="381"/>
  <c r="F30" i="381"/>
  <c r="F31" i="381"/>
  <c r="F27" i="381"/>
  <c r="C30" i="413" l="1"/>
  <c r="E30" i="413" s="1"/>
  <c r="C29" i="412"/>
  <c r="E29" i="412" s="1"/>
  <c r="E14" i="412"/>
  <c r="C29" i="411"/>
  <c r="E29" i="411" s="1"/>
  <c r="E14" i="411"/>
  <c r="C32" i="410"/>
  <c r="E32" i="410" s="1"/>
  <c r="E14" i="410"/>
  <c r="C29" i="408"/>
  <c r="E29" i="408" s="1"/>
  <c r="E14" i="408"/>
  <c r="C33" i="415"/>
  <c r="E33" i="415" s="1"/>
  <c r="E14" i="415"/>
  <c r="F33" i="415"/>
  <c r="C32" i="407"/>
  <c r="E32" i="407" s="1"/>
  <c r="E14" i="407"/>
  <c r="C32" i="405"/>
  <c r="E32" i="405" s="1"/>
  <c r="E14" i="405"/>
  <c r="C37" i="404"/>
  <c r="E37" i="404" s="1"/>
  <c r="F37" i="404" s="1"/>
  <c r="E32" i="404"/>
  <c r="C29" i="403"/>
  <c r="E29" i="403" s="1"/>
  <c r="E14" i="403"/>
  <c r="C29" i="402"/>
  <c r="E29" i="402" s="1"/>
  <c r="E14" i="402"/>
  <c r="C32" i="401"/>
  <c r="E32" i="401" s="1"/>
  <c r="E14" i="401"/>
  <c r="C29" i="414"/>
  <c r="E29" i="414" s="1"/>
  <c r="E14" i="414"/>
  <c r="C29" i="399"/>
  <c r="E29" i="399" s="1"/>
  <c r="E14" i="399"/>
  <c r="C29" i="398"/>
  <c r="E29" i="398" s="1"/>
  <c r="E14" i="398"/>
  <c r="C29" i="396"/>
  <c r="E29" i="396" s="1"/>
  <c r="E14" i="396"/>
  <c r="C32" i="393"/>
  <c r="E32" i="393" s="1"/>
  <c r="E14" i="393"/>
  <c r="C32" i="392"/>
  <c r="C35" i="392" s="1"/>
  <c r="E32" i="392"/>
  <c r="C33" i="389"/>
  <c r="E33" i="389" s="1"/>
  <c r="C33" i="387"/>
  <c r="E33" i="387" s="1"/>
  <c r="E14" i="383"/>
  <c r="C32" i="383"/>
  <c r="E32" i="383" s="1"/>
  <c r="C33" i="360"/>
  <c r="E33" i="360" s="1"/>
  <c r="C33" i="359"/>
  <c r="E33" i="359" s="1"/>
  <c r="J33" i="359" s="1"/>
  <c r="F14" i="405"/>
  <c r="F14" i="411"/>
  <c r="C29" i="409"/>
  <c r="E29" i="409" s="1"/>
  <c r="E14" i="409"/>
  <c r="F14" i="388"/>
  <c r="F33" i="388" s="1"/>
  <c r="F19" i="415"/>
  <c r="F14" i="415" s="1"/>
  <c r="F14" i="413"/>
  <c r="F10" i="413"/>
  <c r="F19" i="408"/>
  <c r="F14" i="407"/>
  <c r="F15" i="412"/>
  <c r="F14" i="412" s="1"/>
  <c r="F29" i="412" s="1"/>
  <c r="F10" i="411"/>
  <c r="F14" i="409"/>
  <c r="F29" i="409" s="1"/>
  <c r="F15" i="408"/>
  <c r="F14" i="410"/>
  <c r="F32" i="410" s="1"/>
  <c r="F10" i="407"/>
  <c r="F14" i="404"/>
  <c r="F14" i="402"/>
  <c r="F12" i="402"/>
  <c r="F19" i="401"/>
  <c r="F14" i="401" s="1"/>
  <c r="E14" i="400"/>
  <c r="E31" i="400" s="1"/>
  <c r="F14" i="400"/>
  <c r="F14" i="403"/>
  <c r="F10" i="403"/>
  <c r="F10" i="402"/>
  <c r="F10" i="405"/>
  <c r="F10" i="404"/>
  <c r="F10" i="401"/>
  <c r="F10" i="400"/>
  <c r="F14" i="414"/>
  <c r="F10" i="414"/>
  <c r="F10" i="399"/>
  <c r="F19" i="398"/>
  <c r="F19" i="399"/>
  <c r="F14" i="399" s="1"/>
  <c r="F15" i="398"/>
  <c r="F14" i="396"/>
  <c r="F29" i="396" s="1"/>
  <c r="F29" i="394"/>
  <c r="E13" i="394"/>
  <c r="E29" i="394" s="1"/>
  <c r="F14" i="384"/>
  <c r="F33" i="384" s="1"/>
  <c r="F14" i="391"/>
  <c r="F32" i="391" s="1"/>
  <c r="F21" i="390"/>
  <c r="F32" i="393"/>
  <c r="F14" i="392"/>
  <c r="F32" i="392" s="1"/>
  <c r="F33" i="389"/>
  <c r="F13" i="385"/>
  <c r="F29" i="385" s="1"/>
  <c r="F17" i="386"/>
  <c r="F33" i="387"/>
  <c r="F15" i="386"/>
  <c r="F27" i="379"/>
  <c r="F26" i="379"/>
  <c r="F28" i="379"/>
  <c r="F29" i="379"/>
  <c r="F32" i="379"/>
  <c r="F16" i="379"/>
  <c r="F17" i="379"/>
  <c r="F19" i="379"/>
  <c r="F20" i="379"/>
  <c r="F12" i="379"/>
  <c r="F13" i="379"/>
  <c r="F26" i="378"/>
  <c r="F28" i="378"/>
  <c r="F30" i="378"/>
  <c r="F17" i="378"/>
  <c r="F19" i="378"/>
  <c r="F21" i="378"/>
  <c r="C14" i="377"/>
  <c r="F30" i="377"/>
  <c r="F22" i="418" s="1"/>
  <c r="F24" i="377"/>
  <c r="F16" i="377"/>
  <c r="F17" i="377"/>
  <c r="F19" i="377"/>
  <c r="F12" i="377"/>
  <c r="F27" i="376"/>
  <c r="F28" i="376"/>
  <c r="F31" i="376"/>
  <c r="F24" i="376"/>
  <c r="F19" i="376"/>
  <c r="F15" i="376"/>
  <c r="F11" i="376"/>
  <c r="F27" i="375"/>
  <c r="F28" i="375"/>
  <c r="F31" i="375"/>
  <c r="F16" i="375"/>
  <c r="F19" i="375"/>
  <c r="F11" i="375"/>
  <c r="F12" i="375"/>
  <c r="F26" i="374"/>
  <c r="F28" i="374"/>
  <c r="F31" i="374"/>
  <c r="F24" i="374"/>
  <c r="F15" i="374"/>
  <c r="F10" i="374"/>
  <c r="F28" i="372"/>
  <c r="F24" i="372"/>
  <c r="F16" i="372"/>
  <c r="F19" i="372"/>
  <c r="F11" i="372"/>
  <c r="F12" i="372"/>
  <c r="F26" i="373"/>
  <c r="F28" i="373"/>
  <c r="F30" i="373"/>
  <c r="F17" i="418" s="1"/>
  <c r="F17" i="373"/>
  <c r="F19" i="373"/>
  <c r="F20" i="373"/>
  <c r="F21" i="373"/>
  <c r="F12" i="373"/>
  <c r="F13" i="373"/>
  <c r="F26" i="371"/>
  <c r="F27" i="371"/>
  <c r="F28" i="371"/>
  <c r="F30" i="371"/>
  <c r="F16" i="418" s="1"/>
  <c r="F31" i="371"/>
  <c r="F17" i="371"/>
  <c r="F21" i="371"/>
  <c r="F13" i="371"/>
  <c r="F10" i="371"/>
  <c r="E27" i="368"/>
  <c r="F27" i="368" s="1"/>
  <c r="E26" i="368"/>
  <c r="E28" i="368"/>
  <c r="F28" i="368" s="1"/>
  <c r="E29" i="368"/>
  <c r="E30" i="368"/>
  <c r="E31" i="368"/>
  <c r="E32" i="368"/>
  <c r="F32" i="368" s="1"/>
  <c r="E24" i="368"/>
  <c r="F24" i="368" s="1"/>
  <c r="E16" i="368"/>
  <c r="E17" i="368"/>
  <c r="F17" i="368" s="1"/>
  <c r="E18" i="368"/>
  <c r="E19" i="368"/>
  <c r="E20" i="368"/>
  <c r="E21" i="368"/>
  <c r="E15" i="368"/>
  <c r="E11" i="368"/>
  <c r="F11" i="368" s="1"/>
  <c r="E12" i="368"/>
  <c r="F12" i="368" s="1"/>
  <c r="E13" i="368"/>
  <c r="E10" i="368"/>
  <c r="F10" i="368" s="1"/>
  <c r="F26" i="367"/>
  <c r="F28" i="367"/>
  <c r="F30" i="367"/>
  <c r="F12" i="418" s="1"/>
  <c r="F31" i="367"/>
  <c r="F17" i="367"/>
  <c r="F19" i="367"/>
  <c r="F21" i="367"/>
  <c r="F15" i="367"/>
  <c r="F12" i="367"/>
  <c r="F13" i="367"/>
  <c r="F10" i="367"/>
  <c r="E27" i="366"/>
  <c r="F27" i="366" s="1"/>
  <c r="E26" i="366"/>
  <c r="F26" i="366" s="1"/>
  <c r="E28" i="366"/>
  <c r="F28" i="366" s="1"/>
  <c r="E29" i="366"/>
  <c r="F29" i="366" s="1"/>
  <c r="E30" i="366"/>
  <c r="E31" i="366"/>
  <c r="F31" i="366" s="1"/>
  <c r="F11" i="418" s="1"/>
  <c r="E32" i="366"/>
  <c r="F32" i="366" s="1"/>
  <c r="E24" i="366"/>
  <c r="E16" i="366"/>
  <c r="F16" i="366" s="1"/>
  <c r="E17" i="366"/>
  <c r="F17" i="366" s="1"/>
  <c r="E18" i="366"/>
  <c r="E20" i="366"/>
  <c r="F20" i="366" s="1"/>
  <c r="E21" i="366"/>
  <c r="F21" i="366" s="1"/>
  <c r="E15" i="366"/>
  <c r="E11" i="366"/>
  <c r="F11" i="366" s="1"/>
  <c r="E12" i="366"/>
  <c r="F12" i="366" s="1"/>
  <c r="E13" i="366"/>
  <c r="E10" i="366"/>
  <c r="F10" i="366" s="1"/>
  <c r="F11" i="364"/>
  <c r="F12" i="364"/>
  <c r="F13" i="364"/>
  <c r="F26" i="363"/>
  <c r="F28" i="363"/>
  <c r="F9" i="418" s="1"/>
  <c r="F29" i="363"/>
  <c r="F17" i="363"/>
  <c r="F19" i="363"/>
  <c r="F20" i="363"/>
  <c r="F21" i="363"/>
  <c r="F11" i="363"/>
  <c r="F13" i="363"/>
  <c r="C14" i="362"/>
  <c r="F27" i="362"/>
  <c r="F28" i="362"/>
  <c r="F32" i="362"/>
  <c r="F24" i="362"/>
  <c r="F11" i="362"/>
  <c r="F13" i="362"/>
  <c r="F26" i="361"/>
  <c r="F29" i="361"/>
  <c r="F24" i="361"/>
  <c r="F16" i="361"/>
  <c r="F19" i="361"/>
  <c r="F21" i="361"/>
  <c r="F11" i="361"/>
  <c r="F12" i="361"/>
  <c r="F13" i="361"/>
  <c r="F26" i="360"/>
  <c r="F28" i="360"/>
  <c r="F32" i="360"/>
  <c r="F17" i="360"/>
  <c r="F19" i="360"/>
  <c r="F11" i="360"/>
  <c r="F12" i="360"/>
  <c r="F10" i="360"/>
  <c r="F27" i="359"/>
  <c r="F26" i="359"/>
  <c r="F28" i="359"/>
  <c r="F23" i="383"/>
  <c r="F20" i="383"/>
  <c r="F19" i="383"/>
  <c r="F17" i="383"/>
  <c r="F16" i="383"/>
  <c r="F15" i="383"/>
  <c r="F13" i="383"/>
  <c r="F12" i="383"/>
  <c r="F11" i="383"/>
  <c r="F10" i="383"/>
  <c r="F31" i="382"/>
  <c r="F30" i="382"/>
  <c r="F28" i="382"/>
  <c r="F27" i="382"/>
  <c r="F25" i="382"/>
  <c r="F23" i="382"/>
  <c r="F20" i="382"/>
  <c r="F19" i="382"/>
  <c r="F17" i="382"/>
  <c r="F16" i="382"/>
  <c r="F15" i="382"/>
  <c r="F13" i="382"/>
  <c r="F12" i="382"/>
  <c r="F11" i="382"/>
  <c r="F10" i="382"/>
  <c r="F23" i="381"/>
  <c r="F20" i="381"/>
  <c r="F19" i="381"/>
  <c r="F17" i="381"/>
  <c r="F16" i="381"/>
  <c r="F13" i="381"/>
  <c r="F12" i="381"/>
  <c r="F11" i="381"/>
  <c r="F31" i="380"/>
  <c r="F30" i="380"/>
  <c r="F25" i="418" s="1"/>
  <c r="F28" i="380"/>
  <c r="F27" i="380"/>
  <c r="F26" i="380"/>
  <c r="F24" i="380"/>
  <c r="F21" i="380"/>
  <c r="F20" i="380"/>
  <c r="F19" i="380"/>
  <c r="F17" i="380"/>
  <c r="F16" i="380"/>
  <c r="F15" i="380"/>
  <c r="C32" i="380"/>
  <c r="E32" i="380" s="1"/>
  <c r="F13" i="380"/>
  <c r="F12" i="380"/>
  <c r="F11" i="380"/>
  <c r="F10" i="380"/>
  <c r="F31" i="379"/>
  <c r="F24" i="379"/>
  <c r="F21" i="379"/>
  <c r="F15" i="379"/>
  <c r="C33" i="379"/>
  <c r="E33" i="379" s="1"/>
  <c r="F11" i="379"/>
  <c r="F10" i="379"/>
  <c r="F31" i="378"/>
  <c r="F27" i="378"/>
  <c r="F24" i="378"/>
  <c r="F20" i="378"/>
  <c r="F16" i="378"/>
  <c r="C32" i="378"/>
  <c r="E32" i="378" s="1"/>
  <c r="F13" i="378"/>
  <c r="F12" i="378"/>
  <c r="F11" i="378"/>
  <c r="F10" i="378"/>
  <c r="F31" i="377"/>
  <c r="F28" i="377"/>
  <c r="F27" i="377"/>
  <c r="F26" i="377"/>
  <c r="F21" i="377"/>
  <c r="F20" i="377"/>
  <c r="F15" i="377"/>
  <c r="F13" i="377"/>
  <c r="F11" i="377"/>
  <c r="F10" i="377"/>
  <c r="F30" i="376"/>
  <c r="F26" i="376"/>
  <c r="F21" i="376"/>
  <c r="F20" i="376"/>
  <c r="F17" i="376"/>
  <c r="F16" i="376"/>
  <c r="C14" i="376"/>
  <c r="F13" i="376"/>
  <c r="F12" i="376"/>
  <c r="F30" i="375"/>
  <c r="F20" i="418" s="1"/>
  <c r="F26" i="375"/>
  <c r="F24" i="375"/>
  <c r="F21" i="375"/>
  <c r="F20" i="375"/>
  <c r="F17" i="375"/>
  <c r="C14" i="375"/>
  <c r="F13" i="375"/>
  <c r="F10" i="375"/>
  <c r="F30" i="374"/>
  <c r="F27" i="374"/>
  <c r="F21" i="374"/>
  <c r="F20" i="374"/>
  <c r="F19" i="374"/>
  <c r="F17" i="374"/>
  <c r="F16" i="374"/>
  <c r="C14" i="374"/>
  <c r="F13" i="374"/>
  <c r="F12" i="374"/>
  <c r="F11" i="374"/>
  <c r="F31" i="372"/>
  <c r="F30" i="372"/>
  <c r="F18" i="418" s="1"/>
  <c r="F27" i="372"/>
  <c r="F26" i="372"/>
  <c r="F21" i="372"/>
  <c r="F20" i="372"/>
  <c r="F17" i="372"/>
  <c r="F15" i="372"/>
  <c r="C14" i="372"/>
  <c r="F13" i="372"/>
  <c r="F10" i="372"/>
  <c r="F31" i="373"/>
  <c r="F27" i="373"/>
  <c r="F24" i="373"/>
  <c r="F16" i="373"/>
  <c r="C14" i="373"/>
  <c r="F11" i="373"/>
  <c r="F27" i="364"/>
  <c r="F28" i="364"/>
  <c r="F30" i="364"/>
  <c r="F10" i="418" s="1"/>
  <c r="F31" i="364"/>
  <c r="F24" i="364"/>
  <c r="F17" i="364"/>
  <c r="F19" i="364"/>
  <c r="F20" i="364"/>
  <c r="F21" i="364"/>
  <c r="F15" i="364"/>
  <c r="F10" i="364"/>
  <c r="F29" i="360"/>
  <c r="F15" i="360"/>
  <c r="F13" i="360"/>
  <c r="F24" i="371"/>
  <c r="F20" i="371"/>
  <c r="F19" i="371"/>
  <c r="F16" i="371"/>
  <c r="C14" i="371"/>
  <c r="F12" i="371"/>
  <c r="F11" i="371"/>
  <c r="F31" i="370"/>
  <c r="F30" i="370"/>
  <c r="F28" i="370"/>
  <c r="F27" i="370"/>
  <c r="F26" i="370"/>
  <c r="F24" i="370"/>
  <c r="F21" i="370"/>
  <c r="F20" i="370"/>
  <c r="F19" i="370"/>
  <c r="F17" i="370"/>
  <c r="F16" i="370"/>
  <c r="F15" i="370"/>
  <c r="C14" i="370"/>
  <c r="F13" i="370"/>
  <c r="F12" i="370"/>
  <c r="F11" i="370"/>
  <c r="F10" i="370"/>
  <c r="F30" i="369"/>
  <c r="F14" i="418" s="1"/>
  <c r="F28" i="369"/>
  <c r="F27" i="369"/>
  <c r="C14" i="369"/>
  <c r="F13" i="369"/>
  <c r="F12" i="369"/>
  <c r="F17" i="369" s="1"/>
  <c r="F11" i="369"/>
  <c r="F16" i="369" s="1"/>
  <c r="F21" i="369" s="1"/>
  <c r="F26" i="369" s="1"/>
  <c r="F31" i="369" s="1"/>
  <c r="F31" i="368"/>
  <c r="F29" i="368"/>
  <c r="F26" i="368"/>
  <c r="F21" i="368"/>
  <c r="F20" i="368"/>
  <c r="F16" i="368"/>
  <c r="C14" i="368"/>
  <c r="C33" i="368" s="1"/>
  <c r="F13" i="368"/>
  <c r="F27" i="367"/>
  <c r="F24" i="367"/>
  <c r="F20" i="367"/>
  <c r="F16" i="367"/>
  <c r="C14" i="367"/>
  <c r="F11" i="367"/>
  <c r="C14" i="366"/>
  <c r="C33" i="366" s="1"/>
  <c r="F13" i="366"/>
  <c r="F26" i="364"/>
  <c r="F16" i="364"/>
  <c r="C14" i="364"/>
  <c r="F25" i="363"/>
  <c r="F24" i="363"/>
  <c r="F16" i="363"/>
  <c r="C14" i="363"/>
  <c r="E14" i="363" s="1"/>
  <c r="F12" i="363"/>
  <c r="F31" i="362"/>
  <c r="F29" i="362"/>
  <c r="F26" i="362"/>
  <c r="F21" i="362"/>
  <c r="F20" i="362"/>
  <c r="F19" i="362"/>
  <c r="F17" i="362"/>
  <c r="F16" i="362"/>
  <c r="F12" i="362"/>
  <c r="F25" i="361"/>
  <c r="F20" i="361"/>
  <c r="F17" i="361"/>
  <c r="F15" i="361"/>
  <c r="C14" i="361"/>
  <c r="F10" i="361"/>
  <c r="F31" i="360"/>
  <c r="F5" i="418" s="1"/>
  <c r="F21" i="360"/>
  <c r="F16" i="360"/>
  <c r="F30" i="413" l="1"/>
  <c r="C32" i="377"/>
  <c r="E32" i="377" s="1"/>
  <c r="E14" i="377"/>
  <c r="C32" i="376"/>
  <c r="E32" i="376" s="1"/>
  <c r="E14" i="376"/>
  <c r="C32" i="375"/>
  <c r="E32" i="375" s="1"/>
  <c r="E14" i="375"/>
  <c r="C32" i="374"/>
  <c r="E32" i="374" s="1"/>
  <c r="E14" i="374"/>
  <c r="C32" i="372"/>
  <c r="E32" i="372" s="1"/>
  <c r="E14" i="372"/>
  <c r="C32" i="373"/>
  <c r="E32" i="373" s="1"/>
  <c r="E14" i="373"/>
  <c r="C32" i="371"/>
  <c r="E32" i="371" s="1"/>
  <c r="E14" i="371"/>
  <c r="C32" i="370"/>
  <c r="E14" i="370"/>
  <c r="E14" i="369"/>
  <c r="C32" i="369"/>
  <c r="E32" i="369" s="1"/>
  <c r="C32" i="367"/>
  <c r="E32" i="367" s="1"/>
  <c r="E14" i="367"/>
  <c r="C32" i="364"/>
  <c r="E32" i="364" s="1"/>
  <c r="E14" i="364"/>
  <c r="E14" i="362"/>
  <c r="C33" i="362"/>
  <c r="E33" i="362" s="1"/>
  <c r="E14" i="361"/>
  <c r="C30" i="361"/>
  <c r="E30" i="361" s="1"/>
  <c r="F32" i="405"/>
  <c r="F32" i="401"/>
  <c r="C30" i="363"/>
  <c r="E30" i="363" s="1"/>
  <c r="C37" i="366"/>
  <c r="E14" i="366"/>
  <c r="E33" i="366" s="1"/>
  <c r="F14" i="380"/>
  <c r="F32" i="380" s="1"/>
  <c r="F14" i="408"/>
  <c r="F29" i="408" s="1"/>
  <c r="F14" i="386"/>
  <c r="F32" i="386" s="1"/>
  <c r="F15" i="366"/>
  <c r="F15" i="378"/>
  <c r="F14" i="378" s="1"/>
  <c r="F32" i="407"/>
  <c r="F29" i="411"/>
  <c r="F32" i="404"/>
  <c r="F29" i="402"/>
  <c r="F31" i="400"/>
  <c r="F29" i="403"/>
  <c r="F29" i="414"/>
  <c r="F29" i="399"/>
  <c r="F14" i="398"/>
  <c r="F29" i="398" s="1"/>
  <c r="F20" i="397"/>
  <c r="F10" i="362"/>
  <c r="F15" i="362"/>
  <c r="F14" i="362" s="1"/>
  <c r="F14" i="383"/>
  <c r="F32" i="383" s="1"/>
  <c r="F14" i="382"/>
  <c r="F32" i="382" s="1"/>
  <c r="F10" i="381"/>
  <c r="F15" i="381"/>
  <c r="F14" i="381" s="1"/>
  <c r="F15" i="375"/>
  <c r="F14" i="375" s="1"/>
  <c r="F32" i="375" s="1"/>
  <c r="F15" i="371"/>
  <c r="F14" i="371" s="1"/>
  <c r="F32" i="371" s="1"/>
  <c r="E14" i="368"/>
  <c r="E33" i="368" s="1"/>
  <c r="F19" i="368"/>
  <c r="F14" i="361"/>
  <c r="F14" i="366"/>
  <c r="F33" i="366" s="1"/>
  <c r="F14" i="367"/>
  <c r="F32" i="367" s="1"/>
  <c r="F15" i="368"/>
  <c r="F14" i="374"/>
  <c r="F32" i="374" s="1"/>
  <c r="F15" i="373"/>
  <c r="F14" i="373" s="1"/>
  <c r="F14" i="376"/>
  <c r="F14" i="379"/>
  <c r="F33" i="379" s="1"/>
  <c r="F32" i="378"/>
  <c r="F14" i="377"/>
  <c r="F32" i="377" s="1"/>
  <c r="F10" i="376"/>
  <c r="F32" i="376" s="1"/>
  <c r="F14" i="372"/>
  <c r="F32" i="372" s="1"/>
  <c r="F10" i="373"/>
  <c r="F20" i="360"/>
  <c r="F14" i="360" s="1"/>
  <c r="F24" i="360"/>
  <c r="F24" i="366"/>
  <c r="F14" i="370"/>
  <c r="F32" i="370" s="1"/>
  <c r="F15" i="369"/>
  <c r="F10" i="369"/>
  <c r="F14" i="364"/>
  <c r="F32" i="364" s="1"/>
  <c r="F15" i="363"/>
  <c r="F14" i="363" s="1"/>
  <c r="F10" i="363"/>
  <c r="F24" i="359"/>
  <c r="F12" i="359"/>
  <c r="F13" i="359"/>
  <c r="F11" i="359"/>
  <c r="F32" i="359"/>
  <c r="F31" i="359"/>
  <c r="F29" i="359"/>
  <c r="F21" i="359"/>
  <c r="F20" i="359"/>
  <c r="F19" i="359"/>
  <c r="F17" i="359"/>
  <c r="F16" i="359"/>
  <c r="C35" i="370" l="1"/>
  <c r="E32" i="370"/>
  <c r="F33" i="360"/>
  <c r="F20" i="369"/>
  <c r="F30" i="361"/>
  <c r="F30" i="363"/>
  <c r="F19" i="397"/>
  <c r="F20" i="390"/>
  <c r="F19" i="390"/>
  <c r="F33" i="362"/>
  <c r="F10" i="359"/>
  <c r="F32" i="381"/>
  <c r="F14" i="368"/>
  <c r="F33" i="368" s="1"/>
  <c r="F32" i="373"/>
  <c r="F15" i="359"/>
  <c r="F14" i="359" s="1"/>
  <c r="F17" i="397" l="1"/>
  <c r="F17" i="390"/>
  <c r="F33" i="359"/>
  <c r="F16" i="397" l="1"/>
  <c r="F16" i="390"/>
  <c r="F15" i="397" l="1"/>
  <c r="F14" i="397" s="1"/>
  <c r="F29" i="397" s="1"/>
  <c r="F15" i="390"/>
  <c r="F14" i="390" l="1"/>
  <c r="F33" i="390" s="1"/>
  <c r="F24" i="369" l="1"/>
  <c r="F19" i="369"/>
  <c r="F14" i="369" s="1"/>
  <c r="F32" i="369" l="1"/>
</calcChain>
</file>

<file path=xl/sharedStrings.xml><?xml version="1.0" encoding="utf-8"?>
<sst xmlns="http://schemas.openxmlformats.org/spreadsheetml/2006/main" count="4492" uniqueCount="316">
  <si>
    <t>№</t>
  </si>
  <si>
    <t>п.п.</t>
  </si>
  <si>
    <t>Приложение к договору</t>
  </si>
  <si>
    <t xml:space="preserve">   Перечень и стоимость работ по содержанию и текущему ремонту объектов  общего имущества, состав (перечень объектов) которого </t>
  </si>
  <si>
    <t>Расход в</t>
  </si>
  <si>
    <t xml:space="preserve">Тариф </t>
  </si>
  <si>
    <t>Периодичность</t>
  </si>
  <si>
    <t>месяц при 100</t>
  </si>
  <si>
    <t>год при 100</t>
  </si>
  <si>
    <t>Виды работ</t>
  </si>
  <si>
    <t xml:space="preserve"> (руб./м2)</t>
  </si>
  <si>
    <t>% оплате</t>
  </si>
  <si>
    <t>I</t>
  </si>
  <si>
    <t>ПЕРЕЧЕНЬ РАБОТ ПО СОДЕРЖАНИЮ ЖИЛЫХ ДОМОВ</t>
  </si>
  <si>
    <t>А. Работы, выполняемые по обслуживанию и содержанию  жилого дома,согласно договора (сантехнические)</t>
  </si>
  <si>
    <t>ежемесячно</t>
  </si>
  <si>
    <t>II</t>
  </si>
  <si>
    <t>Б. Работы, выполняемые по обслуживанию и содержанию  жилого дома,согласно договора (Электрика)</t>
  </si>
  <si>
    <t>III</t>
  </si>
  <si>
    <t>В. Работы, выполняемые при подготовке жилых зданий к эксплуатации в весенне-летний период</t>
  </si>
  <si>
    <t>2 раза в год</t>
  </si>
  <si>
    <t>IV</t>
  </si>
  <si>
    <t>Д. Договорные обязательства</t>
  </si>
  <si>
    <t>1.Обработка от грызунов  (дератизация)</t>
  </si>
  <si>
    <t>1 раз в месяц</t>
  </si>
  <si>
    <t xml:space="preserve">2.Обработка от комаров , насекомых (дезинсекция) </t>
  </si>
  <si>
    <t>3.Аварийное обслуживание</t>
  </si>
  <si>
    <t>Локализация  аварий на системах водоснабжения, теплоснабжения, канализации, энергоснабжения  (аварийно-диспетчерское обслуживание)</t>
  </si>
  <si>
    <t>Ежедневно с 17-00ч до 8-00ч ,суббота,воскресенье- круглосуточно</t>
  </si>
  <si>
    <t xml:space="preserve">ежемесячно по договору </t>
  </si>
  <si>
    <t xml:space="preserve">по графику </t>
  </si>
  <si>
    <t>7.Техническое обслуживание газового оборудования</t>
  </si>
  <si>
    <t>V</t>
  </si>
  <si>
    <t>Г.Работы по санитарному содержанию придомовой территории и  помещений общего домового имущества</t>
  </si>
  <si>
    <t>1.Уборка придомовой</t>
  </si>
  <si>
    <t>территории входящей в общее домовое имущество</t>
  </si>
  <si>
    <t>по договору</t>
  </si>
  <si>
    <t xml:space="preserve">2.Уборка помещений, входящих в </t>
  </si>
  <si>
    <t xml:space="preserve"> в общее домовое имущество</t>
  </si>
  <si>
    <t>VI</t>
  </si>
  <si>
    <t>Работы выполняются в соответствии с принятым  решением собственников помещений на общем собрании.</t>
  </si>
  <si>
    <t>VII</t>
  </si>
  <si>
    <t>VIII</t>
  </si>
  <si>
    <t>IX</t>
  </si>
  <si>
    <t>Налог 6%</t>
  </si>
  <si>
    <t>X</t>
  </si>
  <si>
    <t>Итого</t>
  </si>
  <si>
    <t>Подписи:</t>
  </si>
  <si>
    <t>Председатель совета МКД</t>
  </si>
  <si>
    <t>______________________</t>
  </si>
  <si>
    <t>Совет МКД</t>
  </si>
  <si>
    <t>_____________________</t>
  </si>
  <si>
    <t>__________________________</t>
  </si>
  <si>
    <t>4.Поверка приборов учета</t>
  </si>
  <si>
    <t>5.Транспортные расходы</t>
  </si>
  <si>
    <t>6.Техническое обслуживание газового оборудования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</si>
  <si>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</si>
  <si>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Работы по обеспечению требований пожарной безоасности-осмотры и обеспечение работоспособности  состояние гидрантов,пожарных лестниц.</t>
  </si>
  <si>
    <t xml:space="preserve"> </t>
  </si>
  <si>
    <t xml:space="preserve"> по договору </t>
  </si>
  <si>
    <t>Накопительная часть</t>
  </si>
  <si>
    <t>4.Транспортные расходы</t>
  </si>
  <si>
    <t>5.Техническое обслуживание газового оборудования</t>
  </si>
  <si>
    <t>Дополнительные услуги</t>
  </si>
  <si>
    <t>Всего:</t>
  </si>
  <si>
    <t>4.Техническое обслуживание газового оборудования</t>
  </si>
  <si>
    <t>Прочие доходы -22695</t>
  </si>
  <si>
    <t>К оплате</t>
  </si>
  <si>
    <t>Прочие доходы 26400</t>
  </si>
  <si>
    <t>Доходы за антену</t>
  </si>
  <si>
    <t>в счет тарифа</t>
  </si>
  <si>
    <t>6.Техническое обслуживание теплоузлов</t>
  </si>
  <si>
    <t>2 раза  в год</t>
  </si>
  <si>
    <t>Е.Работы по подряду</t>
  </si>
  <si>
    <t xml:space="preserve">Услуги управления </t>
  </si>
  <si>
    <t>3.Уборка мусоропроводов</t>
  </si>
  <si>
    <t>Подготовка МКД к сезонной эксплуатации</t>
  </si>
  <si>
    <t>3.Уборка мусоропровода</t>
  </si>
  <si>
    <t>Е. Обслуживание внешних сетей до границы балансовой принадлежности.</t>
  </si>
  <si>
    <t>Общеэксплуатационные расходы</t>
  </si>
  <si>
    <t>2.Уборка лестничных клеток</t>
  </si>
  <si>
    <t>где л/кл 1.28</t>
  </si>
  <si>
    <t>пожарная сигнализация</t>
  </si>
  <si>
    <t>Оценка,страх. лифтового оборудования</t>
  </si>
  <si>
    <t>Работы по пожарной безопасности</t>
  </si>
  <si>
    <t>Обслуживание лифтов</t>
  </si>
  <si>
    <t xml:space="preserve">месяц </t>
  </si>
  <si>
    <t xml:space="preserve">год </t>
  </si>
  <si>
    <t>Приложение №1</t>
  </si>
  <si>
    <t>к контракту(договору) №19/2022</t>
  </si>
  <si>
    <t>от "15" февраля 2022 года</t>
  </si>
  <si>
    <t xml:space="preserve">Перечень услуг и работ, необходимых для обеспечения надлежащего содержания общего имущества жилого дома  по ул.  Макаренко 6 </t>
  </si>
  <si>
    <t xml:space="preserve">Характеристика МКД                                                                 </t>
  </si>
  <si>
    <t>Количество этажей</t>
  </si>
  <si>
    <t xml:space="preserve">Общая  площадь дома (м2) </t>
  </si>
  <si>
    <t xml:space="preserve">Площадь дома (м2) к начислению  жилая  </t>
  </si>
  <si>
    <t>Подьездов шт</t>
  </si>
  <si>
    <t>Год постройки</t>
  </si>
  <si>
    <t>№ п/п</t>
  </si>
  <si>
    <t xml:space="preserve">Перечень видов работ и услуг </t>
  </si>
  <si>
    <t>Условия выполнения работ и услуг, периодичность</t>
  </si>
  <si>
    <r>
      <rPr>
        <sz val="14"/>
        <color rgb="FF000000"/>
        <rFont val="Times New Roman"/>
        <family val="1"/>
        <charset val="204"/>
      </rPr>
      <t xml:space="preserve">Стоимость работ и услуг </t>
    </r>
    <r>
      <rPr>
        <u/>
        <sz val="14"/>
        <rFont val="Times New Roman"/>
        <family val="1"/>
        <charset val="204"/>
      </rPr>
      <t>в год</t>
    </r>
    <r>
      <rPr>
        <sz val="14"/>
        <rFont val="Times New Roman"/>
        <family val="1"/>
        <charset val="204"/>
      </rPr>
      <t xml:space="preserve">,  , руб. </t>
    </r>
  </si>
  <si>
    <r>
      <rPr>
        <sz val="14"/>
        <color rgb="FF000000"/>
        <rFont val="Times New Roman"/>
        <family val="1"/>
        <charset val="204"/>
      </rPr>
      <t>Цена работ и услуг  в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b/>
        <u/>
        <sz val="14"/>
        <color rgb="FF000000"/>
        <rFont val="Times New Roman"/>
        <family val="1"/>
        <charset val="204"/>
      </rPr>
      <t>месяц</t>
    </r>
    <r>
      <rPr>
        <sz val="14"/>
        <color rgb="FF000000"/>
        <rFont val="Times New Roman"/>
        <family val="1"/>
        <charset val="204"/>
      </rPr>
      <t xml:space="preserve">,  , руб. </t>
    </r>
  </si>
  <si>
    <t>Размер платы(тариф) за 1 кв.м , руб.</t>
  </si>
  <si>
    <t>Фактич. выполнение 2020</t>
  </si>
  <si>
    <t>Задолженность на 01.01.2022</t>
  </si>
  <si>
    <t xml:space="preserve">I. </t>
  </si>
  <si>
    <t xml:space="preserve"> 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МКД</t>
  </si>
  <si>
    <t>1-13. Работы, выполняемые в отношении всех видов фундаментов, подвалов, для надлежащего содержания стен , перекрытий и покрытий , колонн и столбов , крыш, лестниц, фасадов, перегородок, внутренней отделки, полов,оконных и дверных заполнений относящихся к общему имуществу МКД в том числе конструкций и (или) иного оборудования, предназначенного для обеспечения условий доступности для инвалидов помещения многоквартирного дома-  контроль состояния и работоспособности, выявление нарушений и эксплуатационных качеств,при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</si>
  <si>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Проведение осмотров,выявление нарушений</t>
  </si>
  <si>
    <t>по регламенту</t>
  </si>
  <si>
    <t>Текущий ремонт</t>
  </si>
  <si>
    <t>решение ОС</t>
  </si>
  <si>
    <t xml:space="preserve">II. </t>
  </si>
  <si>
    <t xml:space="preserve">II. Работы, необходимые для надлежащего содержания оборудования и систем инженерно-технического обеспечения, входящих в состав общего имущества в МКД, в т.ч.
</t>
  </si>
  <si>
    <t>14.Работы в целях надлежащего содержания мусоропровода</t>
  </si>
  <si>
    <t>отсутствует</t>
  </si>
  <si>
    <t>15. Работы, выполняемые в целях надлежащего содержания систем вентиляции и дымоудаления МКД</t>
  </si>
  <si>
    <t>16. Работы, выполняемые в целях надлежащего содержания печей, каминов и очагов в МКД:</t>
  </si>
  <si>
    <t>17. Работы, выполняемые в целях надлежащего содержания индивидуальных тепловых пунктов и водоподкачек в МКД</t>
  </si>
  <si>
    <t>18. Общие работы, выполняемые для надлежащего содержания систем  водоснабжения(холодного и горячего)отопления  и  водоотведения в МКД:</t>
  </si>
  <si>
    <t>осмотр, проверка исправности, работоспособности инженерных сетей, запорной арматуры, контрольно-измерительных приборов, автоматических регуляторов и устройств, коллективных (общедомовых) приборов учета, элементов, скрытых от постоянного наблюдения (разводящих трубопроводов и оборудования),  контроль параметров , контроль состояния и восстановление исправности элементов внутренней канализации;</t>
  </si>
  <si>
    <t>19. Работы, выполняемые в целях надлежащего содержания систем теплоснабжения (отопление,горячего водоснабжения) в МКД: испытания на прочность и плотность (гидравлические испытания) узлов ввода и систем отопления, расконсервация, консервация, регулировка систем отопления, проведение пробных пусконаладочных работ, удаление воздуха из системы отопления, промывка систем теплоснабжения</t>
  </si>
  <si>
    <t xml:space="preserve"> по регламенту</t>
  </si>
  <si>
    <t>20. Работы, выполняемые в целях надлежащего содержания электрооборудования в  жилом доме:</t>
  </si>
  <si>
    <t xml:space="preserve"> проверка и обеспечение работоспособности устройств защитного отключения;</t>
  </si>
  <si>
    <t xml:space="preserve">техническое обслуживание и ремонт силовых и осветительных установок, внутридомовых электросетей, очистка клемм и соединений в групповых щитках и распределительных шкафах, наладка электрооборудования, </t>
  </si>
  <si>
    <t>20,1  проверка заземления оболочки и замеры сопротивления изоляции</t>
  </si>
  <si>
    <t>1 раз в год</t>
  </si>
  <si>
    <t>21. Работы, выполняемые в целях надлежащего содержания систем внутридомового газового оборудования в МКД.</t>
  </si>
  <si>
    <t>1 раз в три года</t>
  </si>
  <si>
    <t>22  Обслуживание лифтов ,страхование,освидетельствование</t>
  </si>
  <si>
    <t>ежедневно</t>
  </si>
  <si>
    <t>Итого п. II:</t>
  </si>
  <si>
    <t>III.</t>
  </si>
  <si>
    <t xml:space="preserve"> III. Работы и услуги по содержанию иного общего имущества в жилом доме
</t>
  </si>
  <si>
    <t>23. Работы по содержанию помещений, входящих в состав жилого дома в т.ч.:</t>
  </si>
  <si>
    <t>сухая  уборка лестничных площадок и маршей, коридоров</t>
  </si>
  <si>
    <t>2 раза в неделю</t>
  </si>
  <si>
    <t xml:space="preserve"> влажная уборка лестничных площадок и маршей, коридоров</t>
  </si>
  <si>
    <t xml:space="preserve"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 </t>
  </si>
  <si>
    <t>дератизация (обработка от грызунов) ежемесячно, дезинсекция(2 раза в год)</t>
  </si>
  <si>
    <t>24. Работы по содержанию земельного участка, на котором расположен МКД,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территория):</t>
  </si>
  <si>
    <t>подметание и уборка придомовой территории, уборка мусора с газона;</t>
  </si>
  <si>
    <t>5 раз в неделю</t>
  </si>
  <si>
    <t>с13%</t>
  </si>
  <si>
    <t>уборка крыльца и площадки перед входом в подъезд, очистка металлической решетки и приямка.</t>
  </si>
  <si>
    <t>с30,2</t>
  </si>
  <si>
    <t>прочистка ливневой канализации;</t>
  </si>
  <si>
    <t>по мере необходимости</t>
  </si>
  <si>
    <t xml:space="preserve">покос травы </t>
  </si>
  <si>
    <t>3 раза в год</t>
  </si>
  <si>
    <t>25. Организация и содержание мест накопления твердых коммунальных отходов, включая обслуживание и очистку мусоропроводов, мусороприемных камер, контейнерных площадок;</t>
  </si>
  <si>
    <t>26. 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отходов.</t>
  </si>
  <si>
    <t>27.Работы по обеспечению требований пожарной безопасности - осмотры и обеспечение работоспособности состояния пожарных лестниц,лазов,проходов,выходов,систем аврийного освещения</t>
  </si>
  <si>
    <t>28.Обеспечение устранения аварий в соответствии с установленными предельными сроками на внутридомовых инженерных системах в многоквартирном доме</t>
  </si>
  <si>
    <t>ежедневно,           круглосуточно</t>
  </si>
  <si>
    <t>29. 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</t>
  </si>
  <si>
    <t>30. Работы и услуги, предусмотренные разделами I и II настоящего перечня, которые могут повлиять на обеспечение условий доступности для инвалидов помещения МКД, выполняются с учетом обеспечения такого доступа.</t>
  </si>
  <si>
    <t>Итого п.III</t>
  </si>
  <si>
    <t>IV.</t>
  </si>
  <si>
    <t>IV. Размер расходов  соответствующих видов коммунальных ресурсов, в целях содержания общего имущества в МКД
(по прибору учета, при отсутвии прибора учета по нормативу)</t>
  </si>
  <si>
    <t>31.Плата за  горячую воду, потребляемую при содержании общего имущества в МКД</t>
  </si>
  <si>
    <t>по нормативу</t>
  </si>
  <si>
    <t>32.Плата за  электроэнергию, потребляемую при содержании общего имущества в МКД</t>
  </si>
  <si>
    <t>33.Плата за  канализацию, потребляемую при содержании общего имущества в МКД</t>
  </si>
  <si>
    <t>34.Плата за  ХВС, потребляемую при содержании общего имущества в МКД</t>
  </si>
  <si>
    <t>Итого п.IV</t>
  </si>
  <si>
    <t>V. Управление</t>
  </si>
  <si>
    <t>35. Услуги управления  МКД</t>
  </si>
  <si>
    <t>управление , ведение л/сч, юридические услуги, вед. бухгалтерского учета, работа с должниками,работа с РСО</t>
  </si>
  <si>
    <t xml:space="preserve">услуги по выпуску и сбору квитанций </t>
  </si>
  <si>
    <t>Итого содержание</t>
  </si>
  <si>
    <t xml:space="preserve">Итого   </t>
  </si>
  <si>
    <t>36. Мероприятия по энергосбережению и повышению энергетической эффективности МКД</t>
  </si>
  <si>
    <t>37. Снос и кронирование аврийных деревьев</t>
  </si>
  <si>
    <t>39. Налог на УСН 6%</t>
  </si>
  <si>
    <t>ВСЕГО</t>
  </si>
  <si>
    <t>Вознаграждение председателю домового совета</t>
  </si>
  <si>
    <t xml:space="preserve">Всего </t>
  </si>
  <si>
    <t xml:space="preserve">                                                                                                             Генеральный директор ООО " ДУ-8"______________Д.Г.Галиулин</t>
  </si>
  <si>
    <t>Перечень услуг и работ, необходимых для обеспечения надлежащего содержания общего имущества жилого дома  по ул.  Вишневая 31д</t>
  </si>
  <si>
    <t>Площадь дома (м2) к начислению  жилая  +нежилая</t>
  </si>
  <si>
    <t xml:space="preserve">  проверка заземления оболочки и замеры сопротивления изоляции</t>
  </si>
  <si>
    <t>1 раз в неделю</t>
  </si>
  <si>
    <t>3 раз в неделю</t>
  </si>
  <si>
    <t>35.Услуги управления   МКД</t>
  </si>
  <si>
    <t>управление, ведение л/сч, юридические услуги, вед. бухгалтерского учета, работа с должниками,работа с РСО</t>
  </si>
  <si>
    <t>36. Налог на УСН 6%</t>
  </si>
  <si>
    <t>Председатель домового совета______________                                                                                                                 Генеральный директор ООО " ДУ-8"______________Д.Г.Галиулин</t>
  </si>
  <si>
    <t>c 1 февр.</t>
  </si>
  <si>
    <t>общий</t>
  </si>
  <si>
    <t>Список многоквартирных домов    ООО "ДУ-8" г. Сочи</t>
  </si>
  <si>
    <t>Адрес</t>
  </si>
  <si>
    <t>текущий рем21</t>
  </si>
  <si>
    <t>оплата2021</t>
  </si>
  <si>
    <t>Остатки на 22</t>
  </si>
  <si>
    <t>п/п</t>
  </si>
  <si>
    <t>ул.Абрикосовая,7</t>
  </si>
  <si>
    <t>ул.Абрикосовая,18</t>
  </si>
  <si>
    <t>ул.Макаренко 6</t>
  </si>
  <si>
    <t>ул.Абрикосовая,25</t>
  </si>
  <si>
    <t>ул.Вишневая,4</t>
  </si>
  <si>
    <t>ул.Вишневая,10</t>
  </si>
  <si>
    <t>ул.Вишневая,10/7</t>
  </si>
  <si>
    <t>ул.Вишневая,10/8</t>
  </si>
  <si>
    <t>ул.Вишневая,12</t>
  </si>
  <si>
    <t>ул.Вишневая,16</t>
  </si>
  <si>
    <t>ул.Вишневая,17</t>
  </si>
  <si>
    <t>ул.Вишневая,19</t>
  </si>
  <si>
    <t>ул.Вишневая,21</t>
  </si>
  <si>
    <t>ул.Вишневая,22</t>
  </si>
  <si>
    <t>ул.Вишневая,23</t>
  </si>
  <si>
    <t>ул.Вишневая,24</t>
  </si>
  <si>
    <t>ул.Вишневая,25</t>
  </si>
  <si>
    <t>ул.Вишневая,26</t>
  </si>
  <si>
    <t>ул.Вишневая,27</t>
  </si>
  <si>
    <t>ул.Вишневая,28</t>
  </si>
  <si>
    <t>ул.Вишневая,30</t>
  </si>
  <si>
    <t>ул.Вишневая,31</t>
  </si>
  <si>
    <t>ул.Вишневая,31д</t>
  </si>
  <si>
    <t>ул.Вишневая,32</t>
  </si>
  <si>
    <t>ул.Вишневая,34</t>
  </si>
  <si>
    <t>ул.Вишневая,36</t>
  </si>
  <si>
    <t>ул.Макаренко,13/2</t>
  </si>
  <si>
    <t>ул.Макаренко,18</t>
  </si>
  <si>
    <t>ул.Макаренко,19</t>
  </si>
  <si>
    <t>ул.Макаренко,28</t>
  </si>
  <si>
    <t>ул.Макаренко,30</t>
  </si>
  <si>
    <t>ул.Макаренко,30/1</t>
  </si>
  <si>
    <t>ул.Макаренко,39</t>
  </si>
  <si>
    <t>ул.Макаренко,41</t>
  </si>
  <si>
    <t>ул.Макаренко,45</t>
  </si>
  <si>
    <t>ул.Макаренко,47</t>
  </si>
  <si>
    <t>ул.Макаренко/Бот.34/18</t>
  </si>
  <si>
    <t>ул.Труда,3</t>
  </si>
  <si>
    <t>ул.Труда,4</t>
  </si>
  <si>
    <t>ул.Труда,10</t>
  </si>
  <si>
    <t>ул.Труда,13</t>
  </si>
  <si>
    <t>ул.Труда,15</t>
  </si>
  <si>
    <t>ул.Труда,17/1</t>
  </si>
  <si>
    <t>ул.Труда,17/2</t>
  </si>
  <si>
    <t>ул.Труда,18</t>
  </si>
  <si>
    <t>ул.Труда,21</t>
  </si>
  <si>
    <t>ул.Труда,23</t>
  </si>
  <si>
    <t>ул.Труда,27</t>
  </si>
  <si>
    <t>ул.Пластунская,100</t>
  </si>
  <si>
    <t>ул.Пластунская,177</t>
  </si>
  <si>
    <t>ул.Пластунская,179а</t>
  </si>
  <si>
    <t>ул.Пластунская,181</t>
  </si>
  <si>
    <t>ул.Пластунская,181а</t>
  </si>
  <si>
    <t>ул.Пластунская,187</t>
  </si>
  <si>
    <t>ул.Пластунская,191</t>
  </si>
  <si>
    <t>ул.ВЛКСМ,14</t>
  </si>
  <si>
    <t>ул.ВЛКСМ,16</t>
  </si>
  <si>
    <t>выполнено в 2021</t>
  </si>
  <si>
    <t>работы</t>
  </si>
  <si>
    <t>материалы</t>
  </si>
  <si>
    <t>в плане 2021</t>
  </si>
  <si>
    <t>разница</t>
  </si>
  <si>
    <t>свод управлен 22</t>
  </si>
  <si>
    <t>определен  собственниками помещений  по ул.Абрикосовая,7 на 2023 год.</t>
  </si>
  <si>
    <t>определен  собственниками помещений  по ул.Абрикосовая,18 на 2023 год.</t>
  </si>
  <si>
    <t>определен  собственниками помещений  по ул.Абрикосова,25 на 2023 год.</t>
  </si>
  <si>
    <t>определен  собственниками помещений  по ул.Вишневая,4 на 2023 год.</t>
  </si>
  <si>
    <t>определен  собственниками помещений  по ул.Вишневая,10 на 2023 год.</t>
  </si>
  <si>
    <t>определен  собственниками помещений  по ул.Вишневая,12 на 2023 год.</t>
  </si>
  <si>
    <t>определен  собственниками помещений  по ул.Вишневая,16 на 2023 год.</t>
  </si>
  <si>
    <t>определен  собственниками помещений  по ул.Вишневая,17 на 2023 год.</t>
  </si>
  <si>
    <t>определен  собственниками помещений  по ул.Вишневая,19 на 2023 год.</t>
  </si>
  <si>
    <t>определен  собственниками помещений  по ул.Вишневая,22 на 2023 год.</t>
  </si>
  <si>
    <t>определен  собственниками помещений  по ул.Вишневая,21 на 2023 год.</t>
  </si>
  <si>
    <t>определен  собственниками помещений  по ул.Вишневая,23 на 2023 год.</t>
  </si>
  <si>
    <t>определен  собственниками помещений  по ул.Вишневая,24 на 2023год.</t>
  </si>
  <si>
    <t>определен  собственниками помещений  по ул.Вишневая,25 на 2023 год.</t>
  </si>
  <si>
    <t>определен  собственниками помещений  по ул.Вишневая,26 на 2023 год.</t>
  </si>
  <si>
    <t>определен  собственниками помещений  по ул.Вишневая,27 на 2023 год.</t>
  </si>
  <si>
    <t>определен  собственниками помещений  по ул.Вишневая,28 на 2023 год.</t>
  </si>
  <si>
    <t>определен  собственниками помещений  по ул.Вишневая,30 на 2023 год.</t>
  </si>
  <si>
    <t>определен  собственниками помещений  по ул.Вишневая,31 на 2023 год.</t>
  </si>
  <si>
    <t>определен  собственниками помещений  по ул.Вишневая,32 на 2023 год.</t>
  </si>
  <si>
    <t>определен  собственниками помещений  по ул.Вишневая,34 на 2023 год.</t>
  </si>
  <si>
    <t>определен  собственниками помещений  по ул.Вишневая,36 на 2023 год.</t>
  </si>
  <si>
    <t>определен  собственниками помещений  по ул.Вишневая,10/8 на 2023 год.</t>
  </si>
  <si>
    <t>определен  собственниками помещений  по ул.Вишневая,10/7 на 2023 год.</t>
  </si>
  <si>
    <t>определен  собственниками помещений  по ул.Макаренко,13/2 на 2023 год.</t>
  </si>
  <si>
    <t>38.Непредвиденные расход (рентабельность)</t>
  </si>
  <si>
    <t>определен  собственниками помещений  по ул.Макаренко,30/1 на 2023 год.</t>
  </si>
  <si>
    <t>определен  собственниками помещений  по ул.Макаренко ,18 на 2023 год.</t>
  </si>
  <si>
    <t>определен  собственниками помещений  по ул.Макаренко,19 на 2023 год.</t>
  </si>
  <si>
    <t>определен  собственниками помещений  по ул.Макаренко,28 на 2023 год.</t>
  </si>
  <si>
    <t>определен  собственниками помещений  по ул.Макаренко,39 на 2023 год.</t>
  </si>
  <si>
    <t>определен  собственниками помещений  по ул.Макаренко,30 на 2023 год.</t>
  </si>
  <si>
    <t>определен  собственниками помещений  по ул.Макаренко,41 на 2023 год.</t>
  </si>
  <si>
    <t>определен  собственниками помещений  по ул.Макаренко,45 на 2023 год.</t>
  </si>
  <si>
    <t>определен  собственниками помещений  по ул.Макаренко,47 на 2023 год.</t>
  </si>
  <si>
    <t>определен  собственниками помещений  по ул.Макаренко/Ботаническая34/18, на 2023 год.</t>
  </si>
  <si>
    <t>определен  собственниками помещений  по ул.Труда,3 на 2023 год.</t>
  </si>
  <si>
    <t>определен  собственниками помещений  по ул.Труда,4 на 2023 год.</t>
  </si>
  <si>
    <t>определен  собственниками помещений  по ул.Труда,10 на 2023 год.</t>
  </si>
  <si>
    <t>определен  собственниками помещений  по ул.Труда,13 на 2023 год.</t>
  </si>
  <si>
    <t>определен  собственниками помещений  по ул.Труда,15 на 2023 год.</t>
  </si>
  <si>
    <t>определен  собственниками помещений  по ул.Труда,17 /1  на 2023 год.</t>
  </si>
  <si>
    <t>определен  собственниками помещений  по ул.Труда,18 на 2023 год.</t>
  </si>
  <si>
    <t>определен  собственниками помещений  по ул.Труда,17 /2  на 2023 год.</t>
  </si>
  <si>
    <t>определен  собственниками помещений  по ул.Труда,21 на 2023 год.</t>
  </si>
  <si>
    <t>определен  собственниками помещений  по ул.Туда,23 на 2023 год.</t>
  </si>
  <si>
    <t>определен  собственниками помещений  по ул.Труда,27 на 2023 год.</t>
  </si>
  <si>
    <t>определен  собственниками помещений  по ул.Пластунская,100 на 2023 год.</t>
  </si>
  <si>
    <t>определен  собственниками помещений  по ул.Пластунская,177 на 2023 год.</t>
  </si>
  <si>
    <t>определен  собственниками помещений  по ул.Пластунская,179а на 2023 год.</t>
  </si>
  <si>
    <t>определен  собственниками помещений  по ул.Пластунская,181 на 2023 год.</t>
  </si>
  <si>
    <t>определен  собственниками помещений  по ул.Пластунская,181а на 2023 год.</t>
  </si>
  <si>
    <t>определен  собственниками помещений  по ул.Пластунская,187 на 2023 год.</t>
  </si>
  <si>
    <t>определен  собственниками помещений  по ул.Пластунская,191 на 2023 год.</t>
  </si>
  <si>
    <t>определен  собственниками помещений  по ул.ВЛКСМ,16 на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</si>
</sst>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р.&quot;"/>
    <numFmt numFmtId="165" formatCode="#,##0.00_р_."/>
    <numFmt numFmtId="166" formatCode="\ #,##0.00&quot;    &quot;;\-#,##0.00&quot;    &quot;;&quot; -&quot;#&quot;    &quot;;@\ "/>
    <numFmt numFmtId="167" formatCode="dd/mm/yy"/>
  </numFmts>
  <fonts count="48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Arial Cyr"/>
      <charset val="204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5" fillId="0" borderId="0"/>
    <xf numFmtId="0" fontId="2" fillId="0" borderId="0"/>
    <xf numFmtId="0" fontId="25" fillId="0" borderId="0"/>
  </cellStyleXfs>
  <cellXfs count="28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5" xfId="0" applyFont="1" applyBorder="1"/>
    <xf numFmtId="0" fontId="6" fillId="0" borderId="2" xfId="0" applyFont="1" applyBorder="1"/>
    <xf numFmtId="0" fontId="7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left"/>
    </xf>
    <xf numFmtId="0" fontId="3" fillId="0" borderId="3" xfId="0" applyFont="1" applyBorder="1"/>
    <xf numFmtId="0" fontId="5" fillId="0" borderId="3" xfId="0" applyFont="1" applyBorder="1" applyAlignment="1">
      <alignment wrapText="1"/>
    </xf>
    <xf numFmtId="2" fontId="5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left"/>
    </xf>
    <xf numFmtId="2" fontId="6" fillId="0" borderId="3" xfId="0" applyNumberFormat="1" applyFont="1" applyBorder="1"/>
    <xf numFmtId="0" fontId="10" fillId="0" borderId="3" xfId="0" applyFont="1" applyBorder="1" applyAlignment="1">
      <alignment horizontal="center"/>
    </xf>
    <xf numFmtId="2" fontId="3" fillId="0" borderId="3" xfId="0" applyNumberFormat="1" applyFont="1" applyBorder="1"/>
    <xf numFmtId="2" fontId="5" fillId="0" borderId="3" xfId="0" applyNumberFormat="1" applyFont="1" applyBorder="1"/>
    <xf numFmtId="49" fontId="7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2" fontId="4" fillId="0" borderId="4" xfId="0" applyNumberFormat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11" fillId="0" borderId="3" xfId="0" applyFont="1" applyBorder="1"/>
    <xf numFmtId="2" fontId="4" fillId="0" borderId="3" xfId="0" applyNumberFormat="1" applyFont="1" applyBorder="1" applyAlignment="1">
      <alignment horizontal="left"/>
    </xf>
    <xf numFmtId="0" fontId="11" fillId="0" borderId="4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4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2" fontId="4" fillId="0" borderId="3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3" fillId="0" borderId="2" xfId="0" applyFont="1" applyBorder="1"/>
    <xf numFmtId="0" fontId="5" fillId="0" borderId="7" xfId="0" applyFont="1" applyBorder="1"/>
    <xf numFmtId="0" fontId="5" fillId="0" borderId="4" xfId="0" applyFont="1" applyBorder="1" applyAlignment="1">
      <alignment wrapText="1"/>
    </xf>
    <xf numFmtId="0" fontId="5" fillId="0" borderId="8" xfId="0" applyFont="1" applyBorder="1"/>
    <xf numFmtId="165" fontId="5" fillId="0" borderId="3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left"/>
    </xf>
    <xf numFmtId="0" fontId="6" fillId="0" borderId="3" xfId="0" applyFont="1" applyBorder="1"/>
    <xf numFmtId="0" fontId="4" fillId="0" borderId="4" xfId="0" applyFont="1" applyBorder="1" applyAlignment="1">
      <alignment wrapText="1"/>
    </xf>
    <xf numFmtId="165" fontId="5" fillId="0" borderId="2" xfId="0" applyNumberFormat="1" applyFont="1" applyBorder="1" applyAlignment="1">
      <alignment horizontal="center"/>
    </xf>
    <xf numFmtId="4" fontId="3" fillId="0" borderId="0" xfId="0" applyNumberFormat="1" applyFont="1"/>
    <xf numFmtId="0" fontId="6" fillId="0" borderId="4" xfId="0" applyFont="1" applyBorder="1"/>
    <xf numFmtId="0" fontId="5" fillId="0" borderId="4" xfId="0" applyFont="1" applyBorder="1"/>
    <xf numFmtId="4" fontId="12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0" xfId="0" applyNumberFormat="1" applyFont="1"/>
    <xf numFmtId="2" fontId="3" fillId="0" borderId="0" xfId="0" applyNumberFormat="1" applyFont="1"/>
    <xf numFmtId="0" fontId="5" fillId="0" borderId="3" xfId="0" applyFont="1" applyBorder="1"/>
    <xf numFmtId="2" fontId="14" fillId="0" borderId="3" xfId="0" applyNumberFormat="1" applyFont="1" applyBorder="1"/>
    <xf numFmtId="0" fontId="14" fillId="0" borderId="1" xfId="0" applyFont="1" applyBorder="1" applyAlignment="1">
      <alignment wrapText="1"/>
    </xf>
    <xf numFmtId="165" fontId="5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3" xfId="0" applyFont="1" applyBorder="1"/>
    <xf numFmtId="0" fontId="10" fillId="0" borderId="3" xfId="0" applyFont="1" applyBorder="1"/>
    <xf numFmtId="0" fontId="7" fillId="0" borderId="0" xfId="0" applyFont="1"/>
    <xf numFmtId="2" fontId="16" fillId="0" borderId="3" xfId="0" applyNumberFormat="1" applyFont="1" applyBorder="1"/>
    <xf numFmtId="0" fontId="16" fillId="0" borderId="3" xfId="0" applyFont="1" applyBorder="1" applyAlignment="1">
      <alignment horizontal="center"/>
    </xf>
    <xf numFmtId="0" fontId="3" fillId="0" borderId="8" xfId="0" applyFont="1" applyBorder="1"/>
    <xf numFmtId="0" fontId="16" fillId="0" borderId="8" xfId="0" applyFont="1" applyBorder="1"/>
    <xf numFmtId="2" fontId="3" fillId="0" borderId="2" xfId="0" applyNumberFormat="1" applyFont="1" applyBorder="1"/>
    <xf numFmtId="0" fontId="14" fillId="0" borderId="0" xfId="0" applyFont="1"/>
    <xf numFmtId="4" fontId="15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8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20" fillId="0" borderId="3" xfId="0" applyNumberFormat="1" applyFont="1" applyBorder="1"/>
    <xf numFmtId="0" fontId="23" fillId="0" borderId="3" xfId="0" applyFont="1" applyBorder="1"/>
    <xf numFmtId="0" fontId="23" fillId="0" borderId="1" xfId="0" applyFont="1" applyBorder="1" applyAlignment="1">
      <alignment horizontal="center"/>
    </xf>
    <xf numFmtId="0" fontId="18" fillId="0" borderId="0" xfId="0" applyFont="1"/>
    <xf numFmtId="2" fontId="22" fillId="0" borderId="4" xfId="0" applyNumberFormat="1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4" xfId="0" applyFont="1" applyBorder="1" applyAlignment="1">
      <alignment wrapText="1"/>
    </xf>
    <xf numFmtId="0" fontId="24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4" fillId="0" borderId="3" xfId="0" applyFont="1" applyBorder="1" applyAlignment="1">
      <alignment horizontal="left"/>
    </xf>
    <xf numFmtId="2" fontId="23" fillId="0" borderId="3" xfId="0" applyNumberFormat="1" applyFont="1" applyBorder="1"/>
    <xf numFmtId="164" fontId="24" fillId="0" borderId="3" xfId="0" applyNumberFormat="1" applyFont="1" applyBorder="1" applyAlignment="1">
      <alignment horizontal="left"/>
    </xf>
    <xf numFmtId="2" fontId="24" fillId="0" borderId="3" xfId="0" applyNumberFormat="1" applyFont="1" applyBorder="1" applyAlignment="1">
      <alignment horizontal="left"/>
    </xf>
    <xf numFmtId="0" fontId="24" fillId="0" borderId="3" xfId="0" applyFont="1" applyBorder="1" applyAlignment="1">
      <alignment wrapText="1"/>
    </xf>
    <xf numFmtId="2" fontId="24" fillId="0" borderId="5" xfId="0" applyNumberFormat="1" applyFont="1" applyBorder="1" applyAlignment="1">
      <alignment horizontal="left" wrapText="1"/>
    </xf>
    <xf numFmtId="2" fontId="24" fillId="0" borderId="3" xfId="0" applyNumberFormat="1" applyFont="1" applyBorder="1" applyAlignment="1">
      <alignment horizontal="left" wrapText="1"/>
    </xf>
    <xf numFmtId="0" fontId="19" fillId="0" borderId="0" xfId="0" applyFont="1"/>
    <xf numFmtId="165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12" fillId="0" borderId="3" xfId="0" applyNumberFormat="1" applyFont="1" applyBorder="1" applyAlignment="1">
      <alignment horizontal="center"/>
    </xf>
    <xf numFmtId="0" fontId="20" fillId="0" borderId="0" xfId="0" applyFont="1"/>
    <xf numFmtId="2" fontId="20" fillId="0" borderId="0" xfId="0" applyNumberFormat="1" applyFont="1"/>
    <xf numFmtId="2" fontId="22" fillId="0" borderId="3" xfId="0" applyNumberFormat="1" applyFont="1" applyBorder="1" applyAlignment="1">
      <alignment horizontal="left" wrapText="1"/>
    </xf>
    <xf numFmtId="0" fontId="21" fillId="0" borderId="2" xfId="0" applyFont="1" applyBorder="1"/>
    <xf numFmtId="2" fontId="22" fillId="0" borderId="3" xfId="0" applyNumberFormat="1" applyFont="1" applyBorder="1" applyAlignment="1">
      <alignment horizontal="left"/>
    </xf>
    <xf numFmtId="2" fontId="22" fillId="0" borderId="2" xfId="0" applyNumberFormat="1" applyFont="1" applyBorder="1" applyAlignment="1">
      <alignment horizontal="left"/>
    </xf>
    <xf numFmtId="164" fontId="22" fillId="0" borderId="3" xfId="0" applyNumberFormat="1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3" xfId="0" applyFont="1" applyBorder="1" applyAlignment="1">
      <alignment wrapText="1"/>
    </xf>
    <xf numFmtId="2" fontId="22" fillId="0" borderId="5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/>
    </xf>
    <xf numFmtId="0" fontId="3" fillId="2" borderId="0" xfId="0" applyFont="1" applyFill="1"/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0" fontId="21" fillId="0" borderId="0" xfId="0" applyFont="1"/>
    <xf numFmtId="0" fontId="25" fillId="0" borderId="0" xfId="1"/>
    <xf numFmtId="0" fontId="26" fillId="0" borderId="3" xfId="2" applyFont="1" applyBorder="1" applyAlignment="1">
      <alignment horizontal="center" wrapText="1"/>
    </xf>
    <xf numFmtId="0" fontId="25" fillId="0" borderId="3" xfId="1" applyBorder="1"/>
    <xf numFmtId="0" fontId="28" fillId="3" borderId="3" xfId="3" applyFont="1" applyFill="1" applyBorder="1" applyAlignment="1">
      <alignment wrapText="1"/>
    </xf>
    <xf numFmtId="0" fontId="27" fillId="3" borderId="3" xfId="3" applyFont="1" applyFill="1" applyBorder="1" applyAlignment="1">
      <alignment horizontal="center" wrapText="1"/>
    </xf>
    <xf numFmtId="0" fontId="27" fillId="3" borderId="3" xfId="1" applyFont="1" applyFill="1" applyBorder="1" applyAlignment="1">
      <alignment horizontal="center" wrapText="1"/>
    </xf>
    <xf numFmtId="0" fontId="28" fillId="3" borderId="3" xfId="3" applyFont="1" applyFill="1" applyBorder="1" applyAlignment="1">
      <alignment horizontal="center" wrapText="1"/>
    </xf>
    <xf numFmtId="0" fontId="28" fillId="3" borderId="3" xfId="1" applyFont="1" applyFill="1" applyBorder="1" applyAlignment="1">
      <alignment wrapText="1"/>
    </xf>
    <xf numFmtId="0" fontId="27" fillId="3" borderId="3" xfId="3" applyFont="1" applyFill="1" applyBorder="1" applyAlignment="1">
      <alignment horizontal="center" vertical="center" wrapText="1"/>
    </xf>
    <xf numFmtId="0" fontId="29" fillId="3" borderId="3" xfId="3" applyFont="1" applyFill="1" applyBorder="1" applyAlignment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166" fontId="30" fillId="3" borderId="3" xfId="3" applyNumberFormat="1" applyFont="1" applyFill="1" applyBorder="1" applyAlignment="1">
      <alignment horizontal="center" vertical="center" wrapText="1"/>
    </xf>
    <xf numFmtId="0" fontId="30" fillId="3" borderId="3" xfId="1" applyFont="1" applyFill="1" applyBorder="1" applyAlignment="1">
      <alignment horizontal="center" vertical="center" wrapText="1"/>
    </xf>
    <xf numFmtId="0" fontId="25" fillId="0" borderId="3" xfId="1" applyBorder="1" applyAlignment="1">
      <alignment vertical="center" wrapText="1"/>
    </xf>
    <xf numFmtId="0" fontId="35" fillId="3" borderId="3" xfId="3" applyFont="1" applyFill="1" applyBorder="1" applyAlignment="1">
      <alignment horizontal="center" vertical="center" wrapText="1"/>
    </xf>
    <xf numFmtId="166" fontId="35" fillId="3" borderId="3" xfId="3" applyNumberFormat="1" applyFont="1" applyFill="1" applyBorder="1" applyAlignment="1">
      <alignment horizontal="center" vertical="center" wrapText="1"/>
    </xf>
    <xf numFmtId="0" fontId="35" fillId="3" borderId="3" xfId="1" applyFont="1" applyFill="1" applyBorder="1" applyAlignment="1">
      <alignment horizontal="center" vertical="center" wrapText="1"/>
    </xf>
    <xf numFmtId="0" fontId="36" fillId="0" borderId="3" xfId="1" applyFont="1" applyBorder="1" applyAlignment="1">
      <alignment horizontal="center" vertical="center" wrapText="1"/>
    </xf>
    <xf numFmtId="0" fontId="28" fillId="3" borderId="3" xfId="3" applyFont="1" applyFill="1" applyBorder="1" applyAlignment="1">
      <alignment horizontal="center" vertical="center" wrapText="1"/>
    </xf>
    <xf numFmtId="16" fontId="37" fillId="0" borderId="3" xfId="1" applyNumberFormat="1" applyFont="1" applyBorder="1"/>
    <xf numFmtId="0" fontId="38" fillId="0" borderId="3" xfId="2" applyFont="1" applyBorder="1" applyAlignment="1">
      <alignment horizontal="left" wrapText="1"/>
    </xf>
    <xf numFmtId="0" fontId="37" fillId="0" borderId="3" xfId="2" applyFont="1" applyBorder="1" applyAlignment="1">
      <alignment horizontal="center" vertical="center" wrapText="1"/>
    </xf>
    <xf numFmtId="0" fontId="26" fillId="0" borderId="3" xfId="2" applyFont="1" applyBorder="1" applyAlignment="1">
      <alignment horizontal="center" vertical="center"/>
    </xf>
    <xf numFmtId="0" fontId="36" fillId="0" borderId="3" xfId="1" applyFont="1" applyBorder="1" applyAlignment="1">
      <alignment horizontal="center" vertical="center"/>
    </xf>
    <xf numFmtId="0" fontId="37" fillId="0" borderId="3" xfId="2" applyFont="1" applyBorder="1" applyAlignment="1">
      <alignment horizontal="left" wrapText="1"/>
    </xf>
    <xf numFmtId="0" fontId="28" fillId="3" borderId="3" xfId="1" applyFont="1" applyFill="1" applyBorder="1" applyAlignment="1">
      <alignment horizontal="center" vertical="center"/>
    </xf>
    <xf numFmtId="0" fontId="25" fillId="0" borderId="3" xfId="1" applyBorder="1" applyAlignment="1">
      <alignment horizontal="center" vertical="center"/>
    </xf>
    <xf numFmtId="0" fontId="35" fillId="3" borderId="3" xfId="1" applyFont="1" applyFill="1" applyBorder="1" applyAlignment="1">
      <alignment horizontal="left" wrapText="1"/>
    </xf>
    <xf numFmtId="0" fontId="27" fillId="3" borderId="3" xfId="1" applyFont="1" applyFill="1" applyBorder="1" applyAlignment="1">
      <alignment horizontal="center" vertical="center" wrapText="1"/>
    </xf>
    <xf numFmtId="0" fontId="38" fillId="0" borderId="3" xfId="2" applyFont="1" applyBorder="1" applyAlignment="1">
      <alignment wrapText="1"/>
    </xf>
    <xf numFmtId="2" fontId="26" fillId="0" borderId="3" xfId="2" applyNumberFormat="1" applyFont="1" applyBorder="1" applyAlignment="1">
      <alignment horizontal="center"/>
    </xf>
    <xf numFmtId="0" fontId="26" fillId="0" borderId="3" xfId="2" applyFont="1" applyBorder="1" applyAlignment="1">
      <alignment horizontal="center"/>
    </xf>
    <xf numFmtId="0" fontId="36" fillId="0" borderId="3" xfId="1" applyFont="1" applyBorder="1" applyAlignment="1">
      <alignment horizontal="center"/>
    </xf>
    <xf numFmtId="0" fontId="40" fillId="0" borderId="3" xfId="2" applyFont="1" applyBorder="1" applyAlignment="1">
      <alignment wrapText="1"/>
    </xf>
    <xf numFmtId="0" fontId="37" fillId="0" borderId="3" xfId="2" applyFont="1" applyBorder="1" applyAlignment="1">
      <alignment horizontal="center"/>
    </xf>
    <xf numFmtId="167" fontId="37" fillId="0" borderId="3" xfId="1" applyNumberFormat="1" applyFont="1" applyBorder="1"/>
    <xf numFmtId="0" fontId="39" fillId="3" borderId="3" xfId="1" applyFont="1" applyFill="1" applyBorder="1" applyAlignment="1">
      <alignment horizontal="justify"/>
    </xf>
    <xf numFmtId="0" fontId="27" fillId="3" borderId="3" xfId="1" applyFont="1" applyFill="1" applyBorder="1" applyAlignment="1">
      <alignment horizontal="center" vertical="center"/>
    </xf>
    <xf numFmtId="2" fontId="41" fillId="3" borderId="3" xfId="1" applyNumberFormat="1" applyFont="1" applyFill="1" applyBorder="1" applyAlignment="1">
      <alignment horizontal="center" vertical="center"/>
    </xf>
    <xf numFmtId="2" fontId="28" fillId="3" borderId="3" xfId="1" applyNumberFormat="1" applyFont="1" applyFill="1" applyBorder="1" applyAlignment="1">
      <alignment horizontal="center" vertical="center"/>
    </xf>
    <xf numFmtId="2" fontId="36" fillId="0" borderId="3" xfId="1" applyNumberFormat="1" applyFont="1" applyBorder="1" applyAlignment="1">
      <alignment horizontal="center" vertical="center"/>
    </xf>
    <xf numFmtId="0" fontId="28" fillId="3" borderId="3" xfId="1" applyFont="1" applyFill="1" applyBorder="1" applyAlignment="1">
      <alignment horizontal="center" vertical="top" wrapText="1"/>
    </xf>
    <xf numFmtId="0" fontId="27" fillId="3" borderId="3" xfId="1" applyFont="1" applyFill="1" applyBorder="1" applyAlignment="1">
      <alignment horizontal="left" wrapText="1"/>
    </xf>
    <xf numFmtId="2" fontId="27" fillId="3" borderId="3" xfId="1" applyNumberFormat="1" applyFont="1" applyFill="1" applyBorder="1" applyAlignment="1">
      <alignment horizontal="center" vertical="center" wrapText="1"/>
    </xf>
    <xf numFmtId="2" fontId="25" fillId="0" borderId="3" xfId="1" applyNumberFormat="1" applyBorder="1" applyAlignment="1">
      <alignment horizontal="center" vertical="center"/>
    </xf>
    <xf numFmtId="0" fontId="28" fillId="0" borderId="3" xfId="2" applyFont="1" applyBorder="1" applyAlignment="1">
      <alignment horizontal="left" vertical="center" wrapText="1"/>
    </xf>
    <xf numFmtId="2" fontId="28" fillId="3" borderId="3" xfId="1" applyNumberFormat="1" applyFont="1" applyFill="1" applyBorder="1" applyAlignment="1">
      <alignment horizontal="center" vertical="center" wrapText="1"/>
    </xf>
    <xf numFmtId="167" fontId="28" fillId="3" borderId="3" xfId="1" applyNumberFormat="1" applyFont="1" applyFill="1" applyBorder="1" applyAlignment="1">
      <alignment horizontal="center" vertical="top" wrapText="1"/>
    </xf>
    <xf numFmtId="0" fontId="27" fillId="3" borderId="3" xfId="1" applyFont="1" applyFill="1" applyBorder="1" applyAlignment="1">
      <alignment horizontal="justify"/>
    </xf>
    <xf numFmtId="2" fontId="27" fillId="3" borderId="3" xfId="3" applyNumberFormat="1" applyFont="1" applyFill="1" applyBorder="1" applyAlignment="1">
      <alignment horizontal="center" vertical="center" wrapText="1"/>
    </xf>
    <xf numFmtId="0" fontId="25" fillId="0" borderId="2" xfId="1" applyBorder="1" applyAlignment="1">
      <alignment horizontal="center" vertical="center"/>
    </xf>
    <xf numFmtId="0" fontId="29" fillId="0" borderId="3" xfId="2" applyFont="1" applyBorder="1" applyAlignment="1">
      <alignment horizontal="left" vertical="center" wrapText="1"/>
    </xf>
    <xf numFmtId="0" fontId="29" fillId="3" borderId="3" xfId="1" applyFont="1" applyFill="1" applyBorder="1" applyAlignment="1">
      <alignment horizontal="justify" wrapText="1"/>
    </xf>
    <xf numFmtId="2" fontId="28" fillId="3" borderId="3" xfId="1" applyNumberFormat="1" applyFont="1" applyFill="1" applyBorder="1" applyAlignment="1">
      <alignment horizontal="center" wrapText="1"/>
    </xf>
    <xf numFmtId="0" fontId="28" fillId="3" borderId="3" xfId="1" applyFont="1" applyFill="1" applyBorder="1" applyAlignment="1">
      <alignment horizontal="justify"/>
    </xf>
    <xf numFmtId="0" fontId="35" fillId="3" borderId="3" xfId="1" applyFont="1" applyFill="1" applyBorder="1" applyAlignment="1">
      <alignment horizontal="justify"/>
    </xf>
    <xf numFmtId="0" fontId="35" fillId="3" borderId="3" xfId="1" applyFont="1" applyFill="1" applyBorder="1"/>
    <xf numFmtId="2" fontId="37" fillId="0" borderId="3" xfId="1" applyNumberFormat="1" applyFont="1" applyBorder="1" applyAlignment="1">
      <alignment horizontal="center" vertical="center"/>
    </xf>
    <xf numFmtId="0" fontId="27" fillId="3" borderId="3" xfId="1" applyFont="1" applyFill="1" applyBorder="1"/>
    <xf numFmtId="0" fontId="35" fillId="3" borderId="3" xfId="1" applyFont="1" applyFill="1" applyBorder="1" applyAlignment="1">
      <alignment horizontal="justify" vertical="center"/>
    </xf>
    <xf numFmtId="0" fontId="42" fillId="0" borderId="3" xfId="2" applyFont="1" applyBorder="1" applyAlignment="1">
      <alignment wrapText="1"/>
    </xf>
    <xf numFmtId="0" fontId="37" fillId="0" borderId="3" xfId="2" applyFont="1" applyBorder="1" applyAlignment="1">
      <alignment horizontal="center" wrapText="1"/>
    </xf>
    <xf numFmtId="0" fontId="39" fillId="3" borderId="3" xfId="1" applyFont="1" applyFill="1" applyBorder="1" applyAlignment="1">
      <alignment horizontal="left" vertical="top" wrapText="1"/>
    </xf>
    <xf numFmtId="0" fontId="28" fillId="3" borderId="3" xfId="1" applyFont="1" applyFill="1" applyBorder="1" applyAlignment="1">
      <alignment horizontal="center"/>
    </xf>
    <xf numFmtId="2" fontId="28" fillId="3" borderId="3" xfId="1" applyNumberFormat="1" applyFont="1" applyFill="1" applyBorder="1" applyAlignment="1">
      <alignment horizontal="center"/>
    </xf>
    <xf numFmtId="0" fontId="42" fillId="0" borderId="3" xfId="2" applyFont="1" applyBorder="1" applyAlignment="1">
      <alignment horizontal="left" vertical="top" wrapText="1"/>
    </xf>
    <xf numFmtId="0" fontId="28" fillId="3" borderId="3" xfId="1" applyFont="1" applyFill="1" applyBorder="1" applyAlignment="1">
      <alignment horizontal="left" vertical="center" wrapText="1"/>
    </xf>
    <xf numFmtId="2" fontId="43" fillId="3" borderId="3" xfId="1" applyNumberFormat="1" applyFont="1" applyFill="1" applyBorder="1" applyAlignment="1">
      <alignment horizontal="center" vertical="center"/>
    </xf>
    <xf numFmtId="0" fontId="27" fillId="3" borderId="3" xfId="1" applyFont="1" applyFill="1" applyBorder="1" applyAlignment="1">
      <alignment horizontal="left" vertical="center" wrapText="1"/>
    </xf>
    <xf numFmtId="0" fontId="35" fillId="3" borderId="3" xfId="1" applyFont="1" applyFill="1" applyBorder="1" applyAlignment="1">
      <alignment horizontal="center" wrapText="1"/>
    </xf>
    <xf numFmtId="2" fontId="27" fillId="3" borderId="3" xfId="1" applyNumberFormat="1" applyFont="1" applyFill="1" applyBorder="1" applyAlignment="1">
      <alignment horizontal="center"/>
    </xf>
    <xf numFmtId="2" fontId="25" fillId="0" borderId="3" xfId="1" applyNumberFormat="1" applyBorder="1" applyAlignment="1">
      <alignment horizontal="center"/>
    </xf>
    <xf numFmtId="0" fontId="28" fillId="3" borderId="3" xfId="1" applyFont="1" applyFill="1" applyBorder="1"/>
    <xf numFmtId="0" fontId="39" fillId="3" borderId="3" xfId="1" applyFont="1" applyFill="1" applyBorder="1" applyAlignment="1">
      <alignment horizontal="left" vertical="center" wrapText="1"/>
    </xf>
    <xf numFmtId="2" fontId="43" fillId="3" borderId="3" xfId="1" applyNumberFormat="1" applyFont="1" applyFill="1" applyBorder="1" applyAlignment="1">
      <alignment horizontal="center"/>
    </xf>
    <xf numFmtId="2" fontId="28" fillId="3" borderId="3" xfId="1" applyNumberFormat="1" applyFont="1" applyFill="1" applyBorder="1"/>
    <xf numFmtId="0" fontId="27" fillId="3" borderId="2" xfId="1" applyFont="1" applyFill="1" applyBorder="1" applyAlignment="1">
      <alignment horizontal="center" vertical="center"/>
    </xf>
    <xf numFmtId="2" fontId="44" fillId="3" borderId="3" xfId="1" applyNumberFormat="1" applyFont="1" applyFill="1" applyBorder="1" applyAlignment="1">
      <alignment horizontal="center"/>
    </xf>
    <xf numFmtId="2" fontId="39" fillId="3" borderId="3" xfId="1" applyNumberFormat="1" applyFont="1" applyFill="1" applyBorder="1" applyAlignment="1">
      <alignment horizontal="center"/>
    </xf>
    <xf numFmtId="2" fontId="41" fillId="3" borderId="3" xfId="1" applyNumberFormat="1" applyFont="1" applyFill="1" applyBorder="1" applyAlignment="1">
      <alignment horizontal="center"/>
    </xf>
    <xf numFmtId="0" fontId="28" fillId="4" borderId="3" xfId="1" applyFont="1" applyFill="1" applyBorder="1"/>
    <xf numFmtId="0" fontId="27" fillId="3" borderId="3" xfId="1" applyFont="1" applyFill="1" applyBorder="1" applyAlignment="1">
      <alignment horizontal="center"/>
    </xf>
    <xf numFmtId="2" fontId="43" fillId="4" borderId="3" xfId="1" applyNumberFormat="1" applyFont="1" applyFill="1" applyBorder="1" applyAlignment="1">
      <alignment horizontal="center"/>
    </xf>
    <xf numFmtId="2" fontId="28" fillId="4" borderId="3" xfId="1" applyNumberFormat="1" applyFont="1" applyFill="1" applyBorder="1" applyAlignment="1">
      <alignment horizontal="center"/>
    </xf>
    <xf numFmtId="0" fontId="28" fillId="4" borderId="3" xfId="1" applyFont="1" applyFill="1" applyBorder="1" applyAlignment="1">
      <alignment wrapText="1"/>
    </xf>
    <xf numFmtId="2" fontId="4" fillId="5" borderId="3" xfId="2" applyNumberFormat="1" applyFont="1" applyFill="1" applyBorder="1" applyAlignment="1">
      <alignment horizontal="center"/>
    </xf>
    <xf numFmtId="0" fontId="42" fillId="3" borderId="3" xfId="1" applyFont="1" applyFill="1" applyBorder="1"/>
    <xf numFmtId="0" fontId="37" fillId="3" borderId="3" xfId="1" applyFont="1" applyFill="1" applyBorder="1"/>
    <xf numFmtId="0" fontId="45" fillId="3" borderId="3" xfId="1" applyFont="1" applyFill="1" applyBorder="1"/>
    <xf numFmtId="0" fontId="42" fillId="3" borderId="0" xfId="1" applyFont="1" applyFill="1"/>
    <xf numFmtId="0" fontId="46" fillId="0" borderId="0" xfId="1" applyFont="1"/>
    <xf numFmtId="2" fontId="25" fillId="0" borderId="0" xfId="1" applyNumberFormat="1"/>
    <xf numFmtId="0" fontId="41" fillId="3" borderId="3" xfId="1" applyFont="1" applyFill="1" applyBorder="1" applyAlignment="1">
      <alignment horizontal="center"/>
    </xf>
    <xf numFmtId="2" fontId="3" fillId="2" borderId="0" xfId="0" applyNumberFormat="1" applyFont="1" applyFill="1"/>
    <xf numFmtId="0" fontId="25" fillId="2" borderId="0" xfId="1" applyFill="1"/>
    <xf numFmtId="0" fontId="47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2" fontId="0" fillId="2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/>
    <xf numFmtId="0" fontId="0" fillId="2" borderId="3" xfId="0" applyFill="1" applyBorder="1" applyAlignment="1">
      <alignment horizontal="center"/>
    </xf>
    <xf numFmtId="0" fontId="1" fillId="0" borderId="3" xfId="0" applyFont="1" applyBorder="1"/>
    <xf numFmtId="2" fontId="0" fillId="6" borderId="3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right"/>
    </xf>
    <xf numFmtId="2" fontId="0" fillId="0" borderId="0" xfId="0" applyNumberFormat="1"/>
    <xf numFmtId="0" fontId="1" fillId="2" borderId="5" xfId="0" applyFont="1" applyFill="1" applyBorder="1" applyAlignment="1">
      <alignment horizontal="right"/>
    </xf>
    <xf numFmtId="2" fontId="0" fillId="2" borderId="0" xfId="0" applyNumberFormat="1" applyFill="1"/>
    <xf numFmtId="2" fontId="0" fillId="0" borderId="13" xfId="0" applyNumberForma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7" fillId="3" borderId="1" xfId="1" applyFont="1" applyFill="1" applyBorder="1" applyAlignment="1">
      <alignment horizontal="center" vertical="center"/>
    </xf>
    <xf numFmtId="0" fontId="27" fillId="3" borderId="2" xfId="1" applyFont="1" applyFill="1" applyBorder="1" applyAlignment="1">
      <alignment horizontal="center" vertical="center"/>
    </xf>
    <xf numFmtId="2" fontId="28" fillId="3" borderId="9" xfId="1" applyNumberFormat="1" applyFont="1" applyFill="1" applyBorder="1" applyAlignment="1">
      <alignment horizontal="center"/>
    </xf>
    <xf numFmtId="2" fontId="28" fillId="3" borderId="10" xfId="1" applyNumberFormat="1" applyFont="1" applyFill="1" applyBorder="1" applyAlignment="1">
      <alignment horizontal="center"/>
    </xf>
    <xf numFmtId="2" fontId="28" fillId="3" borderId="7" xfId="1" applyNumberFormat="1" applyFont="1" applyFill="1" applyBorder="1" applyAlignment="1">
      <alignment horizontal="center"/>
    </xf>
    <xf numFmtId="2" fontId="28" fillId="3" borderId="11" xfId="1" applyNumberFormat="1" applyFont="1" applyFill="1" applyBorder="1" applyAlignment="1">
      <alignment horizontal="center"/>
    </xf>
    <xf numFmtId="2" fontId="28" fillId="3" borderId="12" xfId="1" applyNumberFormat="1" applyFont="1" applyFill="1" applyBorder="1" applyAlignment="1">
      <alignment horizontal="center"/>
    </xf>
    <xf numFmtId="2" fontId="28" fillId="3" borderId="4" xfId="1" applyNumberFormat="1" applyFont="1" applyFill="1" applyBorder="1" applyAlignment="1">
      <alignment horizontal="center"/>
    </xf>
    <xf numFmtId="2" fontId="27" fillId="3" borderId="3" xfId="1" applyNumberFormat="1" applyFont="1" applyFill="1" applyBorder="1" applyAlignment="1">
      <alignment horizontal="center" vertical="center"/>
    </xf>
    <xf numFmtId="0" fontId="28" fillId="3" borderId="3" xfId="1" applyFont="1" applyFill="1" applyBorder="1" applyAlignment="1">
      <alignment horizontal="center" vertical="center" wrapText="1"/>
    </xf>
    <xf numFmtId="0" fontId="28" fillId="3" borderId="3" xfId="1" applyFont="1" applyFill="1" applyBorder="1" applyAlignment="1">
      <alignment horizontal="center" vertical="top" wrapText="1"/>
    </xf>
    <xf numFmtId="2" fontId="37" fillId="0" borderId="1" xfId="1" applyNumberFormat="1" applyFont="1" applyBorder="1" applyAlignment="1">
      <alignment horizontal="center" vertical="center"/>
    </xf>
    <xf numFmtId="2" fontId="37" fillId="0" borderId="5" xfId="1" applyNumberFormat="1" applyFont="1" applyBorder="1" applyAlignment="1">
      <alignment horizontal="center" vertical="center"/>
    </xf>
    <xf numFmtId="2" fontId="37" fillId="0" borderId="2" xfId="1" applyNumberFormat="1" applyFont="1" applyBorder="1" applyAlignment="1">
      <alignment horizontal="center" vertical="center"/>
    </xf>
    <xf numFmtId="2" fontId="27" fillId="3" borderId="1" xfId="1" applyNumberFormat="1" applyFont="1" applyFill="1" applyBorder="1" applyAlignment="1">
      <alignment horizontal="center" vertical="center" wrapText="1"/>
    </xf>
    <xf numFmtId="2" fontId="27" fillId="3" borderId="5" xfId="1" applyNumberFormat="1" applyFont="1" applyFill="1" applyBorder="1" applyAlignment="1">
      <alignment horizontal="center" vertical="center" wrapText="1"/>
    </xf>
    <xf numFmtId="2" fontId="27" fillId="3" borderId="2" xfId="1" applyNumberFormat="1" applyFont="1" applyFill="1" applyBorder="1" applyAlignment="1">
      <alignment horizontal="center" vertical="center" wrapText="1"/>
    </xf>
    <xf numFmtId="0" fontId="28" fillId="4" borderId="3" xfId="1" applyFont="1" applyFill="1" applyBorder="1" applyAlignment="1">
      <alignment horizontal="center" wrapText="1"/>
    </xf>
    <xf numFmtId="0" fontId="26" fillId="0" borderId="3" xfId="2" applyFont="1" applyBorder="1" applyAlignment="1">
      <alignment horizontal="center" wrapText="1"/>
    </xf>
    <xf numFmtId="0" fontId="39" fillId="3" borderId="3" xfId="1" applyFont="1" applyFill="1" applyBorder="1" applyAlignment="1">
      <alignment horizontal="center" vertical="top" wrapText="1"/>
    </xf>
    <xf numFmtId="2" fontId="27" fillId="3" borderId="3" xfId="3" applyNumberFormat="1" applyFont="1" applyFill="1" applyBorder="1" applyAlignment="1">
      <alignment horizontal="center" vertical="center" wrapText="1"/>
    </xf>
    <xf numFmtId="2" fontId="27" fillId="3" borderId="3" xfId="1" applyNumberFormat="1" applyFont="1" applyFill="1" applyBorder="1" applyAlignment="1">
      <alignment horizontal="center" vertical="center" wrapText="1"/>
    </xf>
    <xf numFmtId="0" fontId="27" fillId="3" borderId="3" xfId="1" applyFont="1" applyFill="1" applyBorder="1" applyAlignment="1">
      <alignment horizontal="center" wrapText="1"/>
    </xf>
    <xf numFmtId="0" fontId="27" fillId="3" borderId="3" xfId="3" applyFont="1" applyFill="1" applyBorder="1" applyAlignment="1">
      <alignment horizontal="center" wrapText="1"/>
    </xf>
    <xf numFmtId="0" fontId="28" fillId="3" borderId="3" xfId="3" applyFont="1" applyFill="1" applyBorder="1" applyAlignment="1">
      <alignment horizontal="center" wrapText="1"/>
    </xf>
    <xf numFmtId="0" fontId="25" fillId="0" borderId="1" xfId="1" applyBorder="1" applyAlignment="1">
      <alignment horizontal="center" vertical="center"/>
    </xf>
    <xf numFmtId="0" fontId="25" fillId="0" borderId="5" xfId="1" applyBorder="1" applyAlignment="1">
      <alignment horizontal="center" vertical="center"/>
    </xf>
    <xf numFmtId="0" fontId="25" fillId="0" borderId="2" xfId="1" applyBorder="1" applyAlignment="1">
      <alignment horizontal="center" vertical="center"/>
    </xf>
    <xf numFmtId="2" fontId="25" fillId="0" borderId="1" xfId="1" applyNumberFormat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0" fontId="37" fillId="0" borderId="5" xfId="1" applyFont="1" applyBorder="1" applyAlignment="1">
      <alignment horizontal="center" vertical="center"/>
    </xf>
    <xf numFmtId="0" fontId="37" fillId="0" borderId="2" xfId="1" applyFont="1" applyBorder="1" applyAlignment="1">
      <alignment horizontal="center" vertical="center"/>
    </xf>
    <xf numFmtId="1" fontId="27" fillId="3" borderId="1" xfId="1" applyNumberFormat="1" applyFont="1" applyFill="1" applyBorder="1" applyAlignment="1">
      <alignment horizontal="center" vertical="center" wrapText="1"/>
    </xf>
    <xf numFmtId="1" fontId="27" fillId="3" borderId="5" xfId="1" applyNumberFormat="1" applyFont="1" applyFill="1" applyBorder="1" applyAlignment="1">
      <alignment horizontal="center" vertical="center" wrapText="1"/>
    </xf>
    <xf numFmtId="1" fontId="27" fillId="3" borderId="2" xfId="1" applyNumberFormat="1" applyFont="1" applyFill="1" applyBorder="1" applyAlignment="1">
      <alignment horizontal="center" vertical="center" wrapText="1"/>
    </xf>
    <xf numFmtId="0" fontId="25" fillId="0" borderId="0" xfId="1" applyAlignment="1">
      <alignment horizontal="right"/>
    </xf>
  </cellXfs>
  <cellStyles count="4">
    <cellStyle name="Обычный" xfId="0" builtinId="0"/>
    <cellStyle name="Обычный 2" xfId="2" xr:uid="{4A78F299-CE07-425D-BDBF-E93382559826}"/>
    <cellStyle name="Обычный 2 2" xfId="1" xr:uid="{1181567A-AE4C-49DB-B31D-78A18EB818B1}"/>
    <cellStyle name="Обычный_Лист1" xfId="3" xr:uid="{B6135809-1E7F-40D9-9935-C62323DC6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3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\Application%20Data\Microsoft\Excel\&#1087;&#1077;&#1088;&#1077;&#1095;&#1077;&#1085;&#1100;%20290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\&#1056;&#1072;&#1073;&#1086;&#1095;&#1080;&#1081;%20&#1089;&#1090;&#1086;&#1083;\&#1086;&#1076;&#1085;%20&#1090;&#1072;&#1088;&#1080;&#1092;&#1099;\&#1056;&#1072;&#1089;&#1095;&#1077;&#1090;%20&#1054;&#1044;&#105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45;&#1044;&#1071;&#1053;&#1050;&#1048;&#1053;&#1040;%20&#1051;.&#1044;/Desktop/&#1054;&#1058;&#1063;&#1045;&#1058;&#1067;%2021%20&#1087;&#1086;%20&#1092;&#1072;&#1082;&#1090;&#1091;/&#1054;&#1090;&#1095;&#1077;&#1090;%20&#1079;&#1072;%202021%20&#1075;&#1086;&#1076;(&#1072;&#1085;&#1072;&#1083;&#1080;&#1079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45;&#1044;&#1071;&#1053;&#1050;&#1048;&#1053;&#1040;%20&#1051;.&#1044;/Desktop/&#1054;&#1058;&#1063;&#1045;&#1058;&#1067;%2021%20&#1087;&#1086;%20&#1092;&#1072;&#1082;&#1090;&#1091;/&#1057;&#1042;&#1054;&#1044;%20&#1079;&#1072;%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лифтом+э.плиты (3)"/>
      <sheetName val="Глазунова 1"/>
      <sheetName val="50 лет СССР 7"/>
      <sheetName val="Лист1"/>
      <sheetName val="Лист3"/>
      <sheetName val="3-а"/>
      <sheetName val="8-а"/>
      <sheetName val="тариф 16.58"/>
      <sheetName val="Шосейная61"/>
      <sheetName val="Апшеронская 11 Б"/>
      <sheetName val=" лифтом+га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и"/>
      <sheetName val="СВЕТ ОДН июнь (2)"/>
      <sheetName val="ОДН по июнь"/>
      <sheetName val="норматив по ГВС по май 2017"/>
      <sheetName val="норматив по ГВС по июн 2017 "/>
      <sheetName val="норматив по ГВС с июля, август "/>
      <sheetName val="норматив по ГВС сентябрь"/>
      <sheetName val="норматив по ГВС с июля 2018"/>
      <sheetName val="норматив по ГВС с 01. 2019 "/>
      <sheetName val="норматив по ГВС с 04. 2019"/>
      <sheetName val="норматив по ГВС с 07. 2019 "/>
      <sheetName val="норматив по ГВС с 01. 2020"/>
      <sheetName val="СВЕТ"/>
      <sheetName val="СВЕТ ОДН1.2.3.4.5"/>
      <sheetName val="СВЕТ ОДН июнь"/>
      <sheetName val="СВЕТ ОДН с июля2017"/>
      <sheetName val="СВЕТ ОДН с июля2018"/>
      <sheetName val="СВЕТ ОДН с январь2019 (2)"/>
      <sheetName val="СВЕТ ОДН с 07.2019"/>
      <sheetName val="свет ОДН"/>
      <sheetName val="МУП СТЭ"/>
      <sheetName val="ХОСТА"/>
      <sheetName val="Площади по ОДН"/>
      <sheetName val=" СЧЕТЧИКИ э|ЭНЕРГИ"/>
      <sheetName val="новые нормативы "/>
      <sheetName val="Расчет в жилищную"/>
      <sheetName val="СВЕТ ОДН с 01-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7-20"/>
      <sheetName val="А18"/>
      <sheetName val="A25"/>
      <sheetName val="В4"/>
      <sheetName val="В10"/>
      <sheetName val="В10,7"/>
      <sheetName val="В10,8"/>
      <sheetName val="В12"/>
      <sheetName val="В16"/>
      <sheetName val="В17"/>
      <sheetName val="В19"/>
      <sheetName val="В21"/>
      <sheetName val="В22"/>
      <sheetName val="В23"/>
      <sheetName val="В24"/>
      <sheetName val="В25"/>
      <sheetName val="В26"/>
      <sheetName val="В27"/>
      <sheetName val="В28"/>
      <sheetName val="В30"/>
      <sheetName val="В 31"/>
      <sheetName val="В31-д"/>
      <sheetName val="В32"/>
      <sheetName val="В34"/>
      <sheetName val="В36"/>
      <sheetName val="М13,2"/>
      <sheetName val="М18"/>
      <sheetName val="М19"/>
      <sheetName val="М28"/>
      <sheetName val="М30"/>
      <sheetName val="м30,1"/>
      <sheetName val="39 жителям"/>
      <sheetName val="М39"/>
      <sheetName val="М41"/>
      <sheetName val="М45"/>
      <sheetName val="М47"/>
      <sheetName val="м34,18"/>
      <sheetName val="Т3"/>
      <sheetName val="Т4"/>
      <sheetName val="Т10"/>
      <sheetName val="Т13"/>
      <sheetName val="Т15"/>
      <sheetName val="Т17.1"/>
      <sheetName val="Т17.2"/>
      <sheetName val="Т18"/>
      <sheetName val="Т21"/>
      <sheetName val="Т23"/>
      <sheetName val="Т27"/>
      <sheetName val="Пл,100"/>
      <sheetName val="Пл.177"/>
      <sheetName val="П179а"/>
      <sheetName val="П181"/>
      <sheetName val="П181а"/>
      <sheetName val="П187"/>
      <sheetName val="П191"/>
      <sheetName val="влксм,16"/>
      <sheetName val="Фин.рез."/>
      <sheetName val="Список домов"/>
      <sheetName val="оплата"/>
    </sheetNames>
    <sheetDataSet>
      <sheetData sheetId="0">
        <row r="44">
          <cell r="E44">
            <v>502278.28</v>
          </cell>
        </row>
        <row r="50">
          <cell r="E50">
            <v>1506188.4</v>
          </cell>
        </row>
      </sheetData>
      <sheetData sheetId="1">
        <row r="52">
          <cell r="E52">
            <v>194994.62</v>
          </cell>
        </row>
        <row r="58">
          <cell r="E58">
            <v>2101001.0900000003</v>
          </cell>
        </row>
      </sheetData>
      <sheetData sheetId="2">
        <row r="51">
          <cell r="E51">
            <v>239045.13</v>
          </cell>
        </row>
        <row r="56">
          <cell r="E56">
            <v>1363462.4</v>
          </cell>
        </row>
      </sheetData>
      <sheetData sheetId="3">
        <row r="48">
          <cell r="E48">
            <v>211285.04</v>
          </cell>
        </row>
        <row r="54">
          <cell r="E54">
            <v>2926278.96</v>
          </cell>
        </row>
      </sheetData>
      <sheetData sheetId="4">
        <row r="49">
          <cell r="E49">
            <v>179924.76</v>
          </cell>
        </row>
        <row r="54">
          <cell r="E54">
            <v>798316.42</v>
          </cell>
        </row>
      </sheetData>
      <sheetData sheetId="5">
        <row r="39">
          <cell r="E39">
            <v>350.86</v>
          </cell>
        </row>
        <row r="43">
          <cell r="E43">
            <v>453445.24</v>
          </cell>
        </row>
      </sheetData>
      <sheetData sheetId="6">
        <row r="44">
          <cell r="E44">
            <v>59247.47</v>
          </cell>
        </row>
        <row r="49">
          <cell r="E49">
            <v>1501025.8</v>
          </cell>
        </row>
      </sheetData>
      <sheetData sheetId="7">
        <row r="51">
          <cell r="E51">
            <v>129131.5</v>
          </cell>
        </row>
        <row r="56">
          <cell r="E56">
            <v>926312.03</v>
          </cell>
        </row>
      </sheetData>
      <sheetData sheetId="8">
        <row r="49">
          <cell r="E49">
            <v>833071.91</v>
          </cell>
        </row>
        <row r="54">
          <cell r="E54">
            <v>3254277.24</v>
          </cell>
        </row>
      </sheetData>
      <sheetData sheetId="9">
        <row r="48">
          <cell r="E48">
            <v>26247.919999999998</v>
          </cell>
        </row>
        <row r="54">
          <cell r="E54">
            <v>891900.61</v>
          </cell>
        </row>
      </sheetData>
      <sheetData sheetId="10">
        <row r="46">
          <cell r="E46">
            <v>296825.84999999998</v>
          </cell>
        </row>
        <row r="51">
          <cell r="E51">
            <v>614371.79</v>
          </cell>
        </row>
      </sheetData>
      <sheetData sheetId="11">
        <row r="43">
          <cell r="E43">
            <v>8968.49</v>
          </cell>
        </row>
        <row r="48">
          <cell r="E48">
            <v>701253.01</v>
          </cell>
        </row>
      </sheetData>
      <sheetData sheetId="12">
        <row r="57">
          <cell r="E57">
            <v>80093.710000000006</v>
          </cell>
        </row>
        <row r="62">
          <cell r="E62">
            <v>830837.58</v>
          </cell>
        </row>
      </sheetData>
      <sheetData sheetId="13">
        <row r="48">
          <cell r="E48">
            <v>109970</v>
          </cell>
        </row>
        <row r="53">
          <cell r="E53">
            <v>430909.7</v>
          </cell>
        </row>
      </sheetData>
      <sheetData sheetId="14">
        <row r="49">
          <cell r="E49">
            <v>365944.24</v>
          </cell>
        </row>
        <row r="54">
          <cell r="E54">
            <v>816750.23</v>
          </cell>
        </row>
      </sheetData>
      <sheetData sheetId="15">
        <row r="58">
          <cell r="E58">
            <v>97132.47</v>
          </cell>
        </row>
        <row r="63">
          <cell r="E63">
            <v>1265831.82</v>
          </cell>
        </row>
      </sheetData>
      <sheetData sheetId="16">
        <row r="55">
          <cell r="E55">
            <v>186003.94</v>
          </cell>
        </row>
        <row r="59">
          <cell r="E59">
            <v>1083582.8500000001</v>
          </cell>
        </row>
      </sheetData>
      <sheetData sheetId="17">
        <row r="45">
          <cell r="E45">
            <v>59346.28</v>
          </cell>
        </row>
        <row r="50">
          <cell r="E50">
            <v>878529.46</v>
          </cell>
        </row>
      </sheetData>
      <sheetData sheetId="18">
        <row r="51">
          <cell r="E51">
            <v>48531.4</v>
          </cell>
        </row>
        <row r="56">
          <cell r="E56">
            <v>938370.49</v>
          </cell>
        </row>
      </sheetData>
      <sheetData sheetId="19">
        <row r="43">
          <cell r="E43">
            <v>86257.18</v>
          </cell>
        </row>
        <row r="49">
          <cell r="E49">
            <v>814426.87</v>
          </cell>
        </row>
      </sheetData>
      <sheetData sheetId="20">
        <row r="59">
          <cell r="E59">
            <v>579846.84</v>
          </cell>
        </row>
        <row r="64">
          <cell r="E64">
            <v>2373223.6700000004</v>
          </cell>
        </row>
      </sheetData>
      <sheetData sheetId="21">
        <row r="44">
          <cell r="E44">
            <v>0</v>
          </cell>
        </row>
        <row r="49">
          <cell r="E49">
            <v>4383.47</v>
          </cell>
        </row>
      </sheetData>
      <sheetData sheetId="22">
        <row r="48">
          <cell r="E48">
            <v>3947.49</v>
          </cell>
        </row>
        <row r="53">
          <cell r="E53">
            <v>1424402.19</v>
          </cell>
        </row>
      </sheetData>
      <sheetData sheetId="23">
        <row r="49">
          <cell r="E49">
            <v>183162.81</v>
          </cell>
        </row>
        <row r="54">
          <cell r="E54">
            <v>740537.96</v>
          </cell>
        </row>
      </sheetData>
      <sheetData sheetId="24">
        <row r="44">
          <cell r="E44">
            <v>40329.86</v>
          </cell>
        </row>
        <row r="49">
          <cell r="E49">
            <v>797275.3</v>
          </cell>
        </row>
      </sheetData>
      <sheetData sheetId="25">
        <row r="45">
          <cell r="E45">
            <v>252318.75</v>
          </cell>
        </row>
        <row r="51">
          <cell r="E51">
            <v>1137821.01</v>
          </cell>
        </row>
      </sheetData>
      <sheetData sheetId="26">
        <row r="45">
          <cell r="E45">
            <v>39933.33</v>
          </cell>
        </row>
        <row r="50">
          <cell r="E50">
            <v>517816.68</v>
          </cell>
        </row>
      </sheetData>
      <sheetData sheetId="27">
        <row r="54">
          <cell r="E54">
            <v>1002442.22</v>
          </cell>
        </row>
      </sheetData>
      <sheetData sheetId="28">
        <row r="49">
          <cell r="E49">
            <v>327201.45</v>
          </cell>
        </row>
        <row r="55">
          <cell r="E55">
            <v>1570875.43</v>
          </cell>
        </row>
      </sheetData>
      <sheetData sheetId="29">
        <row r="55">
          <cell r="E55">
            <v>137182.01999999999</v>
          </cell>
        </row>
        <row r="61">
          <cell r="E61">
            <v>1564121.24</v>
          </cell>
        </row>
      </sheetData>
      <sheetData sheetId="30">
        <row r="48">
          <cell r="E48">
            <v>5392.83</v>
          </cell>
        </row>
        <row r="53">
          <cell r="E53">
            <v>357891.43</v>
          </cell>
        </row>
      </sheetData>
      <sheetData sheetId="31">
        <row r="52">
          <cell r="E52">
            <v>-709924.89199999999</v>
          </cell>
        </row>
      </sheetData>
      <sheetData sheetId="32">
        <row r="44">
          <cell r="E44">
            <v>102632.84</v>
          </cell>
        </row>
        <row r="50">
          <cell r="E50">
            <v>2338932</v>
          </cell>
        </row>
      </sheetData>
      <sheetData sheetId="33">
        <row r="48">
          <cell r="E48">
            <v>477704.07</v>
          </cell>
        </row>
        <row r="54">
          <cell r="E54">
            <v>1480230.05</v>
          </cell>
        </row>
      </sheetData>
      <sheetData sheetId="34">
        <row r="47">
          <cell r="E47">
            <v>225168.49</v>
          </cell>
        </row>
        <row r="52">
          <cell r="E52">
            <v>1067330.33</v>
          </cell>
        </row>
      </sheetData>
      <sheetData sheetId="35">
        <row r="50">
          <cell r="E50">
            <v>427762.07</v>
          </cell>
        </row>
        <row r="55">
          <cell r="E55">
            <v>1475217.05</v>
          </cell>
        </row>
      </sheetData>
      <sheetData sheetId="36">
        <row r="41">
          <cell r="E41">
            <v>22971.87</v>
          </cell>
        </row>
        <row r="46">
          <cell r="E46">
            <v>922957.33</v>
          </cell>
        </row>
      </sheetData>
      <sheetData sheetId="37">
        <row r="41">
          <cell r="E41">
            <v>2393.6</v>
          </cell>
        </row>
        <row r="45">
          <cell r="E45">
            <v>161609.54999999999</v>
          </cell>
        </row>
      </sheetData>
      <sheetData sheetId="38">
        <row r="44">
          <cell r="E44">
            <v>139280.31</v>
          </cell>
        </row>
        <row r="49">
          <cell r="E49">
            <v>572414.51</v>
          </cell>
        </row>
      </sheetData>
      <sheetData sheetId="39">
        <row r="50">
          <cell r="E50">
            <v>8100</v>
          </cell>
        </row>
        <row r="55">
          <cell r="E55">
            <v>514404.35</v>
          </cell>
        </row>
      </sheetData>
      <sheetData sheetId="40">
        <row r="38">
          <cell r="E38">
            <v>33770.67</v>
          </cell>
        </row>
        <row r="42">
          <cell r="E42">
            <v>59880.71</v>
          </cell>
        </row>
      </sheetData>
      <sheetData sheetId="41">
        <row r="47">
          <cell r="E47">
            <v>27543.79</v>
          </cell>
        </row>
        <row r="51">
          <cell r="E51">
            <v>865336.82</v>
          </cell>
        </row>
      </sheetData>
      <sheetData sheetId="42">
        <row r="43">
          <cell r="E43">
            <v>118709.66</v>
          </cell>
        </row>
        <row r="48">
          <cell r="E48">
            <v>839810.42</v>
          </cell>
        </row>
      </sheetData>
      <sheetData sheetId="43">
        <row r="45">
          <cell r="E45">
            <v>38468.85</v>
          </cell>
        </row>
        <row r="50">
          <cell r="E50">
            <v>839315.59</v>
          </cell>
        </row>
      </sheetData>
      <sheetData sheetId="44">
        <row r="47">
          <cell r="E47">
            <v>11055.52</v>
          </cell>
        </row>
        <row r="52">
          <cell r="E52">
            <v>862896.29999999993</v>
          </cell>
        </row>
      </sheetData>
      <sheetData sheetId="45">
        <row r="45">
          <cell r="E45">
            <v>17040.28</v>
          </cell>
        </row>
        <row r="50">
          <cell r="E50">
            <v>552042.03</v>
          </cell>
        </row>
      </sheetData>
      <sheetData sheetId="46">
        <row r="48">
          <cell r="E48">
            <v>58814.33</v>
          </cell>
        </row>
        <row r="53">
          <cell r="E53">
            <v>1422783.22</v>
          </cell>
        </row>
      </sheetData>
      <sheetData sheetId="47">
        <row r="44">
          <cell r="E44">
            <v>365551.35</v>
          </cell>
        </row>
        <row r="49">
          <cell r="E49">
            <v>1261507.83</v>
          </cell>
        </row>
      </sheetData>
      <sheetData sheetId="48">
        <row r="45">
          <cell r="E45">
            <v>256457.86</v>
          </cell>
        </row>
        <row r="50">
          <cell r="E50">
            <v>1525892.86</v>
          </cell>
        </row>
      </sheetData>
      <sheetData sheetId="49">
        <row r="47">
          <cell r="E47">
            <v>130978.27</v>
          </cell>
        </row>
        <row r="54">
          <cell r="E54">
            <v>1066320.99</v>
          </cell>
        </row>
      </sheetData>
      <sheetData sheetId="50">
        <row r="52">
          <cell r="E52">
            <v>476341.87</v>
          </cell>
        </row>
        <row r="57">
          <cell r="E57">
            <v>926015.38</v>
          </cell>
        </row>
      </sheetData>
      <sheetData sheetId="51">
        <row r="51">
          <cell r="E51">
            <v>6825.83</v>
          </cell>
        </row>
        <row r="56">
          <cell r="E56">
            <v>735790.47</v>
          </cell>
        </row>
      </sheetData>
      <sheetData sheetId="52">
        <row r="48">
          <cell r="E48">
            <v>18977.740000000002</v>
          </cell>
        </row>
        <row r="53">
          <cell r="E53">
            <v>717214.06</v>
          </cell>
        </row>
      </sheetData>
      <sheetData sheetId="53">
        <row r="49">
          <cell r="E49">
            <v>102268.35</v>
          </cell>
        </row>
        <row r="53">
          <cell r="E53">
            <v>800595.14</v>
          </cell>
        </row>
      </sheetData>
      <sheetData sheetId="54">
        <row r="52">
          <cell r="E52">
            <v>2907.97</v>
          </cell>
        </row>
        <row r="57">
          <cell r="E57">
            <v>633954.64</v>
          </cell>
        </row>
      </sheetData>
      <sheetData sheetId="55">
        <row r="48">
          <cell r="E48">
            <v>276300.53000000003</v>
          </cell>
        </row>
        <row r="53">
          <cell r="E53">
            <v>799552.64</v>
          </cell>
        </row>
      </sheetData>
      <sheetData sheetId="56">
        <row r="4">
          <cell r="E4">
            <v>2017850.6920840002</v>
          </cell>
        </row>
        <row r="61">
          <cell r="B61" t="str">
            <v>ул.Макаренко,8б/7</v>
          </cell>
        </row>
      </sheetData>
      <sheetData sheetId="57"/>
      <sheetData sheetId="5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В 2021 "/>
      <sheetName val="факт 2021"/>
      <sheetName val="ОТЧЕТ ЗА 2021 год"/>
      <sheetName val="отч.20г.отправ."/>
      <sheetName val=" 45 отчет"/>
    </sheetNames>
    <sheetDataSet>
      <sheetData sheetId="0">
        <row r="44">
          <cell r="HM44">
            <v>7084280.6807999983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6570B-041B-4DFF-B274-D650C82A521D}">
  <dimension ref="A1:F68"/>
  <sheetViews>
    <sheetView topLeftCell="A28" workbookViewId="0">
      <selection activeCell="F36" sqref="F36"/>
    </sheetView>
  </sheetViews>
  <sheetFormatPr defaultRowHeight="15" x14ac:dyDescent="0.25"/>
  <cols>
    <col min="1" max="1" width="8" customWidth="1"/>
    <col min="2" max="2" width="64" customWidth="1"/>
    <col min="3" max="3" width="14" customWidth="1"/>
    <col min="4" max="5" width="12.85546875" customWidth="1"/>
    <col min="6" max="6" width="13.140625" customWidth="1"/>
  </cols>
  <sheetData>
    <row r="1" spans="1:6" ht="39.75" customHeight="1" x14ac:dyDescent="0.3">
      <c r="B1" s="217" t="s">
        <v>192</v>
      </c>
    </row>
    <row r="2" spans="1:6" x14ac:dyDescent="0.25">
      <c r="A2" s="218" t="s">
        <v>0</v>
      </c>
      <c r="B2" s="237" t="s">
        <v>193</v>
      </c>
      <c r="C2" s="239" t="s">
        <v>194</v>
      </c>
      <c r="D2" s="240" t="s">
        <v>195</v>
      </c>
      <c r="E2" s="242" t="s">
        <v>196</v>
      </c>
      <c r="F2" s="244" t="s">
        <v>260</v>
      </c>
    </row>
    <row r="3" spans="1:6" x14ac:dyDescent="0.25">
      <c r="A3" s="219" t="s">
        <v>197</v>
      </c>
      <c r="B3" s="238"/>
      <c r="C3" s="238"/>
      <c r="D3" s="241"/>
      <c r="E3" s="243"/>
      <c r="F3" s="244"/>
    </row>
    <row r="4" spans="1:6" x14ac:dyDescent="0.25">
      <c r="A4" s="220">
        <v>1</v>
      </c>
      <c r="B4" s="221" t="s">
        <v>198</v>
      </c>
      <c r="C4" s="222">
        <f>'[3]А7-20'!E44</f>
        <v>502278.28</v>
      </c>
      <c r="D4" s="223">
        <f>'[3]А7-20'!E50</f>
        <v>1506188.4</v>
      </c>
      <c r="E4" s="236">
        <v>-712496.07208400033</v>
      </c>
      <c r="F4" s="224">
        <f>'А7-21'!F31</f>
        <v>255921.55199999997</v>
      </c>
    </row>
    <row r="5" spans="1:6" x14ac:dyDescent="0.25">
      <c r="A5" s="220">
        <v>2</v>
      </c>
      <c r="B5" s="221" t="s">
        <v>199</v>
      </c>
      <c r="C5" s="225">
        <f>[3]А18!E52</f>
        <v>194994.62</v>
      </c>
      <c r="D5" s="220">
        <f>[3]А18!E58</f>
        <v>2101001.0900000003</v>
      </c>
      <c r="E5" s="236">
        <v>-9114.2664999994449</v>
      </c>
      <c r="F5" s="224">
        <f>'А18-21'!F31</f>
        <v>315501.98400000005</v>
      </c>
    </row>
    <row r="6" spans="1:6" x14ac:dyDescent="0.25">
      <c r="A6" s="220">
        <v>3</v>
      </c>
      <c r="B6" s="226" t="s">
        <v>200</v>
      </c>
      <c r="C6" s="225">
        <v>2765.81</v>
      </c>
      <c r="D6" s="220">
        <v>0</v>
      </c>
      <c r="E6" s="236">
        <v>0</v>
      </c>
      <c r="F6" s="224">
        <f>'М 6'!D59</f>
        <v>108541.85100000001</v>
      </c>
    </row>
    <row r="7" spans="1:6" x14ac:dyDescent="0.25">
      <c r="A7" s="220">
        <v>4</v>
      </c>
      <c r="B7" s="221" t="s">
        <v>201</v>
      </c>
      <c r="C7" s="225">
        <f>[3]A25!E51</f>
        <v>239045.13</v>
      </c>
      <c r="D7" s="220">
        <f>[3]A25!E56</f>
        <v>1363462.4</v>
      </c>
      <c r="E7" s="236">
        <v>249490.62929900014</v>
      </c>
      <c r="F7" s="224">
        <f>'А25-21'!F28</f>
        <v>342836.82</v>
      </c>
    </row>
    <row r="8" spans="1:6" x14ac:dyDescent="0.25">
      <c r="A8" s="220">
        <v>5</v>
      </c>
      <c r="B8" s="221" t="s">
        <v>202</v>
      </c>
      <c r="C8" s="225">
        <f>[3]В4!E48</f>
        <v>211285.04</v>
      </c>
      <c r="D8" s="220">
        <f>[3]В4!E54</f>
        <v>2926278.96</v>
      </c>
      <c r="E8" s="236">
        <v>-53894.231719999574</v>
      </c>
      <c r="F8" s="224">
        <f>'В4-21'!F31</f>
        <v>465701.28</v>
      </c>
    </row>
    <row r="9" spans="1:6" x14ac:dyDescent="0.25">
      <c r="A9" s="220">
        <v>6</v>
      </c>
      <c r="B9" s="221" t="s">
        <v>203</v>
      </c>
      <c r="C9" s="222">
        <f>[3]В10!E49</f>
        <v>179924.76</v>
      </c>
      <c r="D9" s="220">
        <f>[3]В10!E54</f>
        <v>798316.42</v>
      </c>
      <c r="E9" s="236">
        <v>-37570.90399999998</v>
      </c>
      <c r="F9" s="224">
        <f>'В10-21'!F28</f>
        <v>233301.59999999998</v>
      </c>
    </row>
    <row r="10" spans="1:6" x14ac:dyDescent="0.25">
      <c r="A10" s="220">
        <v>7</v>
      </c>
      <c r="B10" s="221" t="s">
        <v>204</v>
      </c>
      <c r="C10" s="222">
        <f>'[3]В10,7'!E39</f>
        <v>350.86</v>
      </c>
      <c r="D10" s="223">
        <f>'[3]В10,7'!E43</f>
        <v>453445.24</v>
      </c>
      <c r="E10" s="236">
        <v>154963.88783999998</v>
      </c>
      <c r="F10" s="224">
        <f>'В10,7-21'!F30</f>
        <v>101935.67999999999</v>
      </c>
    </row>
    <row r="11" spans="1:6" x14ac:dyDescent="0.25">
      <c r="A11" s="220">
        <v>8</v>
      </c>
      <c r="B11" s="221" t="s">
        <v>205</v>
      </c>
      <c r="C11" s="225">
        <f>'[3]В10,8'!E44</f>
        <v>59247.47</v>
      </c>
      <c r="D11" s="220">
        <f>'[3]В10,8'!E49</f>
        <v>1501025.8</v>
      </c>
      <c r="E11" s="236">
        <v>230561.02099999995</v>
      </c>
      <c r="F11" s="224">
        <f>'В10,8-21'!F31</f>
        <v>295505.76</v>
      </c>
    </row>
    <row r="12" spans="1:6" x14ac:dyDescent="0.25">
      <c r="A12" s="220">
        <v>9</v>
      </c>
      <c r="B12" s="221" t="s">
        <v>206</v>
      </c>
      <c r="C12" s="225">
        <f>[3]В12!E51</f>
        <v>129131.5</v>
      </c>
      <c r="D12" s="220">
        <f>[3]В12!E56</f>
        <v>926312.03</v>
      </c>
      <c r="E12" s="236">
        <v>224166.70209999999</v>
      </c>
      <c r="F12" s="224">
        <f>'В12-21'!F30</f>
        <v>223071.55199999997</v>
      </c>
    </row>
    <row r="13" spans="1:6" x14ac:dyDescent="0.25">
      <c r="A13" s="220">
        <v>10</v>
      </c>
      <c r="B13" s="221" t="s">
        <v>207</v>
      </c>
      <c r="C13" s="222">
        <f>[3]В16!E49</f>
        <v>833071.91</v>
      </c>
      <c r="D13" s="223">
        <f>[3]В16!E54</f>
        <v>3254277.24</v>
      </c>
      <c r="E13" s="236">
        <v>-942316.17666999903</v>
      </c>
      <c r="F13" s="224">
        <f>'В16-21'!F31</f>
        <v>457537.32</v>
      </c>
    </row>
    <row r="14" spans="1:6" x14ac:dyDescent="0.25">
      <c r="A14" s="220">
        <v>11</v>
      </c>
      <c r="B14" s="221" t="s">
        <v>208</v>
      </c>
      <c r="C14" s="222">
        <f>[3]В17!E48</f>
        <v>26247.919999999998</v>
      </c>
      <c r="D14" s="223">
        <f>[3]В17!E54</f>
        <v>891900.61</v>
      </c>
      <c r="E14" s="236">
        <v>-17101.270984000061</v>
      </c>
      <c r="F14" s="224">
        <f>'В17-21'!F30</f>
        <v>171864</v>
      </c>
    </row>
    <row r="15" spans="1:6" x14ac:dyDescent="0.25">
      <c r="A15" s="220">
        <v>12</v>
      </c>
      <c r="B15" s="221" t="s">
        <v>209</v>
      </c>
      <c r="C15" s="225">
        <f>[3]В19!E46</f>
        <v>296825.84999999998</v>
      </c>
      <c r="D15" s="223">
        <f>[3]В19!E51</f>
        <v>614371.79</v>
      </c>
      <c r="E15" s="236">
        <v>256136.86715000006</v>
      </c>
      <c r="F15" s="224">
        <f>'В19-21'!F30</f>
        <v>139489.91999999998</v>
      </c>
    </row>
    <row r="16" spans="1:6" x14ac:dyDescent="0.25">
      <c r="A16" s="220">
        <v>13</v>
      </c>
      <c r="B16" s="221" t="s">
        <v>210</v>
      </c>
      <c r="C16" s="222">
        <f>[3]В21!E43</f>
        <v>8968.49</v>
      </c>
      <c r="D16" s="223">
        <f>[3]В21!E48</f>
        <v>701253.01</v>
      </c>
      <c r="E16" s="236">
        <v>65387.524080000003</v>
      </c>
      <c r="F16" s="224">
        <f>'В21-21'!F30</f>
        <v>107785.44</v>
      </c>
    </row>
    <row r="17" spans="1:6" x14ac:dyDescent="0.25">
      <c r="A17" s="220">
        <v>14</v>
      </c>
      <c r="B17" s="221" t="s">
        <v>211</v>
      </c>
      <c r="C17" s="222">
        <f>[3]В22!E57</f>
        <v>80093.710000000006</v>
      </c>
      <c r="D17" s="223">
        <f>[3]В22!E62</f>
        <v>830837.58</v>
      </c>
      <c r="E17" s="236">
        <v>-34475.607984000118</v>
      </c>
      <c r="F17" s="224">
        <f>'В22-21'!F30</f>
        <v>214608</v>
      </c>
    </row>
    <row r="18" spans="1:6" x14ac:dyDescent="0.25">
      <c r="A18" s="220">
        <v>15</v>
      </c>
      <c r="B18" s="221" t="s">
        <v>212</v>
      </c>
      <c r="C18" s="222">
        <f>[3]В23!E48</f>
        <v>109970</v>
      </c>
      <c r="D18" s="223">
        <f>[3]В23!E53</f>
        <v>430909.7</v>
      </c>
      <c r="E18" s="236">
        <v>-242652.30090400006</v>
      </c>
      <c r="F18" s="224">
        <f>'В23-21'!F30</f>
        <v>111023.08800000002</v>
      </c>
    </row>
    <row r="19" spans="1:6" x14ac:dyDescent="0.25">
      <c r="A19" s="220">
        <v>16</v>
      </c>
      <c r="B19" s="221" t="s">
        <v>213</v>
      </c>
      <c r="C19" s="225">
        <f>[3]В24!E49</f>
        <v>365944.24</v>
      </c>
      <c r="D19" s="223">
        <f>[3]В24!E54</f>
        <v>816750.23</v>
      </c>
      <c r="E19" s="236">
        <v>-459594.23043000011</v>
      </c>
      <c r="F19" s="224">
        <f>'В24-21'!F30</f>
        <v>224919.23999999996</v>
      </c>
    </row>
    <row r="20" spans="1:6" x14ac:dyDescent="0.25">
      <c r="A20" s="220">
        <v>17</v>
      </c>
      <c r="B20" s="226" t="s">
        <v>214</v>
      </c>
      <c r="C20" s="222">
        <f>[3]В25!E58</f>
        <v>97132.47</v>
      </c>
      <c r="D20" s="227">
        <f>[3]В25!E63</f>
        <v>1265831.82</v>
      </c>
      <c r="E20" s="236">
        <v>233357.40127100004</v>
      </c>
      <c r="F20" s="224">
        <f>'В25-21'!F30</f>
        <v>227809.296</v>
      </c>
    </row>
    <row r="21" spans="1:6" x14ac:dyDescent="0.25">
      <c r="A21" s="220">
        <v>18</v>
      </c>
      <c r="B21" s="221" t="s">
        <v>215</v>
      </c>
      <c r="C21" s="228">
        <f>[3]В26!E55</f>
        <v>186003.94</v>
      </c>
      <c r="D21" s="223">
        <f>[3]В26!E59</f>
        <v>1083582.8500000001</v>
      </c>
      <c r="E21" s="236">
        <v>316397.98810000019</v>
      </c>
      <c r="F21" s="224">
        <f>'В26-21'!F30</f>
        <v>254904</v>
      </c>
    </row>
    <row r="22" spans="1:6" x14ac:dyDescent="0.25">
      <c r="A22" s="220">
        <v>19</v>
      </c>
      <c r="B22" s="221" t="s">
        <v>216</v>
      </c>
      <c r="C22" s="222">
        <f>[3]В27!E45</f>
        <v>59346.28</v>
      </c>
      <c r="D22" s="223">
        <f>[3]В27!E50</f>
        <v>878529.46</v>
      </c>
      <c r="E22" s="236">
        <v>183660.40068999992</v>
      </c>
      <c r="F22" s="224">
        <f>'В27-21'!F30</f>
        <v>166862.22000000003</v>
      </c>
    </row>
    <row r="23" spans="1:6" x14ac:dyDescent="0.25">
      <c r="A23" s="220">
        <v>20</v>
      </c>
      <c r="B23" s="221" t="s">
        <v>217</v>
      </c>
      <c r="C23" s="222">
        <f>[3]В28!E51</f>
        <v>48531.4</v>
      </c>
      <c r="D23" s="223">
        <f>[3]В28!E56</f>
        <v>938370.49</v>
      </c>
      <c r="E23" s="236">
        <v>194371.06616900011</v>
      </c>
      <c r="F23" s="224">
        <f>'В28-21'!F30</f>
        <v>216275.03999999998</v>
      </c>
    </row>
    <row r="24" spans="1:6" x14ac:dyDescent="0.25">
      <c r="A24" s="220">
        <v>21</v>
      </c>
      <c r="B24" s="221" t="s">
        <v>218</v>
      </c>
      <c r="C24" s="225">
        <f>[3]В30!E43</f>
        <v>86257.18</v>
      </c>
      <c r="D24" s="223">
        <f>[3]В30!E49</f>
        <v>814426.87</v>
      </c>
      <c r="E24" s="236">
        <v>133620.78107499995</v>
      </c>
      <c r="F24" s="224">
        <f>'В30-21'!F31</f>
        <v>141564.72000000003</v>
      </c>
    </row>
    <row r="25" spans="1:6" x14ac:dyDescent="0.25">
      <c r="A25" s="220">
        <v>22</v>
      </c>
      <c r="B25" s="221" t="s">
        <v>219</v>
      </c>
      <c r="C25" s="225">
        <f>'[3]В 31'!E59</f>
        <v>579846.84</v>
      </c>
      <c r="D25" s="223">
        <f>'[3]В 31'!E64</f>
        <v>2373223.6700000004</v>
      </c>
      <c r="E25" s="236">
        <v>324524.0349410004</v>
      </c>
      <c r="F25" s="224">
        <f>'В31-21'!F30</f>
        <v>561502.1399999999</v>
      </c>
    </row>
    <row r="26" spans="1:6" x14ac:dyDescent="0.25">
      <c r="A26" s="220">
        <v>23</v>
      </c>
      <c r="B26" s="226" t="s">
        <v>220</v>
      </c>
      <c r="C26" s="225">
        <f>'[3]В31-д'!E44</f>
        <v>0</v>
      </c>
      <c r="D26" s="223">
        <f>'[3]В31-д'!E49</f>
        <v>4383.47</v>
      </c>
      <c r="E26" s="236">
        <v>-59227.11</v>
      </c>
      <c r="F26" s="224">
        <f>'В31-Д'!D54</f>
        <v>60991.92</v>
      </c>
    </row>
    <row r="27" spans="1:6" x14ac:dyDescent="0.25">
      <c r="A27" s="220">
        <v>24</v>
      </c>
      <c r="B27" s="221" t="s">
        <v>221</v>
      </c>
      <c r="C27" s="225">
        <f>[3]В32!E48</f>
        <v>3947.49</v>
      </c>
      <c r="D27" s="223">
        <f>[3]В32!E53</f>
        <v>1424402.19</v>
      </c>
      <c r="E27" s="236">
        <v>180405.45287000015</v>
      </c>
      <c r="F27" s="224">
        <f>'В32-21'!F30</f>
        <v>247703.16</v>
      </c>
    </row>
    <row r="28" spans="1:6" x14ac:dyDescent="0.25">
      <c r="A28" s="220">
        <v>25</v>
      </c>
      <c r="B28" s="221" t="s">
        <v>222</v>
      </c>
      <c r="C28" s="222">
        <f>[3]В34!E49</f>
        <v>183162.81</v>
      </c>
      <c r="D28" s="223">
        <f>[3]В34!E54</f>
        <v>740537.96</v>
      </c>
      <c r="E28" s="236">
        <v>358643.07949999976</v>
      </c>
      <c r="F28" s="224">
        <f>'В34-21'!F30</f>
        <v>140062.86000000002</v>
      </c>
    </row>
    <row r="29" spans="1:6" x14ac:dyDescent="0.25">
      <c r="A29" s="220">
        <v>26</v>
      </c>
      <c r="B29" s="221" t="s">
        <v>223</v>
      </c>
      <c r="C29" s="222">
        <f>[3]В36!E44</f>
        <v>40329.86</v>
      </c>
      <c r="D29" s="223">
        <f>[3]В36!E49</f>
        <v>797275.3</v>
      </c>
      <c r="E29" s="236">
        <v>256330.1498880001</v>
      </c>
      <c r="F29" s="224">
        <f>'В36-21'!F30</f>
        <v>142674.04800000001</v>
      </c>
    </row>
    <row r="30" spans="1:6" x14ac:dyDescent="0.25">
      <c r="A30" s="220">
        <v>27</v>
      </c>
      <c r="B30" s="221" t="s">
        <v>224</v>
      </c>
      <c r="C30" s="222">
        <f>'[3]М13,2'!E45</f>
        <v>252318.75</v>
      </c>
      <c r="D30" s="223">
        <f>'[3]М13,2'!E51</f>
        <v>1137821.01</v>
      </c>
      <c r="E30" s="236">
        <v>450143.89111999969</v>
      </c>
      <c r="F30" s="224">
        <f>'М13,2-21'!F31</f>
        <v>130851.36000000002</v>
      </c>
    </row>
    <row r="31" spans="1:6" x14ac:dyDescent="0.25">
      <c r="A31" s="220">
        <v>28</v>
      </c>
      <c r="B31" s="221" t="s">
        <v>225</v>
      </c>
      <c r="C31" s="225">
        <f>[3]М18!E45</f>
        <v>39933.33</v>
      </c>
      <c r="D31" s="223">
        <f>[3]М18!E50</f>
        <v>517816.68</v>
      </c>
      <c r="E31" s="236">
        <v>-371412.05693000002</v>
      </c>
      <c r="F31" s="224">
        <f>'М18-21'!F30</f>
        <v>122659.44</v>
      </c>
    </row>
    <row r="32" spans="1:6" x14ac:dyDescent="0.25">
      <c r="A32" s="220">
        <v>29</v>
      </c>
      <c r="B32" s="221" t="s">
        <v>226</v>
      </c>
      <c r="C32" s="222">
        <v>211762.66</v>
      </c>
      <c r="D32" s="223">
        <f>[3]М19!E54</f>
        <v>1002442.22</v>
      </c>
      <c r="E32" s="236">
        <v>-841152.70779999997</v>
      </c>
      <c r="F32" s="224">
        <f>'М19-21'!F31</f>
        <v>164402.16</v>
      </c>
    </row>
    <row r="33" spans="1:6" x14ac:dyDescent="0.25">
      <c r="A33" s="220">
        <v>30</v>
      </c>
      <c r="B33" s="221" t="s">
        <v>227</v>
      </c>
      <c r="C33" s="222">
        <f>[3]М28!E49</f>
        <v>327201.45</v>
      </c>
      <c r="D33" s="223">
        <f>[3]М28!E55</f>
        <v>1570875.43</v>
      </c>
      <c r="E33" s="236">
        <v>-267990.40253399988</v>
      </c>
      <c r="F33" s="224">
        <f>'М28-21'!F31</f>
        <v>301245.33600000001</v>
      </c>
    </row>
    <row r="34" spans="1:6" x14ac:dyDescent="0.25">
      <c r="A34" s="220">
        <v>31</v>
      </c>
      <c r="B34" s="221" t="s">
        <v>228</v>
      </c>
      <c r="C34" s="222">
        <f>[3]М30!E55</f>
        <v>137182.01999999999</v>
      </c>
      <c r="D34" s="223">
        <f>[3]М30!E61</f>
        <v>1564121.24</v>
      </c>
      <c r="E34" s="236">
        <v>-117887.49179875827</v>
      </c>
      <c r="F34" s="224">
        <f>'М30-21'!F31</f>
        <v>310608.48</v>
      </c>
    </row>
    <row r="35" spans="1:6" x14ac:dyDescent="0.25">
      <c r="A35" s="220">
        <v>32</v>
      </c>
      <c r="B35" s="226" t="s">
        <v>229</v>
      </c>
      <c r="C35" s="222">
        <f>'[3]м30,1'!E48</f>
        <v>5392.83</v>
      </c>
      <c r="D35" s="223">
        <f>'[3]м30,1'!E53</f>
        <v>357891.43</v>
      </c>
      <c r="E35" s="236">
        <v>-200945.22554000001</v>
      </c>
      <c r="F35" s="224">
        <f>'М30,1-21'!F27</f>
        <v>43921.668000000005</v>
      </c>
    </row>
    <row r="36" spans="1:6" x14ac:dyDescent="0.25">
      <c r="A36" s="220">
        <v>33</v>
      </c>
      <c r="B36" s="221" t="s">
        <v>230</v>
      </c>
      <c r="C36" s="222">
        <f>[3]М39!E44</f>
        <v>102632.84</v>
      </c>
      <c r="D36" s="223">
        <f>[3]М39!E50</f>
        <v>2338932</v>
      </c>
      <c r="E36" s="236">
        <v>1162741.1000000001</v>
      </c>
      <c r="F36" s="221"/>
    </row>
    <row r="37" spans="1:6" x14ac:dyDescent="0.25">
      <c r="A37" s="220">
        <v>34</v>
      </c>
      <c r="B37" s="221" t="s">
        <v>231</v>
      </c>
      <c r="C37" s="222">
        <f>[3]М41!E48</f>
        <v>477704.07</v>
      </c>
      <c r="D37" s="223">
        <f>[3]М41!E54</f>
        <v>1480230.05</v>
      </c>
      <c r="E37" s="236">
        <v>-155439.08739599981</v>
      </c>
      <c r="F37" s="221"/>
    </row>
    <row r="38" spans="1:6" x14ac:dyDescent="0.25">
      <c r="A38" s="220">
        <v>35</v>
      </c>
      <c r="B38" s="221" t="s">
        <v>232</v>
      </c>
      <c r="C38" s="222">
        <f>[3]М45!E47</f>
        <v>225168.49</v>
      </c>
      <c r="D38" s="223">
        <f>[3]М45!E52</f>
        <v>1067330.33</v>
      </c>
      <c r="E38" s="236">
        <v>6294.8614399998914</v>
      </c>
      <c r="F38" s="221"/>
    </row>
    <row r="39" spans="1:6" x14ac:dyDescent="0.25">
      <c r="A39" s="220">
        <v>36</v>
      </c>
      <c r="B39" s="221" t="s">
        <v>233</v>
      </c>
      <c r="C39" s="222">
        <f>[3]М47!E50</f>
        <v>427762.07</v>
      </c>
      <c r="D39" s="223">
        <f>[3]М47!E55</f>
        <v>1475217.05</v>
      </c>
      <c r="E39" s="236">
        <v>-533521.15480090259</v>
      </c>
      <c r="F39" s="221"/>
    </row>
    <row r="40" spans="1:6" x14ac:dyDescent="0.25">
      <c r="A40" s="220">
        <v>37</v>
      </c>
      <c r="B40" s="221" t="s">
        <v>234</v>
      </c>
      <c r="C40" s="222">
        <f>'[3]м34,18'!E41</f>
        <v>22971.87</v>
      </c>
      <c r="D40" s="223">
        <f>'[3]м34,18'!E46</f>
        <v>922957.33</v>
      </c>
      <c r="E40" s="236">
        <v>58140.63413000002</v>
      </c>
      <c r="F40" s="221"/>
    </row>
    <row r="41" spans="1:6" x14ac:dyDescent="0.25">
      <c r="A41" s="220">
        <v>38</v>
      </c>
      <c r="B41" s="221" t="s">
        <v>235</v>
      </c>
      <c r="C41" s="222">
        <f>[3]Т3!E41</f>
        <v>2393.6</v>
      </c>
      <c r="D41" s="223">
        <f>[3]Т3!E45</f>
        <v>161609.54999999999</v>
      </c>
      <c r="E41" s="236">
        <v>55589.828890000004</v>
      </c>
      <c r="F41" s="221"/>
    </row>
    <row r="42" spans="1:6" x14ac:dyDescent="0.25">
      <c r="A42" s="220">
        <v>39</v>
      </c>
      <c r="B42" s="221" t="s">
        <v>236</v>
      </c>
      <c r="C42" s="222">
        <f>[3]Т4!E44</f>
        <v>139280.31</v>
      </c>
      <c r="D42" s="223">
        <f>[3]Т4!E49</f>
        <v>572414.51</v>
      </c>
      <c r="E42" s="236">
        <v>96060.139442000072</v>
      </c>
      <c r="F42" s="221"/>
    </row>
    <row r="43" spans="1:6" x14ac:dyDescent="0.25">
      <c r="A43" s="220">
        <v>40</v>
      </c>
      <c r="B43" s="221" t="s">
        <v>237</v>
      </c>
      <c r="C43" s="222">
        <f>[3]Т10!E50</f>
        <v>8100</v>
      </c>
      <c r="D43" s="223">
        <f>[3]Т10!E55</f>
        <v>514404.35</v>
      </c>
      <c r="E43" s="236">
        <v>-44112.75582099997</v>
      </c>
      <c r="F43" s="221"/>
    </row>
    <row r="44" spans="1:6" x14ac:dyDescent="0.25">
      <c r="A44" s="220">
        <v>41</v>
      </c>
      <c r="B44" s="226" t="s">
        <v>238</v>
      </c>
      <c r="C44" s="222">
        <f>[3]Т13!E38</f>
        <v>33770.67</v>
      </c>
      <c r="D44" s="223">
        <f>[3]Т13!E42</f>
        <v>59880.71</v>
      </c>
      <c r="E44" s="236">
        <v>-415942.63646099996</v>
      </c>
      <c r="F44" s="221"/>
    </row>
    <row r="45" spans="1:6" x14ac:dyDescent="0.25">
      <c r="A45" s="220">
        <v>42</v>
      </c>
      <c r="B45" s="221" t="s">
        <v>239</v>
      </c>
      <c r="C45" s="222">
        <f>[3]Т15!E47</f>
        <v>27543.79</v>
      </c>
      <c r="D45" s="223">
        <f>[3]Т15!E51</f>
        <v>865336.82</v>
      </c>
      <c r="E45" s="236">
        <v>242589.34783999994</v>
      </c>
      <c r="F45" s="221"/>
    </row>
    <row r="46" spans="1:6" x14ac:dyDescent="0.25">
      <c r="A46" s="220">
        <v>43</v>
      </c>
      <c r="B46" s="221" t="s">
        <v>240</v>
      </c>
      <c r="C46" s="222">
        <f>'[3]Т17.1'!E43</f>
        <v>118709.66</v>
      </c>
      <c r="D46" s="223">
        <f>'[3]Т17.1'!E48</f>
        <v>839810.42</v>
      </c>
      <c r="E46" s="236">
        <v>441484.96042000013</v>
      </c>
      <c r="F46" s="221"/>
    </row>
    <row r="47" spans="1:6" x14ac:dyDescent="0.25">
      <c r="A47" s="220">
        <v>44</v>
      </c>
      <c r="B47" s="221" t="s">
        <v>241</v>
      </c>
      <c r="C47" s="222">
        <f>'[3]Т17.2'!E45</f>
        <v>38468.85</v>
      </c>
      <c r="D47" s="223">
        <f>'[3]Т17.2'!E50</f>
        <v>839315.59</v>
      </c>
      <c r="E47" s="236">
        <v>186479.44486950373</v>
      </c>
      <c r="F47" s="221"/>
    </row>
    <row r="48" spans="1:6" x14ac:dyDescent="0.25">
      <c r="A48" s="220">
        <v>45</v>
      </c>
      <c r="B48" s="221" t="s">
        <v>242</v>
      </c>
      <c r="C48" s="222">
        <f>[3]Т18!E47</f>
        <v>11055.52</v>
      </c>
      <c r="D48" s="227">
        <f>[3]Т18!E52</f>
        <v>862896.29999999993</v>
      </c>
      <c r="E48" s="236">
        <v>542823.72744399973</v>
      </c>
      <c r="F48" s="221"/>
    </row>
    <row r="49" spans="1:6" x14ac:dyDescent="0.25">
      <c r="A49" s="220">
        <v>46</v>
      </c>
      <c r="B49" s="221" t="s">
        <v>243</v>
      </c>
      <c r="C49" s="222">
        <f>[3]Т21!E45</f>
        <v>17040.28</v>
      </c>
      <c r="D49" s="227">
        <f>[3]Т21!E50</f>
        <v>552042.03</v>
      </c>
      <c r="E49" s="236">
        <v>61852.866483999998</v>
      </c>
      <c r="F49" s="221"/>
    </row>
    <row r="50" spans="1:6" x14ac:dyDescent="0.25">
      <c r="A50" s="220">
        <v>47</v>
      </c>
      <c r="B50" s="221" t="s">
        <v>244</v>
      </c>
      <c r="C50" s="222">
        <f>[3]Т23!E48</f>
        <v>58814.33</v>
      </c>
      <c r="D50" s="227">
        <f>[3]Т23!E53</f>
        <v>1422783.22</v>
      </c>
      <c r="E50" s="236">
        <v>-199406.72711799992</v>
      </c>
      <c r="F50" s="221"/>
    </row>
    <row r="51" spans="1:6" x14ac:dyDescent="0.25">
      <c r="A51" s="220">
        <v>48</v>
      </c>
      <c r="B51" s="221" t="s">
        <v>245</v>
      </c>
      <c r="C51" s="222">
        <f>[3]Т27!E44</f>
        <v>365551.35</v>
      </c>
      <c r="D51" s="227">
        <f>[3]Т27!E49</f>
        <v>1261507.83</v>
      </c>
      <c r="E51" s="236">
        <v>-64829.391451471252</v>
      </c>
      <c r="F51" s="221"/>
    </row>
    <row r="52" spans="1:6" x14ac:dyDescent="0.25">
      <c r="A52" s="220">
        <v>49</v>
      </c>
      <c r="B52" s="221" t="s">
        <v>246</v>
      </c>
      <c r="C52" s="222">
        <f>'[3]Пл,100'!E45</f>
        <v>256457.86</v>
      </c>
      <c r="D52" s="227">
        <f>'[3]Пл,100'!E50</f>
        <v>1525892.86</v>
      </c>
      <c r="E52" s="236">
        <v>96847.01059508184</v>
      </c>
      <c r="F52" s="221"/>
    </row>
    <row r="53" spans="1:6" x14ac:dyDescent="0.25">
      <c r="A53" s="220">
        <v>50</v>
      </c>
      <c r="B53" s="221" t="s">
        <v>247</v>
      </c>
      <c r="C53" s="222">
        <f>[3]Пл.177!E47</f>
        <v>130978.27</v>
      </c>
      <c r="D53" s="227">
        <f>[3]Пл.177!E54</f>
        <v>1066320.99</v>
      </c>
      <c r="E53" s="236">
        <v>-143876.78159000003</v>
      </c>
      <c r="F53" s="221"/>
    </row>
    <row r="54" spans="1:6" x14ac:dyDescent="0.25">
      <c r="A54" s="220">
        <v>51</v>
      </c>
      <c r="B54" s="221" t="s">
        <v>248</v>
      </c>
      <c r="C54" s="222">
        <f>[3]П179а!E52</f>
        <v>476341.87</v>
      </c>
      <c r="D54" s="227">
        <f>[3]П179а!E57</f>
        <v>926015.38</v>
      </c>
      <c r="E54" s="236">
        <v>128796.01270000008</v>
      </c>
      <c r="F54" s="221"/>
    </row>
    <row r="55" spans="1:6" x14ac:dyDescent="0.25">
      <c r="A55" s="220">
        <v>52</v>
      </c>
      <c r="B55" s="221" t="s">
        <v>249</v>
      </c>
      <c r="C55" s="222">
        <f>[3]П181!E51</f>
        <v>6825.83</v>
      </c>
      <c r="D55" s="223">
        <f>[3]П181!E56</f>
        <v>735790.47</v>
      </c>
      <c r="E55" s="236">
        <v>346083.17955</v>
      </c>
      <c r="F55" s="221"/>
    </row>
    <row r="56" spans="1:6" x14ac:dyDescent="0.25">
      <c r="A56" s="220">
        <v>53</v>
      </c>
      <c r="B56" s="221" t="s">
        <v>250</v>
      </c>
      <c r="C56" s="222">
        <f>[3]П181а!E48</f>
        <v>18977.740000000002</v>
      </c>
      <c r="D56" s="223">
        <f>[3]П181а!E53</f>
        <v>717214.06</v>
      </c>
      <c r="E56" s="236">
        <v>-43766.222400976345</v>
      </c>
      <c r="F56" s="221"/>
    </row>
    <row r="57" spans="1:6" x14ac:dyDescent="0.25">
      <c r="A57" s="220">
        <v>54</v>
      </c>
      <c r="B57" s="221" t="s">
        <v>251</v>
      </c>
      <c r="C57" s="222">
        <f>[3]П187!E49</f>
        <v>102268.35</v>
      </c>
      <c r="D57" s="223">
        <f>[3]П187!E53</f>
        <v>800595.14</v>
      </c>
      <c r="E57" s="236">
        <v>-42724.907490000012</v>
      </c>
      <c r="F57" s="221"/>
    </row>
    <row r="58" spans="1:6" x14ac:dyDescent="0.25">
      <c r="A58" s="220">
        <v>55</v>
      </c>
      <c r="B58" s="221" t="s">
        <v>252</v>
      </c>
      <c r="C58" s="222">
        <f>[3]П191!E52</f>
        <v>2907.97</v>
      </c>
      <c r="D58" s="223">
        <f>[3]П191!E57</f>
        <v>633954.64</v>
      </c>
      <c r="E58" s="236">
        <v>354438.5696200002</v>
      </c>
      <c r="F58" s="221"/>
    </row>
    <row r="59" spans="1:6" x14ac:dyDescent="0.25">
      <c r="A59" s="220">
        <v>56</v>
      </c>
      <c r="B59" s="226" t="s">
        <v>253</v>
      </c>
      <c r="C59" s="229">
        <v>14785.79</v>
      </c>
      <c r="D59" s="223">
        <v>0</v>
      </c>
      <c r="E59" s="236">
        <v>-37979.630000000005</v>
      </c>
      <c r="F59" s="221"/>
    </row>
    <row r="60" spans="1:6" x14ac:dyDescent="0.25">
      <c r="A60" s="220">
        <v>57</v>
      </c>
      <c r="B60" s="221" t="s">
        <v>254</v>
      </c>
      <c r="C60" s="222">
        <f>'[3]влксм,16'!E48</f>
        <v>276300.53000000003</v>
      </c>
      <c r="D60" s="223">
        <f>'[3]влксм,16'!E53</f>
        <v>799552.64</v>
      </c>
      <c r="E60" s="236">
        <v>-327218.26781500003</v>
      </c>
      <c r="F60" s="221"/>
    </row>
    <row r="61" spans="1:6" x14ac:dyDescent="0.25">
      <c r="A61" s="220">
        <v>58</v>
      </c>
      <c r="B61" s="221" t="str">
        <f>[3]Фин.рез.!B61</f>
        <v>ул.Макаренко,8б/7</v>
      </c>
      <c r="C61" s="223"/>
      <c r="D61" s="223"/>
      <c r="E61" s="236">
        <v>-344838.7</v>
      </c>
      <c r="F61" s="221"/>
    </row>
    <row r="62" spans="1:6" x14ac:dyDescent="0.25">
      <c r="A62" s="221"/>
      <c r="B62" s="230" t="s">
        <v>255</v>
      </c>
      <c r="C62" s="222">
        <f>SUM(C4:C60)</f>
        <v>8861306.8099999987</v>
      </c>
      <c r="D62" s="220">
        <f>SUM(D4:D60)</f>
        <v>58029866.860000007</v>
      </c>
      <c r="E62" s="236">
        <v>870896.24</v>
      </c>
      <c r="F62" s="221"/>
    </row>
    <row r="63" spans="1:6" x14ac:dyDescent="0.25">
      <c r="A63" s="231"/>
      <c r="B63" s="232" t="s">
        <v>256</v>
      </c>
      <c r="C63">
        <v>5200000</v>
      </c>
      <c r="E63" s="233">
        <v>870896.24229447986</v>
      </c>
      <c r="F63" s="221"/>
    </row>
    <row r="64" spans="1:6" x14ac:dyDescent="0.25">
      <c r="A64" s="231"/>
      <c r="B64" s="232" t="s">
        <v>257</v>
      </c>
      <c r="C64">
        <v>3500000</v>
      </c>
      <c r="E64" s="233">
        <v>7592382.5499999998</v>
      </c>
      <c r="F64" s="221"/>
    </row>
    <row r="65" spans="2:6" x14ac:dyDescent="0.25">
      <c r="B65" s="234" t="s">
        <v>258</v>
      </c>
      <c r="C65" s="235">
        <f>'[4]для ЛВ 2021 '!$HM$44</f>
        <v>7084280.6807999983</v>
      </c>
      <c r="E65" s="233">
        <v>-6721486.29</v>
      </c>
      <c r="F65" s="221"/>
    </row>
    <row r="66" spans="2:6" x14ac:dyDescent="0.25">
      <c r="B66" s="234" t="s">
        <v>259</v>
      </c>
      <c r="C66" s="235">
        <f>C62-C65</f>
        <v>1777026.1292000003</v>
      </c>
      <c r="E66" s="233"/>
      <c r="F66" s="221"/>
    </row>
    <row r="67" spans="2:6" x14ac:dyDescent="0.25">
      <c r="E67" s="233"/>
    </row>
    <row r="68" spans="2:6" x14ac:dyDescent="0.25">
      <c r="E68" s="233"/>
    </row>
  </sheetData>
  <mergeCells count="5"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I43"/>
  <sheetViews>
    <sheetView topLeftCell="A7" workbookViewId="0">
      <selection activeCell="J13" sqref="J13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267</v>
      </c>
      <c r="C4" s="3"/>
      <c r="D4" s="3"/>
    </row>
    <row r="5" spans="1:6" x14ac:dyDescent="0.2">
      <c r="B5" s="3"/>
      <c r="C5" s="3"/>
      <c r="D5" s="3"/>
      <c r="F5" s="1">
        <v>7476.1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3.09</v>
      </c>
      <c r="D10" s="50" t="s">
        <v>15</v>
      </c>
      <c r="E10" s="18">
        <f>C10*7476.1</f>
        <v>23101.149000000001</v>
      </c>
      <c r="F10" s="18">
        <f>E10*12</f>
        <v>277213.788</v>
      </c>
    </row>
    <row r="11" spans="1:6" ht="15" x14ac:dyDescent="0.25">
      <c r="A11" s="10"/>
      <c r="B11" s="15" t="s">
        <v>76</v>
      </c>
      <c r="C11" s="16">
        <v>0.19</v>
      </c>
      <c r="D11" s="88" t="s">
        <v>20</v>
      </c>
      <c r="E11" s="18">
        <f t="shared" ref="E11:E13" si="0">C11*7476.1</f>
        <v>1420.4590000000001</v>
      </c>
      <c r="F11" s="18">
        <f>E11*12</f>
        <v>17045.508000000002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6728.4900000000007</v>
      </c>
      <c r="F12" s="18">
        <f t="shared" ref="F12:F13" si="1">E12*12</f>
        <v>80741.88</v>
      </c>
    </row>
    <row r="13" spans="1:6" ht="39" x14ac:dyDescent="0.25">
      <c r="A13" s="22" t="s">
        <v>18</v>
      </c>
      <c r="B13" s="15" t="s">
        <v>19</v>
      </c>
      <c r="C13" s="23">
        <v>0.12</v>
      </c>
      <c r="D13" s="88" t="s">
        <v>20</v>
      </c>
      <c r="E13" s="18">
        <f t="shared" si="0"/>
        <v>897.13200000000006</v>
      </c>
      <c r="F13" s="18">
        <f t="shared" si="1"/>
        <v>10765.584000000001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1.58</v>
      </c>
      <c r="D14" s="27"/>
      <c r="E14" s="18">
        <f>E15+E16+E17+E19+E20+E21</f>
        <v>11812.238000000003</v>
      </c>
      <c r="F14" s="18">
        <f>F15+F16+F17+F19+F20+F21</f>
        <v>141746.85600000003</v>
      </c>
    </row>
    <row r="15" spans="1:6" x14ac:dyDescent="0.2">
      <c r="A15" s="28"/>
      <c r="B15" s="29" t="s">
        <v>23</v>
      </c>
      <c r="C15" s="30">
        <v>0</v>
      </c>
      <c r="D15" s="31" t="s">
        <v>24</v>
      </c>
      <c r="E15" s="20">
        <f>C15*7476.1</f>
        <v>0</v>
      </c>
      <c r="F15" s="20">
        <f>E15*12</f>
        <v>0</v>
      </c>
    </row>
    <row r="16" spans="1:6" ht="24" x14ac:dyDescent="0.2">
      <c r="A16" s="28"/>
      <c r="B16" s="29" t="s">
        <v>25</v>
      </c>
      <c r="C16" s="30">
        <v>0.25</v>
      </c>
      <c r="D16" s="32" t="s">
        <v>20</v>
      </c>
      <c r="E16" s="20">
        <f t="shared" ref="E16:E21" si="2">C16*7476.1</f>
        <v>1869.0250000000001</v>
      </c>
      <c r="F16" s="20">
        <f t="shared" ref="F16:F21" si="3">E16*12</f>
        <v>22428.300000000003</v>
      </c>
    </row>
    <row r="17" spans="1:9" x14ac:dyDescent="0.2">
      <c r="A17" s="28"/>
      <c r="B17" s="33" t="s">
        <v>26</v>
      </c>
      <c r="C17" s="30">
        <v>0.9</v>
      </c>
      <c r="D17" s="34"/>
      <c r="E17" s="20">
        <f t="shared" si="2"/>
        <v>6728.4900000000007</v>
      </c>
      <c r="F17" s="20">
        <f t="shared" si="3"/>
        <v>80741.88</v>
      </c>
    </row>
    <row r="18" spans="1:9" ht="41.1" customHeight="1" x14ac:dyDescent="0.2">
      <c r="A18" s="25"/>
      <c r="B18" s="35" t="s">
        <v>27</v>
      </c>
      <c r="C18" s="36"/>
      <c r="D18" s="37" t="s">
        <v>28</v>
      </c>
      <c r="E18" s="20">
        <f t="shared" si="2"/>
        <v>0</v>
      </c>
      <c r="F18" s="14"/>
    </row>
    <row r="19" spans="1:9" x14ac:dyDescent="0.2">
      <c r="A19" s="28"/>
      <c r="B19" s="38" t="s">
        <v>53</v>
      </c>
      <c r="C19" s="39">
        <v>0.05</v>
      </c>
      <c r="D19" s="40" t="s">
        <v>30</v>
      </c>
      <c r="E19" s="20">
        <f t="shared" si="2"/>
        <v>373.80500000000006</v>
      </c>
      <c r="F19" s="20">
        <f>E19*12</f>
        <v>4485.6600000000008</v>
      </c>
    </row>
    <row r="20" spans="1:9" x14ac:dyDescent="0.2">
      <c r="A20" s="19"/>
      <c r="B20" s="38" t="s">
        <v>54</v>
      </c>
      <c r="C20" s="41">
        <v>0.1</v>
      </c>
      <c r="D20" s="42" t="s">
        <v>29</v>
      </c>
      <c r="E20" s="20">
        <f t="shared" si="2"/>
        <v>747.61000000000013</v>
      </c>
      <c r="F20" s="20">
        <f t="shared" si="3"/>
        <v>8971.3200000000015</v>
      </c>
    </row>
    <row r="21" spans="1:9" x14ac:dyDescent="0.2">
      <c r="A21" s="28"/>
      <c r="B21" s="38" t="s">
        <v>71</v>
      </c>
      <c r="C21" s="41">
        <v>0.28000000000000003</v>
      </c>
      <c r="D21" s="42" t="s">
        <v>59</v>
      </c>
      <c r="E21" s="20">
        <f t="shared" si="2"/>
        <v>2093.3080000000004</v>
      </c>
      <c r="F21" s="20">
        <f t="shared" si="3"/>
        <v>25119.696000000004</v>
      </c>
    </row>
    <row r="22" spans="1:9" ht="38.25" x14ac:dyDescent="0.2">
      <c r="A22" s="23" t="s">
        <v>32</v>
      </c>
      <c r="B22" s="43" t="s">
        <v>33</v>
      </c>
      <c r="C22" s="81"/>
      <c r="D22" s="81"/>
      <c r="E22" s="14"/>
      <c r="F22" s="14"/>
      <c r="I22" s="1" t="s">
        <v>56</v>
      </c>
    </row>
    <row r="23" spans="1:9" x14ac:dyDescent="0.2">
      <c r="A23" s="81"/>
      <c r="B23" s="4" t="s">
        <v>34</v>
      </c>
      <c r="C23" s="81"/>
      <c r="D23" s="4"/>
      <c r="E23" s="14"/>
      <c r="F23" s="14"/>
    </row>
    <row r="24" spans="1:9" ht="26.25" x14ac:dyDescent="0.25">
      <c r="A24" s="25"/>
      <c r="B24" s="44" t="s">
        <v>35</v>
      </c>
      <c r="C24" s="83">
        <v>1.8</v>
      </c>
      <c r="D24" s="42" t="s">
        <v>59</v>
      </c>
      <c r="E24" s="18">
        <f>C24*7476.1</f>
        <v>13456.980000000001</v>
      </c>
      <c r="F24" s="18">
        <f>E24*12</f>
        <v>161483.76</v>
      </c>
    </row>
    <row r="25" spans="1:9" ht="15" x14ac:dyDescent="0.25">
      <c r="A25" s="81"/>
      <c r="B25" s="46" t="s">
        <v>37</v>
      </c>
      <c r="C25" s="81"/>
      <c r="D25" s="81"/>
      <c r="E25" s="18"/>
      <c r="F25" s="14"/>
    </row>
    <row r="26" spans="1:9" ht="15" x14ac:dyDescent="0.25">
      <c r="A26" s="82"/>
      <c r="B26" s="47" t="s">
        <v>38</v>
      </c>
      <c r="C26" s="83">
        <v>4.55</v>
      </c>
      <c r="D26" s="42" t="s">
        <v>59</v>
      </c>
      <c r="E26" s="18">
        <f>C26*7476.1</f>
        <v>34016.254999999997</v>
      </c>
      <c r="F26" s="18">
        <f>E26*12</f>
        <v>408195.05999999994</v>
      </c>
    </row>
    <row r="27" spans="1:9" ht="15" x14ac:dyDescent="0.25">
      <c r="A27" s="82"/>
      <c r="B27" s="91" t="s">
        <v>77</v>
      </c>
      <c r="C27" s="83">
        <v>1.7</v>
      </c>
      <c r="D27" s="42" t="s">
        <v>59</v>
      </c>
      <c r="E27" s="18">
        <f>C27*7476.1</f>
        <v>12709.37</v>
      </c>
      <c r="F27" s="18">
        <f>E27*12</f>
        <v>152512.44</v>
      </c>
    </row>
    <row r="28" spans="1:9" ht="51.75" x14ac:dyDescent="0.25">
      <c r="A28" s="24" t="s">
        <v>39</v>
      </c>
      <c r="B28" s="80" t="s">
        <v>57</v>
      </c>
      <c r="C28" s="79">
        <v>0.12</v>
      </c>
      <c r="D28" s="27" t="s">
        <v>72</v>
      </c>
      <c r="E28" s="18">
        <f t="shared" ref="E28:E32" si="4">C28*7476.1</f>
        <v>897.13200000000006</v>
      </c>
      <c r="F28" s="18">
        <f t="shared" ref="F28:F29" si="5">E28*12</f>
        <v>10765.584000000001</v>
      </c>
    </row>
    <row r="29" spans="1:9" ht="15" x14ac:dyDescent="0.25">
      <c r="A29" s="25" t="s">
        <v>41</v>
      </c>
      <c r="B29" s="48" t="s">
        <v>73</v>
      </c>
      <c r="C29" s="49">
        <v>2</v>
      </c>
      <c r="D29" s="50" t="s">
        <v>30</v>
      </c>
      <c r="E29" s="18">
        <f t="shared" si="4"/>
        <v>14952.2</v>
      </c>
      <c r="F29" s="51">
        <f t="shared" si="5"/>
        <v>179426.40000000002</v>
      </c>
      <c r="G29" s="62"/>
    </row>
    <row r="30" spans="1:9" ht="34.5" x14ac:dyDescent="0.25">
      <c r="A30" s="25"/>
      <c r="B30" s="52" t="s">
        <v>40</v>
      </c>
      <c r="C30" s="53"/>
      <c r="D30" s="50"/>
      <c r="E30" s="18">
        <f t="shared" si="4"/>
        <v>0</v>
      </c>
      <c r="F30" s="51"/>
    </row>
    <row r="31" spans="1:9" ht="15" x14ac:dyDescent="0.25">
      <c r="A31" s="25" t="s">
        <v>42</v>
      </c>
      <c r="B31" s="47" t="s">
        <v>74</v>
      </c>
      <c r="C31" s="53">
        <v>5.0999999999999996</v>
      </c>
      <c r="D31" s="50" t="s">
        <v>15</v>
      </c>
      <c r="E31" s="18">
        <f t="shared" si="4"/>
        <v>38128.11</v>
      </c>
      <c r="F31" s="18">
        <f>E31*12</f>
        <v>457537.32</v>
      </c>
    </row>
    <row r="32" spans="1:9" ht="15" x14ac:dyDescent="0.25">
      <c r="A32" s="25" t="s">
        <v>43</v>
      </c>
      <c r="B32" s="55" t="s">
        <v>44</v>
      </c>
      <c r="C32" s="53">
        <v>1.35</v>
      </c>
      <c r="D32" s="50" t="s">
        <v>15</v>
      </c>
      <c r="E32" s="18">
        <f t="shared" si="4"/>
        <v>10092.735000000001</v>
      </c>
      <c r="F32" s="18">
        <f t="shared" ref="F32" si="6">E32*12</f>
        <v>121112.82</v>
      </c>
    </row>
    <row r="33" spans="1:6" ht="15.75" x14ac:dyDescent="0.25">
      <c r="A33" s="25"/>
      <c r="B33" s="56" t="s">
        <v>46</v>
      </c>
      <c r="C33" s="57">
        <f>C10+C11+C12+C13+C14+C24+C26+C27+C28+C29+C31+C32</f>
        <v>22.5</v>
      </c>
      <c r="D33" s="50"/>
      <c r="E33" s="18">
        <f>E10+E11+E12+E13+E14+E24+E26+E27+E28+E29+E32+E31</f>
        <v>168212.25</v>
      </c>
      <c r="F33" s="18">
        <f>F10+F11+F12+F13+F14+F24+F26+F27+F28+F29+F31+F32</f>
        <v>2018547</v>
      </c>
    </row>
    <row r="34" spans="1:6" ht="15.75" x14ac:dyDescent="0.25">
      <c r="A34" s="58"/>
      <c r="B34" s="3"/>
      <c r="C34" s="59"/>
      <c r="D34" s="60"/>
    </row>
    <row r="35" spans="1:6" x14ac:dyDescent="0.2">
      <c r="A35" s="58"/>
      <c r="C35" s="66"/>
      <c r="E35" s="54"/>
    </row>
    <row r="36" spans="1:6" x14ac:dyDescent="0.2">
      <c r="A36" s="58"/>
      <c r="B36" s="2" t="s">
        <v>47</v>
      </c>
      <c r="C36" s="1" t="s">
        <v>58</v>
      </c>
    </row>
    <row r="37" spans="1:6" x14ac:dyDescent="0.2">
      <c r="B37" s="1" t="s">
        <v>48</v>
      </c>
      <c r="D37" s="1" t="s">
        <v>49</v>
      </c>
    </row>
    <row r="39" spans="1:6" x14ac:dyDescent="0.2">
      <c r="B39" s="1" t="s">
        <v>50</v>
      </c>
      <c r="D39" s="1" t="s">
        <v>51</v>
      </c>
    </row>
    <row r="40" spans="1:6" x14ac:dyDescent="0.2">
      <c r="B40" s="1" t="s">
        <v>52</v>
      </c>
      <c r="D40" s="1" t="s">
        <v>51</v>
      </c>
    </row>
    <row r="41" spans="1:6" x14ac:dyDescent="0.2">
      <c r="B41" s="1" t="s">
        <v>52</v>
      </c>
      <c r="D41" s="1" t="s">
        <v>51</v>
      </c>
    </row>
    <row r="42" spans="1:6" x14ac:dyDescent="0.2">
      <c r="B42" s="1" t="s">
        <v>52</v>
      </c>
      <c r="D42" s="1" t="s">
        <v>51</v>
      </c>
    </row>
    <row r="43" spans="1:6" x14ac:dyDescent="0.2">
      <c r="B43" s="1" t="s">
        <v>52</v>
      </c>
      <c r="D43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I42"/>
  <sheetViews>
    <sheetView topLeftCell="A7" workbookViewId="0">
      <selection activeCell="I36" sqref="I36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268</v>
      </c>
      <c r="C4" s="3"/>
      <c r="D4" s="3"/>
    </row>
    <row r="5" spans="1:6" x14ac:dyDescent="0.2">
      <c r="B5" s="3"/>
      <c r="C5" s="3"/>
      <c r="D5" s="3"/>
      <c r="F5" s="1">
        <v>3580.5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2.5</v>
      </c>
      <c r="D10" s="50" t="s">
        <v>15</v>
      </c>
      <c r="E10" s="18">
        <f>C10*3580.5</f>
        <v>8951.25</v>
      </c>
      <c r="F10" s="18">
        <f>E10*12</f>
        <v>107415</v>
      </c>
    </row>
    <row r="11" spans="1:6" ht="15" x14ac:dyDescent="0.25">
      <c r="A11" s="10"/>
      <c r="B11" s="15" t="s">
        <v>76</v>
      </c>
      <c r="C11" s="16">
        <v>0.3</v>
      </c>
      <c r="D11" s="88" t="s">
        <v>20</v>
      </c>
      <c r="E11" s="18">
        <f t="shared" ref="E11:E32" si="0">C11*3580.5</f>
        <v>1074.1499999999999</v>
      </c>
      <c r="F11" s="18">
        <f>E11*12</f>
        <v>12889.8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3222.4500000000003</v>
      </c>
      <c r="F12" s="18">
        <f t="shared" ref="F12:F13" si="1">E12*12</f>
        <v>38669.4</v>
      </c>
    </row>
    <row r="13" spans="1:6" ht="39" x14ac:dyDescent="0.25">
      <c r="A13" s="22" t="s">
        <v>18</v>
      </c>
      <c r="B13" s="15" t="s">
        <v>19</v>
      </c>
      <c r="C13" s="23">
        <v>0.48</v>
      </c>
      <c r="D13" s="88" t="s">
        <v>20</v>
      </c>
      <c r="E13" s="18">
        <f t="shared" si="0"/>
        <v>1718.6399999999999</v>
      </c>
      <c r="F13" s="18">
        <f t="shared" si="1"/>
        <v>20623.68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1.3900000000000001</v>
      </c>
      <c r="D14" s="27"/>
      <c r="E14" s="18">
        <f t="shared" si="0"/>
        <v>4976.8950000000004</v>
      </c>
      <c r="F14" s="18">
        <f>F15+F16+F17+F19+F20+F21</f>
        <v>59722.740000000005</v>
      </c>
    </row>
    <row r="15" spans="1:6" ht="15" x14ac:dyDescent="0.25">
      <c r="A15" s="28"/>
      <c r="B15" s="29" t="s">
        <v>23</v>
      </c>
      <c r="C15" s="30">
        <v>7.0000000000000007E-2</v>
      </c>
      <c r="D15" s="31" t="s">
        <v>24</v>
      </c>
      <c r="E15" s="18">
        <f t="shared" si="0"/>
        <v>250.63500000000002</v>
      </c>
      <c r="F15" s="20">
        <f>E15*12</f>
        <v>3007.6200000000003</v>
      </c>
    </row>
    <row r="16" spans="1:6" ht="24.75" x14ac:dyDescent="0.25">
      <c r="A16" s="28"/>
      <c r="B16" s="29" t="s">
        <v>25</v>
      </c>
      <c r="C16" s="30">
        <v>0.24</v>
      </c>
      <c r="D16" s="32" t="s">
        <v>20</v>
      </c>
      <c r="E16" s="18">
        <f t="shared" si="0"/>
        <v>859.31999999999994</v>
      </c>
      <c r="F16" s="20">
        <f t="shared" ref="F16:F21" si="2">E16*12</f>
        <v>10311.84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3222.4500000000003</v>
      </c>
      <c r="F17" s="20">
        <f t="shared" si="2"/>
        <v>38669.4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0.03</v>
      </c>
      <c r="D19" s="40" t="s">
        <v>30</v>
      </c>
      <c r="E19" s="18">
        <f t="shared" si="0"/>
        <v>107.41499999999999</v>
      </c>
      <c r="F19" s="20">
        <f>E19*12</f>
        <v>1288.98</v>
      </c>
    </row>
    <row r="20" spans="1:9" ht="15" x14ac:dyDescent="0.25">
      <c r="A20" s="19"/>
      <c r="B20" s="38" t="s">
        <v>54</v>
      </c>
      <c r="C20" s="41">
        <v>0.13</v>
      </c>
      <c r="D20" s="42" t="s">
        <v>29</v>
      </c>
      <c r="E20" s="18">
        <f t="shared" si="0"/>
        <v>465.46500000000003</v>
      </c>
      <c r="F20" s="20">
        <f t="shared" si="2"/>
        <v>5585.58</v>
      </c>
    </row>
    <row r="21" spans="1:9" ht="24.75" x14ac:dyDescent="0.25">
      <c r="A21" s="28"/>
      <c r="B21" s="38" t="s">
        <v>55</v>
      </c>
      <c r="C21" s="41">
        <v>0.02</v>
      </c>
      <c r="D21" s="42" t="s">
        <v>59</v>
      </c>
      <c r="E21" s="18">
        <f t="shared" si="0"/>
        <v>71.61</v>
      </c>
      <c r="F21" s="20">
        <f t="shared" si="2"/>
        <v>859.31999999999994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2.1</v>
      </c>
      <c r="D24" s="42" t="s">
        <v>59</v>
      </c>
      <c r="E24" s="18">
        <f t="shared" si="0"/>
        <v>7519.05</v>
      </c>
      <c r="F24" s="18">
        <f>E24*12</f>
        <v>90228.6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4"/>
    </row>
    <row r="26" spans="1:9" ht="15" x14ac:dyDescent="0.25">
      <c r="A26" s="82"/>
      <c r="B26" s="47" t="s">
        <v>38</v>
      </c>
      <c r="C26" s="83">
        <v>3.9</v>
      </c>
      <c r="D26" s="42" t="s">
        <v>59</v>
      </c>
      <c r="E26" s="18">
        <f t="shared" si="0"/>
        <v>13963.949999999999</v>
      </c>
      <c r="F26" s="18">
        <f>E26*12</f>
        <v>167567.4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429.65999999999997</v>
      </c>
      <c r="F27" s="18">
        <f t="shared" ref="F27:F28" si="3">E27*12</f>
        <v>5155.92</v>
      </c>
    </row>
    <row r="28" spans="1:9" ht="15" x14ac:dyDescent="0.25">
      <c r="A28" s="25" t="s">
        <v>41</v>
      </c>
      <c r="B28" s="48" t="s">
        <v>73</v>
      </c>
      <c r="C28" s="49">
        <v>2.5499999999999998</v>
      </c>
      <c r="D28" s="50" t="s">
        <v>30</v>
      </c>
      <c r="E28" s="18">
        <f t="shared" si="0"/>
        <v>9130.2749999999996</v>
      </c>
      <c r="F28" s="51">
        <f t="shared" si="3"/>
        <v>109563.29999999999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51"/>
    </row>
    <row r="30" spans="1:9" ht="15" x14ac:dyDescent="0.25">
      <c r="A30" s="25" t="s">
        <v>42</v>
      </c>
      <c r="B30" s="47" t="s">
        <v>74</v>
      </c>
      <c r="C30" s="53">
        <v>4</v>
      </c>
      <c r="D30" s="50" t="s">
        <v>15</v>
      </c>
      <c r="E30" s="18">
        <f t="shared" si="0"/>
        <v>14322</v>
      </c>
      <c r="F30" s="18">
        <f>E30*12</f>
        <v>171864</v>
      </c>
    </row>
    <row r="31" spans="1:9" ht="15" x14ac:dyDescent="0.25">
      <c r="A31" s="25" t="s">
        <v>43</v>
      </c>
      <c r="B31" s="55" t="s">
        <v>44</v>
      </c>
      <c r="C31" s="53">
        <v>1.1599999999999999</v>
      </c>
      <c r="D31" s="50" t="s">
        <v>15</v>
      </c>
      <c r="E31" s="18">
        <f t="shared" si="0"/>
        <v>4153.38</v>
      </c>
      <c r="F31" s="18">
        <f t="shared" ref="F31" si="4">E31*12</f>
        <v>49840.56</v>
      </c>
    </row>
    <row r="32" spans="1:9" ht="15.75" x14ac:dyDescent="0.25">
      <c r="A32" s="25"/>
      <c r="B32" s="56" t="s">
        <v>46</v>
      </c>
      <c r="C32" s="57">
        <f>C10+C11+C12+C13+C14+C24+C26+C27+C28+C30+C31</f>
        <v>19.399999999999999</v>
      </c>
      <c r="D32" s="50"/>
      <c r="E32" s="18">
        <f t="shared" si="0"/>
        <v>69461.7</v>
      </c>
      <c r="F32" s="18">
        <f>F10+F11+F12+F13+F14+F24+F26+F27+F28+F30+F31</f>
        <v>833540.39999999991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</sheetPr>
  <dimension ref="A1:I44"/>
  <sheetViews>
    <sheetView topLeftCell="A34" workbookViewId="0">
      <selection activeCell="K9" sqref="K9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269</v>
      </c>
      <c r="C4" s="3"/>
      <c r="D4" s="3"/>
    </row>
    <row r="5" spans="1:6" x14ac:dyDescent="0.2">
      <c r="B5" s="3"/>
      <c r="C5" s="3"/>
      <c r="D5" s="3"/>
      <c r="F5" s="1">
        <v>2421.6999999999998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3.43</v>
      </c>
      <c r="D10" s="50" t="s">
        <v>15</v>
      </c>
      <c r="E10" s="18">
        <f>C10*2421.7</f>
        <v>8306.4310000000005</v>
      </c>
      <c r="F10" s="18">
        <f>E10*12</f>
        <v>99677.172000000006</v>
      </c>
    </row>
    <row r="11" spans="1:6" ht="15" x14ac:dyDescent="0.25">
      <c r="A11" s="10"/>
      <c r="B11" s="15" t="s">
        <v>76</v>
      </c>
      <c r="C11" s="16">
        <v>0.18</v>
      </c>
      <c r="D11" s="88" t="s">
        <v>20</v>
      </c>
      <c r="E11" s="18">
        <f t="shared" ref="E11:E32" si="0">C11*2421.7</f>
        <v>435.90599999999995</v>
      </c>
      <c r="F11" s="18">
        <f>E11*12</f>
        <v>5230.8719999999994</v>
      </c>
    </row>
    <row r="12" spans="1:6" ht="39" x14ac:dyDescent="0.25">
      <c r="A12" s="10" t="s">
        <v>16</v>
      </c>
      <c r="B12" s="15" t="s">
        <v>17</v>
      </c>
      <c r="C12" s="21">
        <v>1.1000000000000001</v>
      </c>
      <c r="D12" s="50" t="s">
        <v>15</v>
      </c>
      <c r="E12" s="18">
        <f t="shared" si="0"/>
        <v>2663.87</v>
      </c>
      <c r="F12" s="18">
        <f t="shared" ref="F12:F13" si="1">E12*12</f>
        <v>31966.44</v>
      </c>
    </row>
    <row r="13" spans="1:6" ht="39" x14ac:dyDescent="0.25">
      <c r="A13" s="22" t="s">
        <v>18</v>
      </c>
      <c r="B13" s="15" t="s">
        <v>19</v>
      </c>
      <c r="C13" s="23">
        <v>0.42</v>
      </c>
      <c r="D13" s="88" t="s">
        <v>20</v>
      </c>
      <c r="E13" s="18">
        <f t="shared" si="0"/>
        <v>1017.1139999999999</v>
      </c>
      <c r="F13" s="18">
        <f t="shared" si="1"/>
        <v>12205.367999999999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1.57</v>
      </c>
      <c r="D14" s="27"/>
      <c r="E14" s="18">
        <f t="shared" si="0"/>
        <v>3802.069</v>
      </c>
      <c r="F14" s="18">
        <f>F15+F16+F17+F19+F20+F21</f>
        <v>45624.827999999994</v>
      </c>
    </row>
    <row r="15" spans="1:6" ht="15" x14ac:dyDescent="0.25">
      <c r="A15" s="28"/>
      <c r="B15" s="29" t="s">
        <v>23</v>
      </c>
      <c r="C15" s="30">
        <v>7.0000000000000007E-2</v>
      </c>
      <c r="D15" s="31" t="s">
        <v>24</v>
      </c>
      <c r="E15" s="18">
        <f t="shared" si="0"/>
        <v>169.51900000000001</v>
      </c>
      <c r="F15" s="20">
        <f>E15*12</f>
        <v>2034.2280000000001</v>
      </c>
    </row>
    <row r="16" spans="1:6" ht="24.75" x14ac:dyDescent="0.25">
      <c r="A16" s="28"/>
      <c r="B16" s="29" t="s">
        <v>25</v>
      </c>
      <c r="C16" s="30">
        <v>0.39</v>
      </c>
      <c r="D16" s="32" t="s">
        <v>20</v>
      </c>
      <c r="E16" s="18">
        <f t="shared" si="0"/>
        <v>944.46299999999997</v>
      </c>
      <c r="F16" s="20">
        <f t="shared" ref="F16:F21" si="2">E16*12</f>
        <v>11333.556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2179.5299999999997</v>
      </c>
      <c r="F17" s="20">
        <f t="shared" si="2"/>
        <v>26154.359999999997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0.02</v>
      </c>
      <c r="D19" s="40" t="s">
        <v>30</v>
      </c>
      <c r="E19" s="18">
        <f t="shared" si="0"/>
        <v>48.433999999999997</v>
      </c>
      <c r="F19" s="20">
        <f>E19*12</f>
        <v>581.20799999999997</v>
      </c>
    </row>
    <row r="20" spans="1:9" ht="15" x14ac:dyDescent="0.25">
      <c r="A20" s="19"/>
      <c r="B20" s="38" t="s">
        <v>54</v>
      </c>
      <c r="C20" s="41">
        <v>0.15</v>
      </c>
      <c r="D20" s="42" t="s">
        <v>29</v>
      </c>
      <c r="E20" s="18">
        <f t="shared" si="0"/>
        <v>363.25499999999994</v>
      </c>
      <c r="F20" s="20">
        <f t="shared" si="2"/>
        <v>4359.0599999999995</v>
      </c>
    </row>
    <row r="21" spans="1:9" ht="24.75" x14ac:dyDescent="0.25">
      <c r="A21" s="28"/>
      <c r="B21" s="38" t="s">
        <v>55</v>
      </c>
      <c r="C21" s="41">
        <v>0.04</v>
      </c>
      <c r="D21" s="42" t="s">
        <v>59</v>
      </c>
      <c r="E21" s="18">
        <f t="shared" si="0"/>
        <v>96.867999999999995</v>
      </c>
      <c r="F21" s="20">
        <f t="shared" si="2"/>
        <v>1162.4159999999999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3.68</v>
      </c>
      <c r="D24" s="42" t="s">
        <v>59</v>
      </c>
      <c r="E24" s="18">
        <f t="shared" si="0"/>
        <v>8911.8559999999998</v>
      </c>
      <c r="F24" s="18">
        <f>E24*12</f>
        <v>106942.272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4"/>
    </row>
    <row r="26" spans="1:9" ht="15" x14ac:dyDescent="0.25">
      <c r="A26" s="82"/>
      <c r="B26" s="47" t="s">
        <v>38</v>
      </c>
      <c r="C26" s="83">
        <v>0</v>
      </c>
      <c r="D26" s="83"/>
      <c r="E26" s="18">
        <f t="shared" si="0"/>
        <v>0</v>
      </c>
      <c r="F26" s="18">
        <f>E26*12</f>
        <v>0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290.60399999999998</v>
      </c>
      <c r="F27" s="18">
        <f t="shared" ref="F27:F28" si="3">E27*12</f>
        <v>3487.2479999999996</v>
      </c>
    </row>
    <row r="28" spans="1:9" ht="15" x14ac:dyDescent="0.25">
      <c r="A28" s="25" t="s">
        <v>41</v>
      </c>
      <c r="B28" s="48" t="s">
        <v>73</v>
      </c>
      <c r="C28" s="49">
        <v>4</v>
      </c>
      <c r="D28" s="50" t="s">
        <v>30</v>
      </c>
      <c r="E28" s="18">
        <f t="shared" si="0"/>
        <v>9686.7999999999993</v>
      </c>
      <c r="F28" s="51">
        <f t="shared" si="3"/>
        <v>116241.59999999999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51"/>
    </row>
    <row r="30" spans="1:9" ht="15" x14ac:dyDescent="0.25">
      <c r="A30" s="25" t="s">
        <v>42</v>
      </c>
      <c r="B30" s="47" t="s">
        <v>74</v>
      </c>
      <c r="C30" s="53">
        <v>4.8</v>
      </c>
      <c r="D30" s="50" t="s">
        <v>15</v>
      </c>
      <c r="E30" s="18">
        <f t="shared" si="0"/>
        <v>11624.159999999998</v>
      </c>
      <c r="F30" s="18">
        <f>E30*12</f>
        <v>139489.91999999998</v>
      </c>
    </row>
    <row r="31" spans="1:9" ht="15" x14ac:dyDescent="0.25">
      <c r="A31" s="25" t="s">
        <v>43</v>
      </c>
      <c r="B31" s="55" t="s">
        <v>44</v>
      </c>
      <c r="C31" s="53">
        <v>1.2</v>
      </c>
      <c r="D31" s="50" t="s">
        <v>15</v>
      </c>
      <c r="E31" s="18">
        <f t="shared" si="0"/>
        <v>2906.0399999999995</v>
      </c>
      <c r="F31" s="18">
        <f t="shared" ref="F31" si="4">E31*12</f>
        <v>34872.479999999996</v>
      </c>
    </row>
    <row r="32" spans="1:9" ht="15.75" x14ac:dyDescent="0.25">
      <c r="A32" s="25"/>
      <c r="B32" s="56" t="s">
        <v>46</v>
      </c>
      <c r="C32" s="57">
        <f>C10+C11+C12+C13+C14+C24+C26+C27+C28+C30+C31</f>
        <v>20.5</v>
      </c>
      <c r="D32" s="50"/>
      <c r="E32" s="18">
        <f t="shared" si="0"/>
        <v>49644.85</v>
      </c>
      <c r="F32" s="18">
        <f>F10+F11+F12+F13+F14+F24+F26+F27+F28+F30+F31</f>
        <v>595738.19999999995</v>
      </c>
    </row>
    <row r="33" spans="1:6" ht="15" x14ac:dyDescent="0.25">
      <c r="A33" s="58"/>
      <c r="B33" s="3" t="s">
        <v>66</v>
      </c>
      <c r="C33" s="78">
        <v>9.4</v>
      </c>
      <c r="D33" s="60"/>
      <c r="E33" s="61"/>
      <c r="F33" s="61"/>
    </row>
    <row r="34" spans="1:6" ht="15" x14ac:dyDescent="0.25">
      <c r="A34" s="58"/>
      <c r="B34" s="3"/>
      <c r="C34" s="78"/>
      <c r="D34" s="60"/>
    </row>
    <row r="35" spans="1:6" ht="15" x14ac:dyDescent="0.25">
      <c r="A35" s="58"/>
      <c r="B35" s="3" t="s">
        <v>67</v>
      </c>
      <c r="C35" s="78">
        <f>C32-C33</f>
        <v>11.1</v>
      </c>
      <c r="E35" s="54"/>
    </row>
    <row r="36" spans="1:6" ht="15" x14ac:dyDescent="0.25">
      <c r="A36" s="58"/>
      <c r="B36" s="3"/>
      <c r="C36" s="78"/>
      <c r="E36" s="54"/>
    </row>
    <row r="37" spans="1:6" x14ac:dyDescent="0.2">
      <c r="A37" s="58"/>
      <c r="B37" s="2" t="s">
        <v>47</v>
      </c>
      <c r="C37" s="1" t="s">
        <v>58</v>
      </c>
    </row>
    <row r="38" spans="1:6" x14ac:dyDescent="0.2">
      <c r="B38" s="1" t="s">
        <v>48</v>
      </c>
      <c r="D38" s="1" t="s">
        <v>49</v>
      </c>
    </row>
    <row r="40" spans="1:6" x14ac:dyDescent="0.2">
      <c r="B40" s="1" t="s">
        <v>50</v>
      </c>
      <c r="D40" s="1" t="s">
        <v>51</v>
      </c>
    </row>
    <row r="41" spans="1:6" x14ac:dyDescent="0.2">
      <c r="B41" s="1" t="s">
        <v>52</v>
      </c>
      <c r="D41" s="1" t="s">
        <v>51</v>
      </c>
    </row>
    <row r="42" spans="1:6" x14ac:dyDescent="0.2">
      <c r="B42" s="1" t="s">
        <v>52</v>
      </c>
      <c r="D42" s="1" t="s">
        <v>51</v>
      </c>
    </row>
    <row r="43" spans="1:6" x14ac:dyDescent="0.2">
      <c r="B43" s="1" t="s">
        <v>52</v>
      </c>
      <c r="D43" s="1" t="s">
        <v>51</v>
      </c>
    </row>
    <row r="44" spans="1:6" x14ac:dyDescent="0.2">
      <c r="B44" s="1" t="s">
        <v>52</v>
      </c>
      <c r="D44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I42"/>
  <sheetViews>
    <sheetView topLeftCell="A7" workbookViewId="0">
      <selection activeCell="H12" sqref="H12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271</v>
      </c>
      <c r="C4" s="3"/>
      <c r="D4" s="3"/>
    </row>
    <row r="5" spans="1:6" x14ac:dyDescent="0.2">
      <c r="B5" s="3"/>
      <c r="C5" s="3"/>
      <c r="D5" s="3"/>
      <c r="F5" s="1">
        <v>2138.6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2.46</v>
      </c>
      <c r="D10" s="50" t="s">
        <v>15</v>
      </c>
      <c r="E10" s="18">
        <f>C10*2138.6</f>
        <v>5260.9560000000001</v>
      </c>
      <c r="F10" s="18">
        <f>E10*12</f>
        <v>63131.472000000002</v>
      </c>
    </row>
    <row r="11" spans="1:6" ht="15" x14ac:dyDescent="0.25">
      <c r="A11" s="10"/>
      <c r="B11" s="15" t="s">
        <v>76</v>
      </c>
      <c r="C11" s="16">
        <v>0.15</v>
      </c>
      <c r="D11" s="88" t="s">
        <v>20</v>
      </c>
      <c r="E11" s="18">
        <f t="shared" ref="E11:E32" si="0">C11*2138.6</f>
        <v>320.78999999999996</v>
      </c>
      <c r="F11" s="18">
        <f>E11*12</f>
        <v>3849.4799999999996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1924.74</v>
      </c>
      <c r="F12" s="18">
        <f t="shared" ref="F12:F13" si="1">E12*12</f>
        <v>23096.880000000001</v>
      </c>
    </row>
    <row r="13" spans="1:6" ht="39" x14ac:dyDescent="0.25">
      <c r="A13" s="22" t="s">
        <v>18</v>
      </c>
      <c r="B13" s="15" t="s">
        <v>19</v>
      </c>
      <c r="C13" s="23">
        <v>0.35</v>
      </c>
      <c r="D13" s="88" t="s">
        <v>20</v>
      </c>
      <c r="E13" s="18">
        <f t="shared" si="0"/>
        <v>748.50999999999988</v>
      </c>
      <c r="F13" s="18">
        <f t="shared" si="1"/>
        <v>8982.119999999999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1.4900000000000002</v>
      </c>
      <c r="D14" s="27"/>
      <c r="E14" s="18">
        <f t="shared" si="0"/>
        <v>3186.5140000000001</v>
      </c>
      <c r="F14" s="18">
        <f>F15+F16+F17+F19+F20+F21</f>
        <v>38238.167999999998</v>
      </c>
    </row>
    <row r="15" spans="1:6" ht="15" x14ac:dyDescent="0.25">
      <c r="A15" s="28"/>
      <c r="B15" s="29" t="s">
        <v>23</v>
      </c>
      <c r="C15" s="30">
        <v>0.11</v>
      </c>
      <c r="D15" s="31" t="s">
        <v>24</v>
      </c>
      <c r="E15" s="18">
        <f t="shared" si="0"/>
        <v>235.24599999999998</v>
      </c>
      <c r="F15" s="20">
        <f>E15*12</f>
        <v>2822.9519999999998</v>
      </c>
    </row>
    <row r="16" spans="1:6" ht="24.75" x14ac:dyDescent="0.25">
      <c r="A16" s="28"/>
      <c r="B16" s="29" t="s">
        <v>25</v>
      </c>
      <c r="C16" s="30">
        <v>0.26</v>
      </c>
      <c r="D16" s="32" t="s">
        <v>20</v>
      </c>
      <c r="E16" s="18">
        <f t="shared" si="0"/>
        <v>556.03599999999994</v>
      </c>
      <c r="F16" s="20">
        <f t="shared" ref="F16:F21" si="2">E16*12</f>
        <v>6672.4319999999989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1924.74</v>
      </c>
      <c r="F17" s="20">
        <f t="shared" si="2"/>
        <v>23096.880000000001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0.03</v>
      </c>
      <c r="D19" s="40" t="s">
        <v>30</v>
      </c>
      <c r="E19" s="18">
        <f t="shared" si="0"/>
        <v>64.158000000000001</v>
      </c>
      <c r="F19" s="20">
        <f>E19*12</f>
        <v>769.89599999999996</v>
      </c>
    </row>
    <row r="20" spans="1:9" ht="15" x14ac:dyDescent="0.25">
      <c r="A20" s="19"/>
      <c r="B20" s="38" t="s">
        <v>54</v>
      </c>
      <c r="C20" s="41">
        <v>0.13</v>
      </c>
      <c r="D20" s="42" t="s">
        <v>29</v>
      </c>
      <c r="E20" s="18">
        <f t="shared" si="0"/>
        <v>278.01799999999997</v>
      </c>
      <c r="F20" s="20">
        <f t="shared" si="2"/>
        <v>3336.2159999999994</v>
      </c>
    </row>
    <row r="21" spans="1:9" ht="24.75" x14ac:dyDescent="0.25">
      <c r="A21" s="28"/>
      <c r="B21" s="38" t="s">
        <v>55</v>
      </c>
      <c r="C21" s="41">
        <v>0.06</v>
      </c>
      <c r="D21" s="42" t="s">
        <v>59</v>
      </c>
      <c r="E21" s="18">
        <f t="shared" si="0"/>
        <v>128.316</v>
      </c>
      <c r="F21" s="20">
        <f t="shared" si="2"/>
        <v>1539.7919999999999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3.8</v>
      </c>
      <c r="D24" s="42" t="s">
        <v>59</v>
      </c>
      <c r="E24" s="18">
        <f t="shared" si="0"/>
        <v>8126.6799999999994</v>
      </c>
      <c r="F24" s="18">
        <f>E24*12</f>
        <v>97520.159999999989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4"/>
    </row>
    <row r="26" spans="1:9" ht="15" x14ac:dyDescent="0.25">
      <c r="A26" s="82"/>
      <c r="B26" s="47" t="s">
        <v>38</v>
      </c>
      <c r="C26" s="83">
        <v>4.0999999999999996</v>
      </c>
      <c r="D26" s="42" t="s">
        <v>59</v>
      </c>
      <c r="E26" s="18">
        <f t="shared" si="0"/>
        <v>8768.2599999999984</v>
      </c>
      <c r="F26" s="18">
        <f>E26*12</f>
        <v>105219.11999999998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256.63200000000001</v>
      </c>
      <c r="F27" s="18">
        <f t="shared" ref="F27:F28" si="3">E27*12</f>
        <v>3079.5839999999998</v>
      </c>
    </row>
    <row r="28" spans="1:9" ht="15" x14ac:dyDescent="0.25">
      <c r="A28" s="25" t="s">
        <v>41</v>
      </c>
      <c r="B28" s="48" t="s">
        <v>73</v>
      </c>
      <c r="C28" s="49">
        <v>1.23</v>
      </c>
      <c r="D28" s="50" t="s">
        <v>30</v>
      </c>
      <c r="E28" s="18">
        <f t="shared" si="0"/>
        <v>2630.4780000000001</v>
      </c>
      <c r="F28" s="51">
        <f t="shared" si="3"/>
        <v>31565.736000000001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51"/>
    </row>
    <row r="30" spans="1:9" ht="15" x14ac:dyDescent="0.25">
      <c r="A30" s="25" t="s">
        <v>42</v>
      </c>
      <c r="B30" s="47" t="s">
        <v>74</v>
      </c>
      <c r="C30" s="53">
        <v>4.2</v>
      </c>
      <c r="D30" s="50" t="s">
        <v>15</v>
      </c>
      <c r="E30" s="18">
        <f t="shared" si="0"/>
        <v>8982.1200000000008</v>
      </c>
      <c r="F30" s="18">
        <f>E30*12</f>
        <v>107785.44</v>
      </c>
    </row>
    <row r="31" spans="1:9" ht="15" x14ac:dyDescent="0.25">
      <c r="A31" s="25" t="s">
        <v>43</v>
      </c>
      <c r="B31" s="55" t="s">
        <v>44</v>
      </c>
      <c r="C31" s="53">
        <v>1.2</v>
      </c>
      <c r="D31" s="50" t="s">
        <v>15</v>
      </c>
      <c r="E31" s="18">
        <f t="shared" si="0"/>
        <v>2566.3199999999997</v>
      </c>
      <c r="F31" s="18">
        <f t="shared" ref="F31" si="4">E31*12</f>
        <v>30795.839999999997</v>
      </c>
    </row>
    <row r="32" spans="1:9" ht="15.75" x14ac:dyDescent="0.25">
      <c r="A32" s="25"/>
      <c r="B32" s="56" t="s">
        <v>46</v>
      </c>
      <c r="C32" s="57">
        <f>C10+C11+C12+C13+C14+C24+C26+C27+C28+C30+C31</f>
        <v>19.999999999999996</v>
      </c>
      <c r="D32" s="50"/>
      <c r="E32" s="18">
        <f t="shared" si="0"/>
        <v>42771.999999999993</v>
      </c>
      <c r="F32" s="18">
        <f>F10+F11+F12+F13+F14+F24+F26+F27+F28+F30+F31</f>
        <v>513263.99999999988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I42"/>
  <sheetViews>
    <sheetView workbookViewId="0">
      <selection activeCell="J13" sqref="J13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270</v>
      </c>
      <c r="C4" s="3"/>
      <c r="D4" s="3"/>
    </row>
    <row r="5" spans="1:6" x14ac:dyDescent="0.2">
      <c r="B5" s="3"/>
      <c r="C5" s="3"/>
      <c r="D5" s="3"/>
      <c r="F5" s="1">
        <v>4471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4</v>
      </c>
      <c r="D10" s="50" t="s">
        <v>15</v>
      </c>
      <c r="E10" s="18">
        <f>C10*4471</f>
        <v>17884</v>
      </c>
      <c r="F10" s="18">
        <f>E10*12</f>
        <v>214608</v>
      </c>
    </row>
    <row r="11" spans="1:6" ht="15" x14ac:dyDescent="0.25">
      <c r="A11" s="10"/>
      <c r="B11" s="15" t="s">
        <v>76</v>
      </c>
      <c r="C11" s="16">
        <v>0.25</v>
      </c>
      <c r="D11" s="88" t="s">
        <v>20</v>
      </c>
      <c r="E11" s="18">
        <f t="shared" ref="E11:E32" si="0">C11*4471</f>
        <v>1117.75</v>
      </c>
      <c r="F11" s="18">
        <f>E11*12</f>
        <v>13413</v>
      </c>
    </row>
    <row r="12" spans="1:6" ht="39" x14ac:dyDescent="0.25">
      <c r="A12" s="10" t="s">
        <v>16</v>
      </c>
      <c r="B12" s="15" t="s">
        <v>17</v>
      </c>
      <c r="C12" s="16">
        <v>0.91</v>
      </c>
      <c r="D12" s="50" t="s">
        <v>15</v>
      </c>
      <c r="E12" s="18">
        <f t="shared" si="0"/>
        <v>4068.61</v>
      </c>
      <c r="F12" s="18">
        <f t="shared" ref="F12:F13" si="1">E12*12</f>
        <v>48823.32</v>
      </c>
    </row>
    <row r="13" spans="1:6" ht="39" x14ac:dyDescent="0.25">
      <c r="A13" s="22" t="s">
        <v>18</v>
      </c>
      <c r="B13" s="15" t="s">
        <v>19</v>
      </c>
      <c r="C13" s="23">
        <v>0.4</v>
      </c>
      <c r="D13" s="88" t="s">
        <v>20</v>
      </c>
      <c r="E13" s="18">
        <f t="shared" si="0"/>
        <v>1788.4</v>
      </c>
      <c r="F13" s="18">
        <f t="shared" si="1"/>
        <v>21460.800000000003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1.3800000000000001</v>
      </c>
      <c r="D14" s="27"/>
      <c r="E14" s="18">
        <f t="shared" si="0"/>
        <v>6169.9800000000005</v>
      </c>
      <c r="F14" s="18">
        <f>F15+F16+F17+F19+F20+F21</f>
        <v>74039.759999999995</v>
      </c>
    </row>
    <row r="15" spans="1:6" ht="15" x14ac:dyDescent="0.25">
      <c r="A15" s="28"/>
      <c r="B15" s="29" t="s">
        <v>23</v>
      </c>
      <c r="C15" s="30">
        <v>0.04</v>
      </c>
      <c r="D15" s="31" t="s">
        <v>24</v>
      </c>
      <c r="E15" s="18">
        <f t="shared" si="0"/>
        <v>178.84</v>
      </c>
      <c r="F15" s="20">
        <f>E15*12</f>
        <v>2146.08</v>
      </c>
    </row>
    <row r="16" spans="1:6" ht="24.75" x14ac:dyDescent="0.25">
      <c r="A16" s="28"/>
      <c r="B16" s="29" t="s">
        <v>25</v>
      </c>
      <c r="C16" s="30">
        <v>0.26</v>
      </c>
      <c r="D16" s="32" t="s">
        <v>20</v>
      </c>
      <c r="E16" s="18">
        <f t="shared" si="0"/>
        <v>1162.46</v>
      </c>
      <c r="F16" s="20">
        <f t="shared" ref="F16:F21" si="2">E16*12</f>
        <v>13949.52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4023.9</v>
      </c>
      <c r="F17" s="20">
        <f t="shared" si="2"/>
        <v>48286.8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0.02</v>
      </c>
      <c r="D19" s="40" t="s">
        <v>30</v>
      </c>
      <c r="E19" s="18">
        <f t="shared" si="0"/>
        <v>89.42</v>
      </c>
      <c r="F19" s="20">
        <f>E19*12</f>
        <v>1073.04</v>
      </c>
    </row>
    <row r="20" spans="1:9" ht="15" x14ac:dyDescent="0.25">
      <c r="A20" s="19"/>
      <c r="B20" s="38" t="s">
        <v>54</v>
      </c>
      <c r="C20" s="41">
        <v>0.13</v>
      </c>
      <c r="D20" s="42" t="s">
        <v>29</v>
      </c>
      <c r="E20" s="18">
        <f t="shared" si="0"/>
        <v>581.23</v>
      </c>
      <c r="F20" s="20">
        <f t="shared" si="2"/>
        <v>6974.76</v>
      </c>
    </row>
    <row r="21" spans="1:9" ht="24.75" x14ac:dyDescent="0.25">
      <c r="A21" s="28"/>
      <c r="B21" s="38" t="s">
        <v>55</v>
      </c>
      <c r="C21" s="41">
        <v>0.03</v>
      </c>
      <c r="D21" s="42" t="s">
        <v>59</v>
      </c>
      <c r="E21" s="18">
        <f t="shared" si="0"/>
        <v>134.13</v>
      </c>
      <c r="F21" s="20">
        <f t="shared" si="2"/>
        <v>1609.56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2.25</v>
      </c>
      <c r="D24" s="42" t="s">
        <v>59</v>
      </c>
      <c r="E24" s="18">
        <f t="shared" si="0"/>
        <v>10059.75</v>
      </c>
      <c r="F24" s="18">
        <f>E24*12</f>
        <v>120717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4"/>
    </row>
    <row r="26" spans="1:9" ht="15" x14ac:dyDescent="0.25">
      <c r="A26" s="82"/>
      <c r="B26" s="47" t="s">
        <v>38</v>
      </c>
      <c r="C26" s="83">
        <v>0</v>
      </c>
      <c r="D26" s="83"/>
      <c r="E26" s="18">
        <f t="shared" si="0"/>
        <v>0</v>
      </c>
      <c r="F26" s="18">
        <f>E26*12</f>
        <v>0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536.52</v>
      </c>
      <c r="F27" s="18">
        <f t="shared" ref="F27:F28" si="3">E27*12</f>
        <v>6438.24</v>
      </c>
    </row>
    <row r="28" spans="1:9" ht="15" x14ac:dyDescent="0.25">
      <c r="A28" s="25" t="s">
        <v>41</v>
      </c>
      <c r="B28" s="48" t="s">
        <v>73</v>
      </c>
      <c r="C28" s="49">
        <v>2.95</v>
      </c>
      <c r="D28" s="50" t="s">
        <v>30</v>
      </c>
      <c r="E28" s="18">
        <f t="shared" si="0"/>
        <v>13189.45</v>
      </c>
      <c r="F28" s="51">
        <f t="shared" si="3"/>
        <v>158273.40000000002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51"/>
    </row>
    <row r="30" spans="1:9" ht="15" x14ac:dyDescent="0.25">
      <c r="A30" s="25" t="s">
        <v>42</v>
      </c>
      <c r="B30" s="47" t="s">
        <v>74</v>
      </c>
      <c r="C30" s="53">
        <v>4</v>
      </c>
      <c r="D30" s="50" t="s">
        <v>15</v>
      </c>
      <c r="E30" s="18">
        <f t="shared" si="0"/>
        <v>17884</v>
      </c>
      <c r="F30" s="18">
        <f>E30*12</f>
        <v>214608</v>
      </c>
    </row>
    <row r="31" spans="1:9" ht="15" x14ac:dyDescent="0.25">
      <c r="A31" s="25" t="s">
        <v>43</v>
      </c>
      <c r="B31" s="55" t="s">
        <v>44</v>
      </c>
      <c r="C31" s="53">
        <v>1.04</v>
      </c>
      <c r="D31" s="50" t="s">
        <v>15</v>
      </c>
      <c r="E31" s="18">
        <f t="shared" si="0"/>
        <v>4649.84</v>
      </c>
      <c r="F31" s="18">
        <f t="shared" ref="F31" si="4">E31*12</f>
        <v>55798.080000000002</v>
      </c>
    </row>
    <row r="32" spans="1:9" ht="15.75" x14ac:dyDescent="0.25">
      <c r="A32" s="25"/>
      <c r="B32" s="56" t="s">
        <v>46</v>
      </c>
      <c r="C32" s="57">
        <f>C10+C11+C12+C13+C14+C24+C26+C27+C28+C30+C31</f>
        <v>17.3</v>
      </c>
      <c r="D32" s="50"/>
      <c r="E32" s="18">
        <f t="shared" si="0"/>
        <v>77348.3</v>
      </c>
      <c r="F32" s="18">
        <f>F10+F11+F12+F13+F14+F24+F26+F27+F28+F30+F31</f>
        <v>928179.6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</sheetPr>
  <dimension ref="A1:I42"/>
  <sheetViews>
    <sheetView workbookViewId="0">
      <selection activeCell="F36" sqref="F36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272</v>
      </c>
      <c r="C4" s="3"/>
      <c r="D4" s="3"/>
    </row>
    <row r="5" spans="1:6" x14ac:dyDescent="0.2">
      <c r="B5" s="3"/>
      <c r="C5" s="3"/>
      <c r="D5" s="3"/>
      <c r="F5" s="1">
        <v>2500.52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2.77</v>
      </c>
      <c r="D10" s="50" t="s">
        <v>15</v>
      </c>
      <c r="E10" s="18">
        <f>C10*2500.52</f>
        <v>6926.4404000000004</v>
      </c>
      <c r="F10" s="18">
        <f>E10*12</f>
        <v>83117.284800000009</v>
      </c>
    </row>
    <row r="11" spans="1:6" ht="15" x14ac:dyDescent="0.25">
      <c r="A11" s="10"/>
      <c r="B11" s="15" t="s">
        <v>76</v>
      </c>
      <c r="C11" s="16">
        <v>0.2</v>
      </c>
      <c r="D11" s="88" t="s">
        <v>20</v>
      </c>
      <c r="E11" s="18">
        <f t="shared" ref="E11:E32" si="0">C11*2500.52</f>
        <v>500.10400000000004</v>
      </c>
      <c r="F11" s="18">
        <f>E11*12</f>
        <v>6001.2480000000005</v>
      </c>
    </row>
    <row r="12" spans="1:6" ht="39" x14ac:dyDescent="0.25">
      <c r="A12" s="10" t="s">
        <v>16</v>
      </c>
      <c r="B12" s="15" t="s">
        <v>17</v>
      </c>
      <c r="C12" s="21">
        <v>0.9</v>
      </c>
      <c r="D12" s="50" t="s">
        <v>15</v>
      </c>
      <c r="E12" s="18">
        <f t="shared" si="0"/>
        <v>2250.4679999999998</v>
      </c>
      <c r="F12" s="18">
        <f t="shared" ref="F12:F13" si="1">E12*12</f>
        <v>27005.615999999998</v>
      </c>
    </row>
    <row r="13" spans="1:6" ht="39" x14ac:dyDescent="0.25">
      <c r="A13" s="22" t="s">
        <v>18</v>
      </c>
      <c r="B13" s="15" t="s">
        <v>19</v>
      </c>
      <c r="C13" s="23">
        <v>0.33</v>
      </c>
      <c r="D13" s="88" t="s">
        <v>20</v>
      </c>
      <c r="E13" s="18">
        <f t="shared" si="0"/>
        <v>825.17160000000001</v>
      </c>
      <c r="F13" s="18">
        <f t="shared" si="1"/>
        <v>9902.0591999999997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1.59</v>
      </c>
      <c r="D14" s="27"/>
      <c r="E14" s="18">
        <f t="shared" si="0"/>
        <v>3975.8268000000003</v>
      </c>
      <c r="F14" s="18">
        <f>F15+F16+F17+F19+F20+F21</f>
        <v>47709.921600000001</v>
      </c>
    </row>
    <row r="15" spans="1:6" ht="15" x14ac:dyDescent="0.25">
      <c r="A15" s="28"/>
      <c r="B15" s="29" t="s">
        <v>23</v>
      </c>
      <c r="C15" s="30">
        <v>0.1</v>
      </c>
      <c r="D15" s="31" t="s">
        <v>24</v>
      </c>
      <c r="E15" s="18">
        <f t="shared" si="0"/>
        <v>250.05200000000002</v>
      </c>
      <c r="F15" s="20">
        <f>E15*12</f>
        <v>3000.6240000000003</v>
      </c>
    </row>
    <row r="16" spans="1:6" ht="24.75" x14ac:dyDescent="0.25">
      <c r="A16" s="28"/>
      <c r="B16" s="29" t="s">
        <v>25</v>
      </c>
      <c r="C16" s="30">
        <v>0.4</v>
      </c>
      <c r="D16" s="32" t="s">
        <v>20</v>
      </c>
      <c r="E16" s="18">
        <f t="shared" si="0"/>
        <v>1000.2080000000001</v>
      </c>
      <c r="F16" s="20">
        <f t="shared" ref="F16:F21" si="2">E16*12</f>
        <v>12002.496000000001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2250.4679999999998</v>
      </c>
      <c r="F17" s="20">
        <f t="shared" si="2"/>
        <v>27005.615999999998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0.03</v>
      </c>
      <c r="D19" s="40" t="s">
        <v>30</v>
      </c>
      <c r="E19" s="18">
        <f t="shared" si="0"/>
        <v>75.015599999999992</v>
      </c>
      <c r="F19" s="20">
        <f>E19*12</f>
        <v>900.18719999999985</v>
      </c>
    </row>
    <row r="20" spans="1:9" ht="15" x14ac:dyDescent="0.25">
      <c r="A20" s="19"/>
      <c r="B20" s="38" t="s">
        <v>54</v>
      </c>
      <c r="C20" s="41">
        <v>0.13</v>
      </c>
      <c r="D20" s="42" t="s">
        <v>29</v>
      </c>
      <c r="E20" s="18">
        <f t="shared" si="0"/>
        <v>325.06760000000003</v>
      </c>
      <c r="F20" s="20">
        <f t="shared" si="2"/>
        <v>3900.8112000000001</v>
      </c>
    </row>
    <row r="21" spans="1:9" ht="24.75" x14ac:dyDescent="0.25">
      <c r="A21" s="28"/>
      <c r="B21" s="38" t="s">
        <v>55</v>
      </c>
      <c r="C21" s="41">
        <v>0.03</v>
      </c>
      <c r="D21" s="42" t="s">
        <v>59</v>
      </c>
      <c r="E21" s="18">
        <f t="shared" si="0"/>
        <v>75.015599999999992</v>
      </c>
      <c r="F21" s="20">
        <f t="shared" si="2"/>
        <v>900.18719999999985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3.25</v>
      </c>
      <c r="D24" s="42" t="s">
        <v>59</v>
      </c>
      <c r="E24" s="18">
        <f t="shared" si="0"/>
        <v>8126.69</v>
      </c>
      <c r="F24" s="18">
        <f>E24*12</f>
        <v>97520.28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4"/>
    </row>
    <row r="26" spans="1:9" ht="15" x14ac:dyDescent="0.25">
      <c r="A26" s="82"/>
      <c r="B26" s="47" t="s">
        <v>38</v>
      </c>
      <c r="C26" s="83">
        <v>0</v>
      </c>
      <c r="D26" s="83"/>
      <c r="E26" s="18">
        <f t="shared" si="0"/>
        <v>0</v>
      </c>
      <c r="F26" s="18">
        <f>E26*12</f>
        <v>0</v>
      </c>
    </row>
    <row r="27" spans="1:9" ht="51.75" x14ac:dyDescent="0.25">
      <c r="A27" s="24" t="s">
        <v>39</v>
      </c>
      <c r="B27" s="80" t="s">
        <v>57</v>
      </c>
      <c r="C27" s="79">
        <v>0.1</v>
      </c>
      <c r="D27" s="27" t="s">
        <v>72</v>
      </c>
      <c r="E27" s="18">
        <f t="shared" si="0"/>
        <v>250.05200000000002</v>
      </c>
      <c r="F27" s="18">
        <f t="shared" ref="F27:F28" si="3">E27*12</f>
        <v>3000.6240000000003</v>
      </c>
    </row>
    <row r="28" spans="1:9" ht="15" x14ac:dyDescent="0.25">
      <c r="A28" s="25" t="s">
        <v>41</v>
      </c>
      <c r="B28" s="48" t="s">
        <v>73</v>
      </c>
      <c r="C28" s="49">
        <v>2.95</v>
      </c>
      <c r="D28" s="50" t="s">
        <v>30</v>
      </c>
      <c r="E28" s="18">
        <f t="shared" si="0"/>
        <v>7376.5340000000006</v>
      </c>
      <c r="F28" s="51">
        <f t="shared" si="3"/>
        <v>88518.40800000001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51"/>
    </row>
    <row r="30" spans="1:9" ht="15" x14ac:dyDescent="0.25">
      <c r="A30" s="25" t="s">
        <v>42</v>
      </c>
      <c r="B30" s="47" t="s">
        <v>74</v>
      </c>
      <c r="C30" s="53">
        <v>3.7</v>
      </c>
      <c r="D30" s="50" t="s">
        <v>15</v>
      </c>
      <c r="E30" s="18">
        <f t="shared" si="0"/>
        <v>9251.9240000000009</v>
      </c>
      <c r="F30" s="18">
        <f>E30*12</f>
        <v>111023.08800000002</v>
      </c>
    </row>
    <row r="31" spans="1:9" ht="15" x14ac:dyDescent="0.25">
      <c r="A31" s="25" t="s">
        <v>43</v>
      </c>
      <c r="B31" s="55" t="s">
        <v>44</v>
      </c>
      <c r="C31" s="53">
        <v>1.01</v>
      </c>
      <c r="D31" s="50" t="s">
        <v>15</v>
      </c>
      <c r="E31" s="18">
        <f t="shared" si="0"/>
        <v>2525.5252</v>
      </c>
      <c r="F31" s="18">
        <f t="shared" ref="F31" si="4">E31*12</f>
        <v>30306.3024</v>
      </c>
    </row>
    <row r="32" spans="1:9" ht="15.75" x14ac:dyDescent="0.25">
      <c r="A32" s="25"/>
      <c r="B32" s="56" t="s">
        <v>46</v>
      </c>
      <c r="C32" s="57">
        <f>C10+C11+C12+C13+C14+C24+C26+C27+C28+C30+C31</f>
        <v>16.8</v>
      </c>
      <c r="D32" s="50"/>
      <c r="E32" s="18">
        <f t="shared" si="0"/>
        <v>42008.736000000004</v>
      </c>
      <c r="F32" s="18">
        <f>F10+F11+F12+F13+F14+F24+F26+F27+F28+F30+F31</f>
        <v>504104.83199999999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</sheetPr>
  <dimension ref="A1:I42"/>
  <sheetViews>
    <sheetView topLeftCell="B1" workbookViewId="0">
      <selection activeCell="I38" sqref="I38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273</v>
      </c>
      <c r="C4" s="3"/>
      <c r="D4" s="3"/>
    </row>
    <row r="5" spans="1:6" x14ac:dyDescent="0.2">
      <c r="B5" s="3"/>
      <c r="C5" s="3"/>
      <c r="D5" s="3"/>
      <c r="F5" s="1">
        <v>4358.8999999999996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3.34</v>
      </c>
      <c r="D10" s="50" t="s">
        <v>15</v>
      </c>
      <c r="E10" s="18">
        <f>C10*4358.9</f>
        <v>14558.725999999999</v>
      </c>
      <c r="F10" s="18">
        <f>E10*12</f>
        <v>174704.712</v>
      </c>
    </row>
    <row r="11" spans="1:6" ht="15" x14ac:dyDescent="0.25">
      <c r="A11" s="10"/>
      <c r="B11" s="15" t="s">
        <v>76</v>
      </c>
      <c r="C11" s="16">
        <v>0.3</v>
      </c>
      <c r="D11" s="88" t="s">
        <v>20</v>
      </c>
      <c r="E11" s="18">
        <f t="shared" ref="E11:E32" si="0">C11*4358.9</f>
        <v>1307.6699999999998</v>
      </c>
      <c r="F11" s="18">
        <f>E11*12</f>
        <v>15692.039999999997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3923.0099999999998</v>
      </c>
      <c r="F12" s="18">
        <f t="shared" ref="F12:F13" si="1">E12*12</f>
        <v>47076.119999999995</v>
      </c>
    </row>
    <row r="13" spans="1:6" ht="39" x14ac:dyDescent="0.25">
      <c r="A13" s="22" t="s">
        <v>18</v>
      </c>
      <c r="B13" s="15" t="s">
        <v>19</v>
      </c>
      <c r="C13" s="23">
        <v>0.32</v>
      </c>
      <c r="D13" s="88" t="s">
        <v>20</v>
      </c>
      <c r="E13" s="18">
        <f t="shared" si="0"/>
        <v>1394.848</v>
      </c>
      <c r="F13" s="18">
        <f t="shared" si="1"/>
        <v>16738.175999999999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1.4100000000000001</v>
      </c>
      <c r="D14" s="27"/>
      <c r="E14" s="18">
        <f t="shared" si="0"/>
        <v>6146.049</v>
      </c>
      <c r="F14" s="18">
        <f>F15+F16+F17+F19+F20+F21</f>
        <v>73752.587999999989</v>
      </c>
    </row>
    <row r="15" spans="1:6" ht="15" x14ac:dyDescent="0.25">
      <c r="A15" s="28"/>
      <c r="B15" s="29" t="s">
        <v>23</v>
      </c>
      <c r="C15" s="30">
        <v>0.1</v>
      </c>
      <c r="D15" s="31" t="s">
        <v>24</v>
      </c>
      <c r="E15" s="18">
        <f t="shared" si="0"/>
        <v>435.89</v>
      </c>
      <c r="F15" s="20">
        <f>E15*12</f>
        <v>5230.68</v>
      </c>
    </row>
    <row r="16" spans="1:6" ht="24.75" x14ac:dyDescent="0.25">
      <c r="A16" s="28"/>
      <c r="B16" s="29" t="s">
        <v>25</v>
      </c>
      <c r="C16" s="30">
        <v>0.26</v>
      </c>
      <c r="D16" s="32" t="s">
        <v>20</v>
      </c>
      <c r="E16" s="18">
        <f t="shared" si="0"/>
        <v>1133.3139999999999</v>
      </c>
      <c r="F16" s="20">
        <f t="shared" ref="F16:F21" si="2">E16*12</f>
        <v>13599.767999999998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3923.0099999999998</v>
      </c>
      <c r="F17" s="20">
        <f t="shared" si="2"/>
        <v>47076.119999999995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0.01</v>
      </c>
      <c r="D19" s="40" t="s">
        <v>30</v>
      </c>
      <c r="E19" s="18">
        <f t="shared" si="0"/>
        <v>43.588999999999999</v>
      </c>
      <c r="F19" s="20">
        <f>E19*12</f>
        <v>523.06799999999998</v>
      </c>
    </row>
    <row r="20" spans="1:9" ht="15" x14ac:dyDescent="0.25">
      <c r="A20" s="19"/>
      <c r="B20" s="38" t="s">
        <v>54</v>
      </c>
      <c r="C20" s="41">
        <v>0.11</v>
      </c>
      <c r="D20" s="42" t="s">
        <v>29</v>
      </c>
      <c r="E20" s="18">
        <f t="shared" si="0"/>
        <v>479.47899999999998</v>
      </c>
      <c r="F20" s="20">
        <f t="shared" si="2"/>
        <v>5753.7479999999996</v>
      </c>
    </row>
    <row r="21" spans="1:9" ht="24.75" x14ac:dyDescent="0.25">
      <c r="A21" s="28"/>
      <c r="B21" s="38" t="s">
        <v>55</v>
      </c>
      <c r="C21" s="41">
        <v>0.03</v>
      </c>
      <c r="D21" s="42" t="s">
        <v>59</v>
      </c>
      <c r="E21" s="18">
        <f t="shared" si="0"/>
        <v>130.767</v>
      </c>
      <c r="F21" s="20">
        <f t="shared" si="2"/>
        <v>1569.204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2.4</v>
      </c>
      <c r="D24" s="42" t="s">
        <v>59</v>
      </c>
      <c r="E24" s="18">
        <f t="shared" si="0"/>
        <v>10461.359999999999</v>
      </c>
      <c r="F24" s="18">
        <f>E24*12</f>
        <v>125536.31999999998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4"/>
    </row>
    <row r="26" spans="1:9" ht="15" x14ac:dyDescent="0.25">
      <c r="A26" s="82"/>
      <c r="B26" s="47" t="s">
        <v>38</v>
      </c>
      <c r="C26" s="83">
        <v>0</v>
      </c>
      <c r="D26" s="83"/>
      <c r="E26" s="18">
        <f t="shared" si="0"/>
        <v>0</v>
      </c>
      <c r="F26" s="18">
        <f>E26*12</f>
        <v>0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523.06799999999998</v>
      </c>
      <c r="F27" s="18">
        <f t="shared" ref="F27:F28" si="3">E27*12</f>
        <v>6276.8159999999998</v>
      </c>
    </row>
    <row r="28" spans="1:9" ht="15" x14ac:dyDescent="0.25">
      <c r="A28" s="25" t="s">
        <v>41</v>
      </c>
      <c r="B28" s="48" t="s">
        <v>73</v>
      </c>
      <c r="C28" s="49">
        <v>2.7</v>
      </c>
      <c r="D28" s="50" t="s">
        <v>30</v>
      </c>
      <c r="E28" s="18">
        <f t="shared" si="0"/>
        <v>11769.03</v>
      </c>
      <c r="F28" s="51">
        <f t="shared" si="3"/>
        <v>141228.36000000002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51"/>
    </row>
    <row r="30" spans="1:9" ht="15" x14ac:dyDescent="0.25">
      <c r="A30" s="25" t="s">
        <v>42</v>
      </c>
      <c r="B30" s="47" t="s">
        <v>74</v>
      </c>
      <c r="C30" s="53">
        <v>4.3</v>
      </c>
      <c r="D30" s="50" t="s">
        <v>15</v>
      </c>
      <c r="E30" s="18">
        <f t="shared" si="0"/>
        <v>18743.269999999997</v>
      </c>
      <c r="F30" s="18">
        <f>E30*12</f>
        <v>224919.23999999996</v>
      </c>
    </row>
    <row r="31" spans="1:9" ht="15" x14ac:dyDescent="0.25">
      <c r="A31" s="25" t="s">
        <v>43</v>
      </c>
      <c r="B31" s="55" t="s">
        <v>44</v>
      </c>
      <c r="C31" s="53">
        <v>1.01</v>
      </c>
      <c r="D31" s="50" t="s">
        <v>15</v>
      </c>
      <c r="E31" s="18">
        <f t="shared" si="0"/>
        <v>4402.4889999999996</v>
      </c>
      <c r="F31" s="18">
        <f t="shared" ref="F31" si="4">E31*12</f>
        <v>52829.867999999995</v>
      </c>
    </row>
    <row r="32" spans="1:9" ht="15.75" x14ac:dyDescent="0.25">
      <c r="A32" s="25"/>
      <c r="B32" s="56" t="s">
        <v>46</v>
      </c>
      <c r="C32" s="57">
        <f>C10+C11+C12+C13+C14+C24+C26+C27+C28+C30+C31</f>
        <v>16.8</v>
      </c>
      <c r="D32" s="50"/>
      <c r="E32" s="18">
        <f t="shared" si="0"/>
        <v>73229.52</v>
      </c>
      <c r="F32" s="18">
        <f>F10+F11+F12+F13+F14+F24+F26+F27+F28+F30+F31</f>
        <v>878754.24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92D050"/>
  </sheetPr>
  <dimension ref="A1:I42"/>
  <sheetViews>
    <sheetView workbookViewId="0">
      <selection activeCell="J8" sqref="J8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274</v>
      </c>
      <c r="C4" s="3"/>
      <c r="D4" s="3"/>
    </row>
    <row r="5" spans="1:6" x14ac:dyDescent="0.2">
      <c r="B5" s="3"/>
      <c r="C5" s="3"/>
      <c r="D5" s="3"/>
      <c r="F5" s="1">
        <v>4314.57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3.18</v>
      </c>
      <c r="D10" s="50" t="s">
        <v>15</v>
      </c>
      <c r="E10" s="18">
        <f>C10*4314.57</f>
        <v>13720.3326</v>
      </c>
      <c r="F10" s="18">
        <f>E10*12</f>
        <v>164643.99119999999</v>
      </c>
    </row>
    <row r="11" spans="1:6" ht="15" x14ac:dyDescent="0.25">
      <c r="A11" s="10"/>
      <c r="B11" s="15" t="s">
        <v>76</v>
      </c>
      <c r="C11" s="16">
        <v>0.2</v>
      </c>
      <c r="D11" s="88" t="s">
        <v>20</v>
      </c>
      <c r="E11" s="18">
        <f t="shared" ref="E11:E32" si="0">C11*4314.57</f>
        <v>862.91399999999999</v>
      </c>
      <c r="F11" s="18">
        <f>E11*12</f>
        <v>10354.968000000001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3883.1129999999998</v>
      </c>
      <c r="F12" s="18">
        <f t="shared" ref="F12:F13" si="1">E12*12</f>
        <v>46597.356</v>
      </c>
    </row>
    <row r="13" spans="1:6" ht="39" x14ac:dyDescent="0.25">
      <c r="A13" s="116" t="s">
        <v>18</v>
      </c>
      <c r="B13" s="15" t="s">
        <v>19</v>
      </c>
      <c r="C13" s="23">
        <v>0.37</v>
      </c>
      <c r="D13" s="88" t="s">
        <v>20</v>
      </c>
      <c r="E13" s="18">
        <f t="shared" si="0"/>
        <v>1596.3908999999999</v>
      </c>
      <c r="F13" s="18">
        <f t="shared" si="1"/>
        <v>19156.690799999997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1.38</v>
      </c>
      <c r="D14" s="27"/>
      <c r="E14" s="18">
        <f t="shared" si="0"/>
        <v>5954.1065999999992</v>
      </c>
      <c r="F14" s="18">
        <f>F15+F16+F17+F19+F20+F21</f>
        <v>71449.27919999999</v>
      </c>
    </row>
    <row r="15" spans="1:6" ht="15" x14ac:dyDescent="0.25">
      <c r="A15" s="28"/>
      <c r="B15" s="29" t="s">
        <v>23</v>
      </c>
      <c r="C15" s="30">
        <v>0.06</v>
      </c>
      <c r="D15" s="31" t="s">
        <v>24</v>
      </c>
      <c r="E15" s="18">
        <f t="shared" si="0"/>
        <v>258.87419999999997</v>
      </c>
      <c r="F15" s="20">
        <f>E15*12</f>
        <v>3106.4903999999997</v>
      </c>
    </row>
    <row r="16" spans="1:6" ht="24.75" x14ac:dyDescent="0.25">
      <c r="A16" s="28"/>
      <c r="B16" s="29" t="s">
        <v>25</v>
      </c>
      <c r="C16" s="30">
        <v>0.26</v>
      </c>
      <c r="D16" s="32" t="s">
        <v>20</v>
      </c>
      <c r="E16" s="18">
        <f t="shared" si="0"/>
        <v>1121.7882</v>
      </c>
      <c r="F16" s="20">
        <f t="shared" ref="F16:F21" si="2">E16*12</f>
        <v>13461.4584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3883.1129999999998</v>
      </c>
      <c r="F17" s="20">
        <f t="shared" si="2"/>
        <v>46597.356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0.02</v>
      </c>
      <c r="D19" s="40" t="s">
        <v>30</v>
      </c>
      <c r="E19" s="18">
        <f t="shared" si="0"/>
        <v>86.291399999999996</v>
      </c>
      <c r="F19" s="20">
        <f>E19*12</f>
        <v>1035.4967999999999</v>
      </c>
    </row>
    <row r="20" spans="1:9" ht="15" x14ac:dyDescent="0.25">
      <c r="A20" s="19"/>
      <c r="B20" s="38" t="s">
        <v>54</v>
      </c>
      <c r="C20" s="41">
        <v>0.12</v>
      </c>
      <c r="D20" s="42" t="s">
        <v>29</v>
      </c>
      <c r="E20" s="18">
        <f t="shared" si="0"/>
        <v>517.74839999999995</v>
      </c>
      <c r="F20" s="20">
        <f t="shared" si="2"/>
        <v>6212.9807999999994</v>
      </c>
    </row>
    <row r="21" spans="1:9" ht="24.75" x14ac:dyDescent="0.25">
      <c r="A21" s="28"/>
      <c r="B21" s="38" t="s">
        <v>55</v>
      </c>
      <c r="C21" s="41">
        <v>0.02</v>
      </c>
      <c r="D21" s="115" t="s">
        <v>36</v>
      </c>
      <c r="E21" s="18">
        <f t="shared" si="0"/>
        <v>86.291399999999996</v>
      </c>
      <c r="F21" s="20">
        <f t="shared" si="2"/>
        <v>1035.4967999999999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2.2000000000000002</v>
      </c>
      <c r="D24" s="115" t="s">
        <v>36</v>
      </c>
      <c r="E24" s="18">
        <f t="shared" si="0"/>
        <v>9492.0540000000001</v>
      </c>
      <c r="F24" s="18">
        <f>E24*12</f>
        <v>113904.648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4"/>
    </row>
    <row r="26" spans="1:9" ht="15" x14ac:dyDescent="0.25">
      <c r="A26" s="82"/>
      <c r="B26" s="47" t="s">
        <v>38</v>
      </c>
      <c r="C26" s="83">
        <v>2.99</v>
      </c>
      <c r="D26" s="108" t="s">
        <v>36</v>
      </c>
      <c r="E26" s="18">
        <f t="shared" si="0"/>
        <v>12900.5643</v>
      </c>
      <c r="F26" s="18">
        <f>E26*12</f>
        <v>154806.77160000001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517.74839999999995</v>
      </c>
      <c r="F27" s="18">
        <f t="shared" ref="F27:F28" si="3">E27*12</f>
        <v>6212.9807999999994</v>
      </c>
    </row>
    <row r="28" spans="1:9" ht="15" x14ac:dyDescent="0.25">
      <c r="A28" s="25" t="s">
        <v>41</v>
      </c>
      <c r="B28" s="48" t="s">
        <v>73</v>
      </c>
      <c r="C28" s="49">
        <v>4</v>
      </c>
      <c r="D28" s="50" t="s">
        <v>30</v>
      </c>
      <c r="E28" s="18">
        <f t="shared" si="0"/>
        <v>17258.28</v>
      </c>
      <c r="F28" s="51">
        <f t="shared" si="3"/>
        <v>207099.36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51"/>
    </row>
    <row r="30" spans="1:9" ht="15" x14ac:dyDescent="0.25">
      <c r="A30" s="25" t="s">
        <v>42</v>
      </c>
      <c r="B30" s="47" t="s">
        <v>74</v>
      </c>
      <c r="C30" s="53">
        <v>4.4000000000000004</v>
      </c>
      <c r="D30" s="50" t="s">
        <v>15</v>
      </c>
      <c r="E30" s="18">
        <f t="shared" si="0"/>
        <v>18984.108</v>
      </c>
      <c r="F30" s="18">
        <f>E30*12</f>
        <v>227809.296</v>
      </c>
    </row>
    <row r="31" spans="1:9" ht="15" x14ac:dyDescent="0.25">
      <c r="A31" s="25" t="s">
        <v>43</v>
      </c>
      <c r="B31" s="55" t="s">
        <v>44</v>
      </c>
      <c r="C31" s="53">
        <v>1.26</v>
      </c>
      <c r="D31" s="50" t="s">
        <v>15</v>
      </c>
      <c r="E31" s="18">
        <f t="shared" si="0"/>
        <v>5436.3581999999997</v>
      </c>
      <c r="F31" s="18">
        <f t="shared" ref="F31" si="4">E31*12</f>
        <v>65236.2984</v>
      </c>
    </row>
    <row r="32" spans="1:9" ht="15.75" x14ac:dyDescent="0.25">
      <c r="A32" s="25"/>
      <c r="B32" s="56" t="s">
        <v>46</v>
      </c>
      <c r="C32" s="57">
        <f>C10+C11+C12+C13+C14+C24+C26+C27+C28+C30+C31</f>
        <v>21.000000000000004</v>
      </c>
      <c r="D32" s="50"/>
      <c r="E32" s="18">
        <f t="shared" si="0"/>
        <v>90605.970000000016</v>
      </c>
      <c r="F32" s="18">
        <f>F10+F11+F12+F13+F14+F24+F26+F27+F28+F30+F31</f>
        <v>1087271.6399999999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92D050"/>
  </sheetPr>
  <dimension ref="A1:I42"/>
  <sheetViews>
    <sheetView workbookViewId="0">
      <selection activeCell="J7" sqref="J7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275</v>
      </c>
      <c r="C4" s="3"/>
      <c r="D4" s="3"/>
    </row>
    <row r="5" spans="1:6" x14ac:dyDescent="0.2">
      <c r="B5" s="3"/>
      <c r="C5" s="3"/>
      <c r="D5" s="3"/>
      <c r="F5" s="1">
        <v>5310.5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</v>
      </c>
      <c r="D10" s="50" t="s">
        <v>15</v>
      </c>
      <c r="E10" s="18">
        <f>C10*5310.5</f>
        <v>15931.5</v>
      </c>
      <c r="F10" s="18">
        <f>E10*12</f>
        <v>191178</v>
      </c>
    </row>
    <row r="11" spans="1:6" ht="15" x14ac:dyDescent="0.25">
      <c r="A11" s="10"/>
      <c r="B11" s="15" t="s">
        <v>76</v>
      </c>
      <c r="C11" s="16">
        <v>0.2</v>
      </c>
      <c r="D11" s="88" t="s">
        <v>20</v>
      </c>
      <c r="E11" s="18">
        <f t="shared" ref="E11:E32" si="0">C11*5310.5</f>
        <v>1062.1000000000001</v>
      </c>
      <c r="F11" s="18">
        <f>E11*12</f>
        <v>12745.2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4779.45</v>
      </c>
      <c r="F12" s="18">
        <f t="shared" ref="F12:F13" si="1">E12*12</f>
        <v>57353.399999999994</v>
      </c>
    </row>
    <row r="13" spans="1:6" ht="39" x14ac:dyDescent="0.25">
      <c r="A13" s="22" t="s">
        <v>18</v>
      </c>
      <c r="B13" s="15" t="s">
        <v>19</v>
      </c>
      <c r="C13" s="23">
        <v>0.43</v>
      </c>
      <c r="D13" s="88" t="s">
        <v>20</v>
      </c>
      <c r="E13" s="18">
        <f t="shared" si="0"/>
        <v>2283.5149999999999</v>
      </c>
      <c r="F13" s="18">
        <f t="shared" si="1"/>
        <v>27402.18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1.4</v>
      </c>
      <c r="D14" s="27"/>
      <c r="E14" s="18">
        <f t="shared" si="0"/>
        <v>7434.7</v>
      </c>
      <c r="F14" s="18">
        <f>F15+F16+F17+F19+F20+F21</f>
        <v>89216.4</v>
      </c>
    </row>
    <row r="15" spans="1:6" ht="15" x14ac:dyDescent="0.25">
      <c r="A15" s="28"/>
      <c r="B15" s="29" t="s">
        <v>23</v>
      </c>
      <c r="C15" s="89">
        <v>0.08</v>
      </c>
      <c r="D15" s="31" t="s">
        <v>24</v>
      </c>
      <c r="E15" s="18">
        <f t="shared" si="0"/>
        <v>424.84000000000003</v>
      </c>
      <c r="F15" s="20">
        <f>E15*12</f>
        <v>5098.08</v>
      </c>
    </row>
    <row r="16" spans="1:6" ht="24.75" x14ac:dyDescent="0.25">
      <c r="A16" s="28"/>
      <c r="B16" s="29" t="s">
        <v>25</v>
      </c>
      <c r="C16" s="89">
        <v>0.26</v>
      </c>
      <c r="D16" s="32" t="s">
        <v>20</v>
      </c>
      <c r="E16" s="18">
        <f t="shared" si="0"/>
        <v>1380.73</v>
      </c>
      <c r="F16" s="20">
        <f t="shared" ref="F16:F21" si="2">E16*12</f>
        <v>16568.760000000002</v>
      </c>
    </row>
    <row r="17" spans="1:9" ht="15" x14ac:dyDescent="0.25">
      <c r="A17" s="28"/>
      <c r="B17" s="33" t="s">
        <v>26</v>
      </c>
      <c r="C17" s="89">
        <v>0.9</v>
      </c>
      <c r="D17" s="34"/>
      <c r="E17" s="18">
        <f t="shared" si="0"/>
        <v>4779.45</v>
      </c>
      <c r="F17" s="20">
        <f t="shared" si="2"/>
        <v>57353.399999999994</v>
      </c>
    </row>
    <row r="18" spans="1:9" ht="41.1" customHeight="1" x14ac:dyDescent="0.25">
      <c r="A18" s="25"/>
      <c r="B18" s="35" t="s">
        <v>27</v>
      </c>
      <c r="C18" s="90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86">
        <v>0.01</v>
      </c>
      <c r="D19" s="40" t="s">
        <v>30</v>
      </c>
      <c r="E19" s="18">
        <f t="shared" si="0"/>
        <v>53.105000000000004</v>
      </c>
      <c r="F19" s="20">
        <f>E19*12</f>
        <v>637.26</v>
      </c>
    </row>
    <row r="20" spans="1:9" ht="15" x14ac:dyDescent="0.25">
      <c r="A20" s="19"/>
      <c r="B20" s="38" t="s">
        <v>54</v>
      </c>
      <c r="C20" s="92">
        <v>0.13</v>
      </c>
      <c r="D20" s="42" t="s">
        <v>29</v>
      </c>
      <c r="E20" s="18">
        <f t="shared" si="0"/>
        <v>690.36500000000001</v>
      </c>
      <c r="F20" s="20">
        <f t="shared" si="2"/>
        <v>8284.380000000001</v>
      </c>
    </row>
    <row r="21" spans="1:9" ht="24.75" x14ac:dyDescent="0.25">
      <c r="A21" s="28"/>
      <c r="B21" s="38" t="s">
        <v>55</v>
      </c>
      <c r="C21" s="92">
        <v>0.02</v>
      </c>
      <c r="D21" s="115" t="s">
        <v>36</v>
      </c>
      <c r="E21" s="18">
        <f t="shared" si="0"/>
        <v>106.21000000000001</v>
      </c>
      <c r="F21" s="20">
        <f t="shared" si="2"/>
        <v>1274.52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2.9</v>
      </c>
      <c r="D24" s="115" t="s">
        <v>36</v>
      </c>
      <c r="E24" s="18">
        <f t="shared" si="0"/>
        <v>15400.449999999999</v>
      </c>
      <c r="F24" s="18">
        <f>E24*12</f>
        <v>184805.4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4"/>
    </row>
    <row r="26" spans="1:9" ht="15" x14ac:dyDescent="0.25">
      <c r="A26" s="82"/>
      <c r="B26" s="47" t="s">
        <v>38</v>
      </c>
      <c r="C26" s="83">
        <v>0</v>
      </c>
      <c r="D26" s="83"/>
      <c r="E26" s="18">
        <f t="shared" si="0"/>
        <v>0</v>
      </c>
      <c r="F26" s="18">
        <f>E26*12</f>
        <v>0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637.26</v>
      </c>
      <c r="F27" s="18">
        <f t="shared" ref="F27:F28" si="3">E27*12</f>
        <v>7647.12</v>
      </c>
    </row>
    <row r="28" spans="1:9" ht="15" x14ac:dyDescent="0.25">
      <c r="A28" s="25" t="s">
        <v>41</v>
      </c>
      <c r="B28" s="48" t="s">
        <v>73</v>
      </c>
      <c r="C28" s="49">
        <v>3.5</v>
      </c>
      <c r="D28" s="50" t="s">
        <v>30</v>
      </c>
      <c r="E28" s="18">
        <f t="shared" si="0"/>
        <v>18586.75</v>
      </c>
      <c r="F28" s="51">
        <f t="shared" si="3"/>
        <v>223041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51"/>
    </row>
    <row r="30" spans="1:9" ht="15" x14ac:dyDescent="0.25">
      <c r="A30" s="25" t="s">
        <v>42</v>
      </c>
      <c r="B30" s="47" t="s">
        <v>74</v>
      </c>
      <c r="C30" s="53">
        <v>4</v>
      </c>
      <c r="D30" s="50" t="s">
        <v>15</v>
      </c>
      <c r="E30" s="18">
        <f t="shared" si="0"/>
        <v>21242</v>
      </c>
      <c r="F30" s="18">
        <f>E30*12</f>
        <v>254904</v>
      </c>
    </row>
    <row r="31" spans="1:9" ht="15" x14ac:dyDescent="0.25">
      <c r="A31" s="25" t="s">
        <v>43</v>
      </c>
      <c r="B31" s="55" t="s">
        <v>44</v>
      </c>
      <c r="C31" s="53">
        <v>1.05</v>
      </c>
      <c r="D31" s="50" t="s">
        <v>15</v>
      </c>
      <c r="E31" s="18">
        <f t="shared" si="0"/>
        <v>5576.0250000000005</v>
      </c>
      <c r="F31" s="18">
        <f t="shared" ref="F31" si="4">E31*12</f>
        <v>66912.3</v>
      </c>
    </row>
    <row r="32" spans="1:9" ht="15.75" x14ac:dyDescent="0.25">
      <c r="A32" s="25"/>
      <c r="B32" s="56" t="s">
        <v>46</v>
      </c>
      <c r="C32" s="57">
        <f>C10+C11+C12+C13+C14+C24+C26+C27+C28+C30+C31</f>
        <v>17.5</v>
      </c>
      <c r="D32" s="50"/>
      <c r="E32" s="18">
        <f t="shared" si="0"/>
        <v>92933.75</v>
      </c>
      <c r="F32" s="18">
        <f>F10+F11+F12+F13+F14+F24+F26+F27+F28+F30+F31</f>
        <v>1115205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92D050"/>
  </sheetPr>
  <dimension ref="A1:I42"/>
  <sheetViews>
    <sheetView workbookViewId="0">
      <selection activeCell="J7" sqref="J7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276</v>
      </c>
      <c r="C4" s="3"/>
      <c r="D4" s="3"/>
    </row>
    <row r="5" spans="1:6" x14ac:dyDescent="0.2">
      <c r="B5" s="3"/>
      <c r="C5" s="3"/>
      <c r="D5" s="3"/>
      <c r="F5" s="77">
        <v>3520.3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3.2</v>
      </c>
      <c r="D10" s="50" t="s">
        <v>15</v>
      </c>
      <c r="E10" s="18">
        <f>C10*3520.3</f>
        <v>11264.960000000001</v>
      </c>
      <c r="F10" s="18">
        <f>E10*12</f>
        <v>135179.52000000002</v>
      </c>
    </row>
    <row r="11" spans="1:6" ht="15" x14ac:dyDescent="0.25">
      <c r="A11" s="10"/>
      <c r="B11" s="15" t="s">
        <v>76</v>
      </c>
      <c r="C11" s="16">
        <v>0.25</v>
      </c>
      <c r="D11" s="88" t="s">
        <v>20</v>
      </c>
      <c r="E11" s="18">
        <f t="shared" ref="E11:E32" si="0">C11*3520.3</f>
        <v>880.07500000000005</v>
      </c>
      <c r="F11" s="18">
        <f>E11*12</f>
        <v>10560.900000000001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3168.2700000000004</v>
      </c>
      <c r="F12" s="18">
        <f t="shared" ref="F12:F13" si="1">E12*12</f>
        <v>38019.240000000005</v>
      </c>
    </row>
    <row r="13" spans="1:6" ht="39" x14ac:dyDescent="0.25">
      <c r="A13" s="22" t="s">
        <v>18</v>
      </c>
      <c r="B13" s="15" t="s">
        <v>19</v>
      </c>
      <c r="C13" s="23">
        <v>0.33</v>
      </c>
      <c r="D13" s="88" t="s">
        <v>20</v>
      </c>
      <c r="E13" s="18">
        <f t="shared" si="0"/>
        <v>1161.6990000000001</v>
      </c>
      <c r="F13" s="18">
        <f t="shared" si="1"/>
        <v>13940.388000000001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1.4100000000000001</v>
      </c>
      <c r="D14" s="27"/>
      <c r="E14" s="18">
        <f t="shared" si="0"/>
        <v>4963.6230000000005</v>
      </c>
      <c r="F14" s="18">
        <f>F15+F16+F17+F19+F20+F21</f>
        <v>59563.47600000001</v>
      </c>
    </row>
    <row r="15" spans="1:6" ht="15" x14ac:dyDescent="0.25">
      <c r="A15" s="28"/>
      <c r="B15" s="29" t="s">
        <v>23</v>
      </c>
      <c r="C15" s="30">
        <v>0.09</v>
      </c>
      <c r="D15" s="31" t="s">
        <v>24</v>
      </c>
      <c r="E15" s="18">
        <f t="shared" si="0"/>
        <v>316.827</v>
      </c>
      <c r="F15" s="20">
        <f>E15*12</f>
        <v>3801.924</v>
      </c>
    </row>
    <row r="16" spans="1:6" ht="24.75" x14ac:dyDescent="0.25">
      <c r="A16" s="28"/>
      <c r="B16" s="29" t="s">
        <v>25</v>
      </c>
      <c r="C16" s="30">
        <v>0.26</v>
      </c>
      <c r="D16" s="32" t="s">
        <v>20</v>
      </c>
      <c r="E16" s="18">
        <f t="shared" si="0"/>
        <v>915.27800000000013</v>
      </c>
      <c r="F16" s="20">
        <f t="shared" ref="F16:F21" si="2">E16*12</f>
        <v>10983.336000000001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3168.2700000000004</v>
      </c>
      <c r="F17" s="20">
        <f t="shared" si="2"/>
        <v>38019.240000000005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0.03</v>
      </c>
      <c r="D19" s="40" t="s">
        <v>30</v>
      </c>
      <c r="E19" s="18">
        <f t="shared" si="0"/>
        <v>105.60899999999999</v>
      </c>
      <c r="F19" s="20">
        <f>E19*12</f>
        <v>1267.308</v>
      </c>
    </row>
    <row r="20" spans="1:9" ht="15" x14ac:dyDescent="0.25">
      <c r="A20" s="19"/>
      <c r="B20" s="38" t="s">
        <v>54</v>
      </c>
      <c r="C20" s="41">
        <v>0.11</v>
      </c>
      <c r="D20" s="42" t="s">
        <v>29</v>
      </c>
      <c r="E20" s="18">
        <f t="shared" si="0"/>
        <v>387.233</v>
      </c>
      <c r="F20" s="20">
        <f t="shared" si="2"/>
        <v>4646.7960000000003</v>
      </c>
    </row>
    <row r="21" spans="1:9" ht="24.75" x14ac:dyDescent="0.25">
      <c r="A21" s="28"/>
      <c r="B21" s="38" t="s">
        <v>55</v>
      </c>
      <c r="C21" s="41">
        <v>0.02</v>
      </c>
      <c r="D21" s="115" t="s">
        <v>36</v>
      </c>
      <c r="E21" s="18">
        <f t="shared" si="0"/>
        <v>70.406000000000006</v>
      </c>
      <c r="F21" s="20">
        <f t="shared" si="2"/>
        <v>844.87200000000007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2.2000000000000002</v>
      </c>
      <c r="D24" s="115" t="s">
        <v>36</v>
      </c>
      <c r="E24" s="18">
        <f t="shared" si="0"/>
        <v>7744.6600000000008</v>
      </c>
      <c r="F24" s="18">
        <f>E24*12</f>
        <v>92935.920000000013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4"/>
    </row>
    <row r="26" spans="1:9" ht="15" x14ac:dyDescent="0.25">
      <c r="A26" s="82"/>
      <c r="B26" s="47" t="s">
        <v>38</v>
      </c>
      <c r="C26" s="83">
        <v>3.75</v>
      </c>
      <c r="D26" s="108" t="s">
        <v>36</v>
      </c>
      <c r="E26" s="18">
        <f t="shared" si="0"/>
        <v>13201.125</v>
      </c>
      <c r="F26" s="18">
        <f>E26*12</f>
        <v>158413.5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422.43599999999998</v>
      </c>
      <c r="F27" s="18">
        <f t="shared" ref="F27:F28" si="3">E27*12</f>
        <v>5069.232</v>
      </c>
    </row>
    <row r="28" spans="1:9" ht="15" x14ac:dyDescent="0.25">
      <c r="A28" s="25" t="s">
        <v>41</v>
      </c>
      <c r="B28" s="48" t="s">
        <v>73</v>
      </c>
      <c r="C28" s="49">
        <v>3.16</v>
      </c>
      <c r="D28" s="50" t="s">
        <v>30</v>
      </c>
      <c r="E28" s="18">
        <f t="shared" si="0"/>
        <v>11124.148000000001</v>
      </c>
      <c r="F28" s="51">
        <f t="shared" si="3"/>
        <v>133489.77600000001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51"/>
    </row>
    <row r="30" spans="1:9" ht="15" x14ac:dyDescent="0.25">
      <c r="A30" s="25" t="s">
        <v>42</v>
      </c>
      <c r="B30" s="47" t="s">
        <v>74</v>
      </c>
      <c r="C30" s="53">
        <v>3.95</v>
      </c>
      <c r="D30" s="50" t="s">
        <v>15</v>
      </c>
      <c r="E30" s="18">
        <f t="shared" si="0"/>
        <v>13905.185000000001</v>
      </c>
      <c r="F30" s="18">
        <f>E30*12</f>
        <v>166862.22000000003</v>
      </c>
    </row>
    <row r="31" spans="1:9" ht="15" x14ac:dyDescent="0.25">
      <c r="A31" s="25" t="s">
        <v>43</v>
      </c>
      <c r="B31" s="55" t="s">
        <v>44</v>
      </c>
      <c r="C31" s="53">
        <v>1.23</v>
      </c>
      <c r="D31" s="50" t="s">
        <v>15</v>
      </c>
      <c r="E31" s="18">
        <f t="shared" si="0"/>
        <v>4329.9690000000001</v>
      </c>
      <c r="F31" s="18">
        <f t="shared" ref="F31" si="4">E31*12</f>
        <v>51959.627999999997</v>
      </c>
    </row>
    <row r="32" spans="1:9" ht="15.75" x14ac:dyDescent="0.25">
      <c r="A32" s="25"/>
      <c r="B32" s="56" t="s">
        <v>46</v>
      </c>
      <c r="C32" s="57">
        <f>C10+C11+C12+C13+C14+C24+C26+C27+C28+C30+C31</f>
        <v>20.5</v>
      </c>
      <c r="D32" s="50"/>
      <c r="E32" s="18">
        <f t="shared" si="0"/>
        <v>72166.150000000009</v>
      </c>
      <c r="F32" s="18">
        <f>F10+F11+F12+F13+F14+F24+F26+F27+F28+F30+F31</f>
        <v>865993.8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43"/>
  <sheetViews>
    <sheetView topLeftCell="A25" workbookViewId="0">
      <selection activeCell="I12" sqref="I12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9" width="11.85546875" style="1" bestFit="1" customWidth="1"/>
    <col min="10" max="10" width="9.5703125" style="1" bestFit="1" customWidth="1"/>
    <col min="11" max="16384" width="9" style="1"/>
  </cols>
  <sheetData>
    <row r="1" spans="1:8" x14ac:dyDescent="0.2">
      <c r="D1" s="2" t="s">
        <v>2</v>
      </c>
    </row>
    <row r="2" spans="1:8" x14ac:dyDescent="0.2">
      <c r="A2" s="245" t="s">
        <v>3</v>
      </c>
      <c r="B2" s="245"/>
      <c r="C2" s="245"/>
      <c r="D2" s="245"/>
    </row>
    <row r="3" spans="1:8" x14ac:dyDescent="0.2">
      <c r="A3" s="245"/>
      <c r="B3" s="245"/>
      <c r="C3" s="245"/>
      <c r="D3" s="245"/>
    </row>
    <row r="4" spans="1:8" x14ac:dyDescent="0.2">
      <c r="B4" s="3" t="s">
        <v>261</v>
      </c>
      <c r="C4" s="3"/>
      <c r="D4" s="3"/>
    </row>
    <row r="5" spans="1:8" x14ac:dyDescent="0.2">
      <c r="B5" s="3"/>
      <c r="C5" s="3"/>
      <c r="D5" s="3"/>
      <c r="F5" s="1">
        <v>4959.72</v>
      </c>
    </row>
    <row r="6" spans="1:8" ht="15" x14ac:dyDescent="0.25">
      <c r="A6" s="4"/>
      <c r="B6" s="4"/>
      <c r="C6" s="4"/>
      <c r="D6" s="4"/>
      <c r="E6" s="5" t="s">
        <v>4</v>
      </c>
      <c r="F6" s="5" t="s">
        <v>4</v>
      </c>
    </row>
    <row r="7" spans="1:8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8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8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8" ht="39" x14ac:dyDescent="0.25">
      <c r="A10" s="10"/>
      <c r="B10" s="15" t="s">
        <v>14</v>
      </c>
      <c r="C10" s="16">
        <v>3</v>
      </c>
      <c r="D10" s="50" t="s">
        <v>15</v>
      </c>
      <c r="E10" s="18">
        <f>C10*4959.72</f>
        <v>14879.16</v>
      </c>
      <c r="F10" s="18">
        <f>E10*12</f>
        <v>178549.91999999998</v>
      </c>
      <c r="H10" s="117"/>
    </row>
    <row r="11" spans="1:8" ht="15" x14ac:dyDescent="0.25">
      <c r="A11" s="10"/>
      <c r="B11" s="15" t="s">
        <v>76</v>
      </c>
      <c r="C11" s="16">
        <v>0.23</v>
      </c>
      <c r="D11" s="88" t="s">
        <v>20</v>
      </c>
      <c r="E11" s="18">
        <f t="shared" ref="E11:E33" si="0">C11*4959.72</f>
        <v>1140.7356000000002</v>
      </c>
      <c r="F11" s="18">
        <f>E11*12</f>
        <v>13688.827200000003</v>
      </c>
    </row>
    <row r="12" spans="1:8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4463.7480000000005</v>
      </c>
      <c r="F12" s="18">
        <f t="shared" ref="F12:F13" si="1">E12*12</f>
        <v>53564.97600000001</v>
      </c>
    </row>
    <row r="13" spans="1:8" ht="39" x14ac:dyDescent="0.25">
      <c r="A13" s="22" t="s">
        <v>18</v>
      </c>
      <c r="B13" s="15" t="s">
        <v>19</v>
      </c>
      <c r="C13" s="23">
        <v>0.43</v>
      </c>
      <c r="D13" s="88" t="s">
        <v>20</v>
      </c>
      <c r="E13" s="18">
        <f t="shared" si="0"/>
        <v>2132.6795999999999</v>
      </c>
      <c r="F13" s="18">
        <f t="shared" si="1"/>
        <v>25592.155200000001</v>
      </c>
    </row>
    <row r="14" spans="1:8" ht="15.75" x14ac:dyDescent="0.25">
      <c r="A14" s="25" t="s">
        <v>21</v>
      </c>
      <c r="B14" s="26" t="s">
        <v>22</v>
      </c>
      <c r="C14" s="83">
        <f>C15+C16+C17+C19+C20+C21</f>
        <v>1.42</v>
      </c>
      <c r="D14" s="27"/>
      <c r="E14" s="18">
        <f t="shared" si="0"/>
        <v>7042.8023999999996</v>
      </c>
      <c r="F14" s="18">
        <f>F15+F16+F17+F19+F20+F21</f>
        <v>84513.628800000006</v>
      </c>
    </row>
    <row r="15" spans="1:8" ht="15" x14ac:dyDescent="0.25">
      <c r="A15" s="28"/>
      <c r="B15" s="29" t="s">
        <v>23</v>
      </c>
      <c r="C15" s="30">
        <v>0.04</v>
      </c>
      <c r="D15" s="31" t="s">
        <v>24</v>
      </c>
      <c r="E15" s="18">
        <f t="shared" si="0"/>
        <v>198.3888</v>
      </c>
      <c r="F15" s="20">
        <f>E15*12</f>
        <v>2380.6656000000003</v>
      </c>
    </row>
    <row r="16" spans="1:8" ht="24.75" x14ac:dyDescent="0.25">
      <c r="A16" s="28"/>
      <c r="B16" s="29" t="s">
        <v>25</v>
      </c>
      <c r="C16" s="30">
        <v>0.26</v>
      </c>
      <c r="D16" s="32" t="s">
        <v>20</v>
      </c>
      <c r="E16" s="18">
        <f t="shared" si="0"/>
        <v>1289.5272000000002</v>
      </c>
      <c r="F16" s="20">
        <f t="shared" ref="F16:F21" si="2">E16*12</f>
        <v>15474.326400000002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4463.7480000000005</v>
      </c>
      <c r="F17" s="20">
        <f t="shared" si="2"/>
        <v>53564.97600000001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0.03</v>
      </c>
      <c r="D19" s="40" t="s">
        <v>30</v>
      </c>
      <c r="E19" s="18">
        <f t="shared" si="0"/>
        <v>148.79159999999999</v>
      </c>
      <c r="F19" s="20">
        <f>E19*12</f>
        <v>1785.4991999999997</v>
      </c>
    </row>
    <row r="20" spans="1:9" ht="15" x14ac:dyDescent="0.25">
      <c r="A20" s="19"/>
      <c r="B20" s="38" t="s">
        <v>54</v>
      </c>
      <c r="C20" s="41">
        <v>0.13</v>
      </c>
      <c r="D20" s="42" t="s">
        <v>29</v>
      </c>
      <c r="E20" s="18">
        <f t="shared" si="0"/>
        <v>644.76360000000011</v>
      </c>
      <c r="F20" s="20">
        <f t="shared" si="2"/>
        <v>7737.1632000000009</v>
      </c>
    </row>
    <row r="21" spans="1:9" ht="24.75" x14ac:dyDescent="0.25">
      <c r="A21" s="28"/>
      <c r="B21" s="38" t="s">
        <v>55</v>
      </c>
      <c r="C21" s="41">
        <v>0.06</v>
      </c>
      <c r="D21" s="42" t="s">
        <v>59</v>
      </c>
      <c r="E21" s="18">
        <f t="shared" si="0"/>
        <v>297.58319999999998</v>
      </c>
      <c r="F21" s="20">
        <f t="shared" si="2"/>
        <v>3570.9983999999995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1.8</v>
      </c>
      <c r="D24" s="42" t="s">
        <v>59</v>
      </c>
      <c r="E24" s="18">
        <f t="shared" si="0"/>
        <v>8927.496000000001</v>
      </c>
      <c r="F24" s="18">
        <f>E24*12</f>
        <v>107129.95200000002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8"/>
    </row>
    <row r="26" spans="1:9" ht="15" x14ac:dyDescent="0.25">
      <c r="A26" s="82"/>
      <c r="B26" s="47" t="s">
        <v>38</v>
      </c>
      <c r="C26" s="83">
        <v>2.75</v>
      </c>
      <c r="D26" s="42" t="s">
        <v>59</v>
      </c>
      <c r="E26" s="18">
        <f t="shared" si="0"/>
        <v>13639.230000000001</v>
      </c>
      <c r="F26" s="18">
        <f t="shared" ref="F26:F27" si="3">E26*12</f>
        <v>163670.76</v>
      </c>
    </row>
    <row r="27" spans="1:9" ht="15" x14ac:dyDescent="0.25">
      <c r="A27" s="82"/>
      <c r="B27" s="47" t="s">
        <v>75</v>
      </c>
      <c r="C27" s="83">
        <v>2.73</v>
      </c>
      <c r="D27" s="42" t="s">
        <v>59</v>
      </c>
      <c r="E27" s="18">
        <f t="shared" si="0"/>
        <v>13540.035600000001</v>
      </c>
      <c r="F27" s="18">
        <f t="shared" si="3"/>
        <v>162480.42720000001</v>
      </c>
    </row>
    <row r="28" spans="1:9" ht="51.75" x14ac:dyDescent="0.25">
      <c r="A28" s="24" t="s">
        <v>39</v>
      </c>
      <c r="B28" s="80" t="s">
        <v>57</v>
      </c>
      <c r="C28" s="79">
        <v>0.12</v>
      </c>
      <c r="D28" s="27" t="s">
        <v>72</v>
      </c>
      <c r="E28" s="18">
        <f t="shared" si="0"/>
        <v>595.16639999999995</v>
      </c>
      <c r="F28" s="18">
        <f t="shared" ref="F28:F29" si="4">E28*12</f>
        <v>7141.996799999999</v>
      </c>
    </row>
    <row r="29" spans="1:9" ht="15" x14ac:dyDescent="0.25">
      <c r="A29" s="25" t="s">
        <v>41</v>
      </c>
      <c r="B29" s="48" t="s">
        <v>73</v>
      </c>
      <c r="C29" s="49">
        <v>3</v>
      </c>
      <c r="D29" s="50" t="s">
        <v>30</v>
      </c>
      <c r="E29" s="18">
        <f t="shared" si="0"/>
        <v>14879.16</v>
      </c>
      <c r="F29" s="51">
        <f t="shared" si="4"/>
        <v>178549.91999999998</v>
      </c>
      <c r="G29" s="62"/>
      <c r="H29" s="117"/>
    </row>
    <row r="30" spans="1:9" ht="34.5" x14ac:dyDescent="0.25">
      <c r="A30" s="25"/>
      <c r="B30" s="52" t="s">
        <v>40</v>
      </c>
      <c r="C30" s="53"/>
      <c r="D30" s="50"/>
      <c r="E30" s="18">
        <f t="shared" si="0"/>
        <v>0</v>
      </c>
      <c r="F30" s="51"/>
    </row>
    <row r="31" spans="1:9" ht="15" x14ac:dyDescent="0.25">
      <c r="A31" s="25" t="s">
        <v>42</v>
      </c>
      <c r="B31" s="47" t="s">
        <v>74</v>
      </c>
      <c r="C31" s="53">
        <v>4.3</v>
      </c>
      <c r="D31" s="50" t="s">
        <v>15</v>
      </c>
      <c r="E31" s="18">
        <f t="shared" si="0"/>
        <v>21326.795999999998</v>
      </c>
      <c r="F31" s="18">
        <f>E31*12</f>
        <v>255921.55199999997</v>
      </c>
    </row>
    <row r="32" spans="1:9" ht="15" x14ac:dyDescent="0.25">
      <c r="A32" s="25" t="s">
        <v>43</v>
      </c>
      <c r="B32" s="55" t="s">
        <v>44</v>
      </c>
      <c r="C32" s="53">
        <v>1.32</v>
      </c>
      <c r="D32" s="50" t="s">
        <v>15</v>
      </c>
      <c r="E32" s="18">
        <f t="shared" si="0"/>
        <v>6546.8304000000007</v>
      </c>
      <c r="F32" s="18">
        <f t="shared" ref="F32" si="5">E32*12</f>
        <v>78561.964800000016</v>
      </c>
      <c r="H32" s="117"/>
    </row>
    <row r="33" spans="1:10" ht="15.75" x14ac:dyDescent="0.25">
      <c r="A33" s="25"/>
      <c r="B33" s="56" t="s">
        <v>46</v>
      </c>
      <c r="C33" s="57">
        <f>C10+C11+C12+C13+C14+C24+C26+C27+C28+C29+C31+C32</f>
        <v>22</v>
      </c>
      <c r="D33" s="50"/>
      <c r="E33" s="18">
        <f t="shared" si="0"/>
        <v>109113.84000000001</v>
      </c>
      <c r="F33" s="18">
        <f>F10+F11+F12+F13+F14+F24+F26+F27+F28+F29+F31+F32</f>
        <v>1309366.0799999998</v>
      </c>
      <c r="I33" s="62">
        <v>104154.12</v>
      </c>
      <c r="J33" s="62">
        <f>E33-I33</f>
        <v>4959.7200000000157</v>
      </c>
    </row>
    <row r="34" spans="1:10" ht="15.75" x14ac:dyDescent="0.25">
      <c r="A34" s="58"/>
      <c r="B34" s="3"/>
      <c r="C34" s="59"/>
      <c r="D34" s="60"/>
    </row>
    <row r="35" spans="1:10" x14ac:dyDescent="0.2">
      <c r="A35" s="58"/>
      <c r="C35" s="66"/>
      <c r="E35" s="54"/>
    </row>
    <row r="36" spans="1:10" x14ac:dyDescent="0.2">
      <c r="A36" s="58"/>
      <c r="B36" s="2" t="s">
        <v>47</v>
      </c>
      <c r="C36" s="1" t="s">
        <v>58</v>
      </c>
    </row>
    <row r="37" spans="1:10" x14ac:dyDescent="0.2">
      <c r="B37" s="1" t="s">
        <v>48</v>
      </c>
      <c r="D37" s="1" t="s">
        <v>49</v>
      </c>
    </row>
    <row r="39" spans="1:10" x14ac:dyDescent="0.2">
      <c r="B39" s="1" t="s">
        <v>50</v>
      </c>
      <c r="D39" s="1" t="s">
        <v>51</v>
      </c>
    </row>
    <row r="40" spans="1:10" x14ac:dyDescent="0.2">
      <c r="B40" s="1" t="s">
        <v>52</v>
      </c>
      <c r="D40" s="1" t="s">
        <v>51</v>
      </c>
    </row>
    <row r="41" spans="1:10" x14ac:dyDescent="0.2">
      <c r="B41" s="1" t="s">
        <v>52</v>
      </c>
      <c r="D41" s="1" t="s">
        <v>51</v>
      </c>
    </row>
    <row r="42" spans="1:10" x14ac:dyDescent="0.2">
      <c r="B42" s="1" t="s">
        <v>52</v>
      </c>
      <c r="D42" s="1" t="s">
        <v>51</v>
      </c>
    </row>
    <row r="43" spans="1:10" x14ac:dyDescent="0.2">
      <c r="B43" s="1" t="s">
        <v>52</v>
      </c>
      <c r="D43" s="1" t="s">
        <v>51</v>
      </c>
    </row>
  </sheetData>
  <mergeCells count="1">
    <mergeCell ref="A2:D3"/>
  </mergeCells>
  <pageMargins left="0.7" right="0.7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</sheetPr>
  <dimension ref="A1:I42"/>
  <sheetViews>
    <sheetView workbookViewId="0">
      <selection activeCell="H31" sqref="H31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277</v>
      </c>
      <c r="C4" s="3"/>
      <c r="D4" s="3"/>
    </row>
    <row r="5" spans="1:6" x14ac:dyDescent="0.2">
      <c r="B5" s="3"/>
      <c r="C5" s="3"/>
      <c r="D5" s="3"/>
      <c r="F5" s="1">
        <v>4505.7299999999996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2.4</v>
      </c>
      <c r="D10" s="50" t="s">
        <v>15</v>
      </c>
      <c r="E10" s="18">
        <f>C10*4505.73</f>
        <v>10813.751999999999</v>
      </c>
      <c r="F10" s="18">
        <f>E10*12</f>
        <v>129765.02399999998</v>
      </c>
    </row>
    <row r="11" spans="1:6" ht="15" x14ac:dyDescent="0.25">
      <c r="A11" s="10"/>
      <c r="B11" s="15" t="s">
        <v>76</v>
      </c>
      <c r="C11" s="16">
        <v>0.15</v>
      </c>
      <c r="D11" s="88" t="s">
        <v>20</v>
      </c>
      <c r="E11" s="18">
        <f t="shared" ref="E11:E32" si="0">C11*4505.73</f>
        <v>675.85949999999991</v>
      </c>
      <c r="F11" s="18">
        <f>E11*12</f>
        <v>8110.3139999999985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4055.1569999999997</v>
      </c>
      <c r="F12" s="18">
        <f t="shared" ref="F12:F13" si="1">E12*12</f>
        <v>48661.883999999998</v>
      </c>
    </row>
    <row r="13" spans="1:6" ht="39" x14ac:dyDescent="0.25">
      <c r="A13" s="22" t="s">
        <v>18</v>
      </c>
      <c r="B13" s="15" t="s">
        <v>19</v>
      </c>
      <c r="C13" s="23">
        <v>0.15</v>
      </c>
      <c r="D13" s="88" t="s">
        <v>20</v>
      </c>
      <c r="E13" s="18">
        <f t="shared" si="0"/>
        <v>675.85949999999991</v>
      </c>
      <c r="F13" s="18">
        <f t="shared" si="1"/>
        <v>8110.3139999999985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1.2799999999999998</v>
      </c>
      <c r="D14" s="27"/>
      <c r="E14" s="18">
        <f t="shared" si="0"/>
        <v>5767.3343999999988</v>
      </c>
      <c r="F14" s="18">
        <f>F15+F16+F17+F19+F20+F21</f>
        <v>69208.012799999982</v>
      </c>
    </row>
    <row r="15" spans="1:6" ht="15" x14ac:dyDescent="0.25">
      <c r="A15" s="28"/>
      <c r="B15" s="29" t="s">
        <v>23</v>
      </c>
      <c r="C15" s="30">
        <v>0.12</v>
      </c>
      <c r="D15" s="31" t="s">
        <v>24</v>
      </c>
      <c r="E15" s="18">
        <f t="shared" si="0"/>
        <v>540.68759999999997</v>
      </c>
      <c r="F15" s="20">
        <f>E15*12</f>
        <v>6488.2511999999997</v>
      </c>
    </row>
    <row r="16" spans="1:6" ht="24.75" x14ac:dyDescent="0.25">
      <c r="A16" s="28"/>
      <c r="B16" s="29" t="s">
        <v>25</v>
      </c>
      <c r="C16" s="30">
        <v>0.26</v>
      </c>
      <c r="D16" s="32" t="s">
        <v>20</v>
      </c>
      <c r="E16" s="18">
        <f t="shared" si="0"/>
        <v>1171.4897999999998</v>
      </c>
      <c r="F16" s="20">
        <f t="shared" ref="F16:F21" si="2">E16*12</f>
        <v>14057.877599999998</v>
      </c>
    </row>
    <row r="17" spans="1:9" ht="15" x14ac:dyDescent="0.25">
      <c r="A17" s="28"/>
      <c r="B17" s="33" t="s">
        <v>26</v>
      </c>
      <c r="C17" s="30">
        <v>0.75</v>
      </c>
      <c r="D17" s="34"/>
      <c r="E17" s="18">
        <f t="shared" si="0"/>
        <v>3379.2974999999997</v>
      </c>
      <c r="F17" s="20">
        <f t="shared" si="2"/>
        <v>40551.569999999992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0.01</v>
      </c>
      <c r="D19" s="40" t="s">
        <v>30</v>
      </c>
      <c r="E19" s="18">
        <f t="shared" si="0"/>
        <v>45.057299999999998</v>
      </c>
      <c r="F19" s="20">
        <f>E19*12</f>
        <v>540.68759999999997</v>
      </c>
    </row>
    <row r="20" spans="1:9" ht="15" x14ac:dyDescent="0.25">
      <c r="A20" s="19"/>
      <c r="B20" s="38" t="s">
        <v>54</v>
      </c>
      <c r="C20" s="41">
        <v>0.12</v>
      </c>
      <c r="D20" s="42" t="s">
        <v>29</v>
      </c>
      <c r="E20" s="18">
        <f t="shared" si="0"/>
        <v>540.68759999999997</v>
      </c>
      <c r="F20" s="20">
        <f t="shared" si="2"/>
        <v>6488.2511999999997</v>
      </c>
    </row>
    <row r="21" spans="1:9" ht="24.75" x14ac:dyDescent="0.25">
      <c r="A21" s="28"/>
      <c r="B21" s="38" t="s">
        <v>55</v>
      </c>
      <c r="C21" s="41">
        <v>0.02</v>
      </c>
      <c r="D21" s="115" t="s">
        <v>36</v>
      </c>
      <c r="E21" s="18">
        <f t="shared" si="0"/>
        <v>90.114599999999996</v>
      </c>
      <c r="F21" s="20">
        <f t="shared" si="2"/>
        <v>1081.3751999999999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2.95</v>
      </c>
      <c r="D24" s="42" t="s">
        <v>59</v>
      </c>
      <c r="E24" s="18">
        <f t="shared" si="0"/>
        <v>13291.9035</v>
      </c>
      <c r="F24" s="18">
        <f>E24*12</f>
        <v>159502.842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4"/>
    </row>
    <row r="26" spans="1:9" ht="15" x14ac:dyDescent="0.25">
      <c r="A26" s="82"/>
      <c r="B26" s="47" t="s">
        <v>38</v>
      </c>
      <c r="C26" s="83">
        <v>0</v>
      </c>
      <c r="D26" s="83"/>
      <c r="E26" s="18">
        <f t="shared" si="0"/>
        <v>0</v>
      </c>
      <c r="F26" s="18">
        <f>E26*12</f>
        <v>0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540.68759999999997</v>
      </c>
      <c r="F27" s="18">
        <f t="shared" ref="F27:F28" si="3">E27*12</f>
        <v>6488.2511999999997</v>
      </c>
    </row>
    <row r="28" spans="1:9" ht="15" x14ac:dyDescent="0.25">
      <c r="A28" s="25" t="s">
        <v>41</v>
      </c>
      <c r="B28" s="48" t="s">
        <v>73</v>
      </c>
      <c r="C28" s="49">
        <v>4.5</v>
      </c>
      <c r="D28" s="50" t="s">
        <v>30</v>
      </c>
      <c r="E28" s="18">
        <f t="shared" si="0"/>
        <v>20275.784999999996</v>
      </c>
      <c r="F28" s="51">
        <f t="shared" si="3"/>
        <v>243309.41999999995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51"/>
    </row>
    <row r="30" spans="1:9" ht="15" x14ac:dyDescent="0.25">
      <c r="A30" s="25" t="s">
        <v>42</v>
      </c>
      <c r="B30" s="47" t="s">
        <v>74</v>
      </c>
      <c r="C30" s="53">
        <v>4</v>
      </c>
      <c r="D30" s="50" t="s">
        <v>15</v>
      </c>
      <c r="E30" s="18">
        <f t="shared" si="0"/>
        <v>18022.919999999998</v>
      </c>
      <c r="F30" s="18">
        <f>E30*12</f>
        <v>216275.03999999998</v>
      </c>
    </row>
    <row r="31" spans="1:9" ht="15" x14ac:dyDescent="0.25">
      <c r="A31" s="25" t="s">
        <v>43</v>
      </c>
      <c r="B31" s="55" t="s">
        <v>44</v>
      </c>
      <c r="C31" s="53">
        <v>1.05</v>
      </c>
      <c r="D31" s="50" t="s">
        <v>15</v>
      </c>
      <c r="E31" s="18">
        <f t="shared" si="0"/>
        <v>4731.0164999999997</v>
      </c>
      <c r="F31" s="18">
        <f t="shared" ref="F31" si="4">E31*12</f>
        <v>56772.197999999997</v>
      </c>
    </row>
    <row r="32" spans="1:9" ht="15.75" x14ac:dyDescent="0.25">
      <c r="A32" s="25"/>
      <c r="B32" s="56" t="s">
        <v>46</v>
      </c>
      <c r="C32" s="57">
        <f>C10+C11+C12+C13+C14+C24+C26+C27+C28+C30+C31</f>
        <v>17.5</v>
      </c>
      <c r="D32" s="50"/>
      <c r="E32" s="18">
        <f t="shared" si="0"/>
        <v>78850.274999999994</v>
      </c>
      <c r="F32" s="18">
        <f>F10+F11+F12+F13+F14+F24+F26+F27+F28+F30+F31</f>
        <v>946203.29999999993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92D050"/>
  </sheetPr>
  <dimension ref="A1:I43"/>
  <sheetViews>
    <sheetView workbookViewId="0">
      <selection activeCell="G38" sqref="G38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278</v>
      </c>
      <c r="C4" s="3"/>
      <c r="D4" s="3"/>
    </row>
    <row r="5" spans="1:6" x14ac:dyDescent="0.2">
      <c r="B5" s="3"/>
      <c r="C5" s="3"/>
      <c r="D5" s="3"/>
      <c r="F5" s="1">
        <v>2681.15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2.67</v>
      </c>
      <c r="D10" s="50" t="s">
        <v>15</v>
      </c>
      <c r="E10" s="18">
        <f>C10*2681.15</f>
        <v>7158.6705000000002</v>
      </c>
      <c r="F10" s="18">
        <f>E10*12</f>
        <v>85904.046000000002</v>
      </c>
    </row>
    <row r="11" spans="1:6" ht="15" x14ac:dyDescent="0.25">
      <c r="A11" s="10"/>
      <c r="B11" s="15" t="s">
        <v>76</v>
      </c>
      <c r="C11" s="16">
        <v>0.25</v>
      </c>
      <c r="D11" s="88" t="s">
        <v>20</v>
      </c>
      <c r="E11" s="18">
        <f t="shared" ref="E11:E33" si="0">C11*2681.15</f>
        <v>670.28750000000002</v>
      </c>
      <c r="F11" s="18">
        <f>E11*12</f>
        <v>8043.4500000000007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2413.0350000000003</v>
      </c>
      <c r="F12" s="18">
        <f t="shared" ref="F12:F13" si="1">E12*12</f>
        <v>28956.420000000006</v>
      </c>
    </row>
    <row r="13" spans="1:6" ht="39" x14ac:dyDescent="0.25">
      <c r="A13" s="22" t="s">
        <v>18</v>
      </c>
      <c r="B13" s="15" t="s">
        <v>19</v>
      </c>
      <c r="C13" s="23">
        <v>0.15</v>
      </c>
      <c r="D13" s="88" t="s">
        <v>20</v>
      </c>
      <c r="E13" s="18">
        <f t="shared" si="0"/>
        <v>402.17250000000001</v>
      </c>
      <c r="F13" s="18">
        <f t="shared" si="1"/>
        <v>4826.07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1.1100000000000001</v>
      </c>
      <c r="D14" s="27"/>
      <c r="E14" s="18">
        <f t="shared" si="0"/>
        <v>2976.0765000000006</v>
      </c>
      <c r="F14" s="18">
        <f>F15+F16+F17+F19+F20+F21</f>
        <v>35712.918000000005</v>
      </c>
    </row>
    <row r="15" spans="1:6" ht="15" x14ac:dyDescent="0.25">
      <c r="A15" s="28"/>
      <c r="B15" s="29" t="s">
        <v>23</v>
      </c>
      <c r="C15" s="30">
        <v>0.08</v>
      </c>
      <c r="D15" s="31" t="s">
        <v>24</v>
      </c>
      <c r="E15" s="18">
        <f t="shared" si="0"/>
        <v>214.49200000000002</v>
      </c>
      <c r="F15" s="20">
        <f>E15*12</f>
        <v>2573.9040000000005</v>
      </c>
    </row>
    <row r="16" spans="1:6" ht="24.75" x14ac:dyDescent="0.25">
      <c r="A16" s="28"/>
      <c r="B16" s="29" t="s">
        <v>25</v>
      </c>
      <c r="C16" s="30">
        <v>0.2</v>
      </c>
      <c r="D16" s="32" t="s">
        <v>20</v>
      </c>
      <c r="E16" s="18">
        <f t="shared" si="0"/>
        <v>536.23</v>
      </c>
      <c r="F16" s="20">
        <f t="shared" ref="F16:F21" si="2">E16*12</f>
        <v>6434.76</v>
      </c>
    </row>
    <row r="17" spans="1:9" ht="15" x14ac:dyDescent="0.25">
      <c r="A17" s="28"/>
      <c r="B17" s="33" t="s">
        <v>26</v>
      </c>
      <c r="C17" s="30">
        <v>0.75</v>
      </c>
      <c r="D17" s="34"/>
      <c r="E17" s="18">
        <f t="shared" si="0"/>
        <v>2010.8625000000002</v>
      </c>
      <c r="F17" s="20">
        <f t="shared" si="2"/>
        <v>24130.350000000002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0.02</v>
      </c>
      <c r="D19" s="40" t="s">
        <v>30</v>
      </c>
      <c r="E19" s="18">
        <f t="shared" si="0"/>
        <v>53.623000000000005</v>
      </c>
      <c r="F19" s="20">
        <f>E19*12</f>
        <v>643.47600000000011</v>
      </c>
    </row>
    <row r="20" spans="1:9" ht="15" x14ac:dyDescent="0.25">
      <c r="A20" s="19"/>
      <c r="B20" s="38" t="s">
        <v>54</v>
      </c>
      <c r="C20" s="41">
        <v>0.06</v>
      </c>
      <c r="D20" s="42" t="s">
        <v>29</v>
      </c>
      <c r="E20" s="18">
        <f t="shared" si="0"/>
        <v>160.869</v>
      </c>
      <c r="F20" s="20">
        <f t="shared" si="2"/>
        <v>1930.4279999999999</v>
      </c>
    </row>
    <row r="21" spans="1:9" ht="24.75" x14ac:dyDescent="0.25">
      <c r="A21" s="28"/>
      <c r="B21" s="38" t="s">
        <v>55</v>
      </c>
      <c r="C21" s="41">
        <v>0</v>
      </c>
      <c r="D21" s="115" t="s">
        <v>36</v>
      </c>
      <c r="E21" s="18">
        <f t="shared" si="0"/>
        <v>0</v>
      </c>
      <c r="F21" s="20">
        <f t="shared" si="2"/>
        <v>0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2.8</v>
      </c>
      <c r="D24" s="115" t="s">
        <v>36</v>
      </c>
      <c r="E24" s="18">
        <f t="shared" si="0"/>
        <v>7507.2199999999993</v>
      </c>
      <c r="F24" s="18">
        <f>E24*12</f>
        <v>90086.639999999985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4"/>
    </row>
    <row r="26" spans="1:9" ht="15" x14ac:dyDescent="0.25">
      <c r="A26" s="82"/>
      <c r="B26" s="47" t="s">
        <v>38</v>
      </c>
      <c r="C26" s="83">
        <v>2.65</v>
      </c>
      <c r="D26" s="115" t="s">
        <v>36</v>
      </c>
      <c r="E26" s="18">
        <f t="shared" si="0"/>
        <v>7105.0474999999997</v>
      </c>
      <c r="F26" s="18">
        <f>E26*12</f>
        <v>85260.569999999992</v>
      </c>
    </row>
    <row r="27" spans="1:9" ht="15" x14ac:dyDescent="0.25">
      <c r="A27" s="82"/>
      <c r="B27" s="91" t="s">
        <v>75</v>
      </c>
      <c r="C27" s="83">
        <v>2.65</v>
      </c>
      <c r="D27" s="108" t="s">
        <v>36</v>
      </c>
      <c r="E27" s="18">
        <f t="shared" si="0"/>
        <v>7105.0474999999997</v>
      </c>
      <c r="F27" s="18">
        <f>E27*12</f>
        <v>85260.569999999992</v>
      </c>
    </row>
    <row r="28" spans="1:9" ht="51.75" x14ac:dyDescent="0.25">
      <c r="A28" s="24" t="s">
        <v>39</v>
      </c>
      <c r="B28" s="80" t="s">
        <v>57</v>
      </c>
      <c r="C28" s="79">
        <v>0.12</v>
      </c>
      <c r="D28" s="27" t="s">
        <v>72</v>
      </c>
      <c r="E28" s="18">
        <f t="shared" si="0"/>
        <v>321.738</v>
      </c>
      <c r="F28" s="18">
        <f t="shared" ref="F28:F29" si="3">E28*12</f>
        <v>3860.8559999999998</v>
      </c>
    </row>
    <row r="29" spans="1:9" ht="15" x14ac:dyDescent="0.25">
      <c r="A29" s="25" t="s">
        <v>41</v>
      </c>
      <c r="B29" s="48" t="s">
        <v>73</v>
      </c>
      <c r="C29" s="49">
        <v>2.6</v>
      </c>
      <c r="D29" s="50" t="s">
        <v>30</v>
      </c>
      <c r="E29" s="18">
        <f t="shared" si="0"/>
        <v>6970.9900000000007</v>
      </c>
      <c r="F29" s="51">
        <f t="shared" si="3"/>
        <v>83651.88</v>
      </c>
      <c r="G29" s="62"/>
    </row>
    <row r="30" spans="1:9" ht="34.5" x14ac:dyDescent="0.25">
      <c r="A30" s="25"/>
      <c r="B30" s="52" t="s">
        <v>40</v>
      </c>
      <c r="C30" s="53"/>
      <c r="D30" s="50"/>
      <c r="E30" s="18">
        <f t="shared" si="0"/>
        <v>0</v>
      </c>
      <c r="F30" s="51"/>
    </row>
    <row r="31" spans="1:9" ht="15" x14ac:dyDescent="0.25">
      <c r="A31" s="25" t="s">
        <v>42</v>
      </c>
      <c r="B31" s="47" t="s">
        <v>74</v>
      </c>
      <c r="C31" s="53">
        <v>4.4000000000000004</v>
      </c>
      <c r="D31" s="50" t="s">
        <v>15</v>
      </c>
      <c r="E31" s="18">
        <f t="shared" si="0"/>
        <v>11797.060000000001</v>
      </c>
      <c r="F31" s="18">
        <f>E31*12</f>
        <v>141564.72000000003</v>
      </c>
    </row>
    <row r="32" spans="1:9" ht="15" x14ac:dyDescent="0.25">
      <c r="A32" s="25" t="s">
        <v>43</v>
      </c>
      <c r="B32" s="55" t="s">
        <v>44</v>
      </c>
      <c r="C32" s="53">
        <v>1.3</v>
      </c>
      <c r="D32" s="50" t="s">
        <v>15</v>
      </c>
      <c r="E32" s="18">
        <f t="shared" si="0"/>
        <v>3485.4950000000003</v>
      </c>
      <c r="F32" s="18">
        <f t="shared" ref="F32" si="4">E32*12</f>
        <v>41825.94</v>
      </c>
    </row>
    <row r="33" spans="1:6" ht="15.75" x14ac:dyDescent="0.25">
      <c r="A33" s="25"/>
      <c r="B33" s="56" t="s">
        <v>46</v>
      </c>
      <c r="C33" s="57">
        <f>C10+C11+C12+C13+C14+C24+C26+C27+C28+C29+C31+C32</f>
        <v>21.599999999999998</v>
      </c>
      <c r="D33" s="50"/>
      <c r="E33" s="18">
        <f t="shared" si="0"/>
        <v>57912.84</v>
      </c>
      <c r="F33" s="18">
        <f>F10+F11+F12+F13+F14+F24+F26+F27+F28+F29+F31+F32</f>
        <v>694954.08000000007</v>
      </c>
    </row>
    <row r="34" spans="1:6" ht="15.75" x14ac:dyDescent="0.25">
      <c r="A34" s="58">
        <v>12</v>
      </c>
      <c r="B34" s="3"/>
      <c r="C34" s="59"/>
      <c r="D34" s="60"/>
    </row>
    <row r="35" spans="1:6" x14ac:dyDescent="0.2">
      <c r="A35" s="58"/>
      <c r="C35" s="66"/>
      <c r="E35" s="54"/>
    </row>
    <row r="36" spans="1:6" x14ac:dyDescent="0.2">
      <c r="A36" s="58"/>
      <c r="B36" s="2" t="s">
        <v>47</v>
      </c>
      <c r="C36" s="1" t="s">
        <v>58</v>
      </c>
    </row>
    <row r="37" spans="1:6" x14ac:dyDescent="0.2">
      <c r="B37" s="1" t="s">
        <v>48</v>
      </c>
      <c r="D37" s="1" t="s">
        <v>49</v>
      </c>
    </row>
    <row r="39" spans="1:6" x14ac:dyDescent="0.2">
      <c r="B39" s="1" t="s">
        <v>50</v>
      </c>
      <c r="D39" s="1" t="s">
        <v>51</v>
      </c>
    </row>
    <row r="40" spans="1:6" x14ac:dyDescent="0.2">
      <c r="B40" s="1" t="s">
        <v>52</v>
      </c>
      <c r="D40" s="1" t="s">
        <v>51</v>
      </c>
    </row>
    <row r="41" spans="1:6" x14ac:dyDescent="0.2">
      <c r="B41" s="1" t="s">
        <v>52</v>
      </c>
      <c r="D41" s="1" t="s">
        <v>51</v>
      </c>
    </row>
    <row r="42" spans="1:6" x14ac:dyDescent="0.2">
      <c r="B42" s="1" t="s">
        <v>52</v>
      </c>
      <c r="D42" s="1" t="s">
        <v>51</v>
      </c>
    </row>
    <row r="43" spans="1:6" x14ac:dyDescent="0.2">
      <c r="B43" s="1" t="s">
        <v>52</v>
      </c>
      <c r="D43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92D050"/>
  </sheetPr>
  <dimension ref="A1:I42"/>
  <sheetViews>
    <sheetView workbookViewId="0">
      <selection activeCell="J8" sqref="J8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279</v>
      </c>
      <c r="C4" s="3"/>
      <c r="D4" s="3"/>
    </row>
    <row r="5" spans="1:6" x14ac:dyDescent="0.2">
      <c r="B5" s="3"/>
      <c r="C5" s="3"/>
      <c r="D5" s="3"/>
      <c r="F5" s="1">
        <v>8828.65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3.66</v>
      </c>
      <c r="D10" s="50" t="s">
        <v>15</v>
      </c>
      <c r="E10" s="18">
        <f>C10*8828.65</f>
        <v>32312.859</v>
      </c>
      <c r="F10" s="18">
        <f>E10*12</f>
        <v>387754.30800000002</v>
      </c>
    </row>
    <row r="11" spans="1:6" ht="15" x14ac:dyDescent="0.25">
      <c r="A11" s="10"/>
      <c r="B11" s="15" t="s">
        <v>76</v>
      </c>
      <c r="C11" s="16">
        <v>0.3</v>
      </c>
      <c r="D11" s="88" t="s">
        <v>20</v>
      </c>
      <c r="E11" s="18">
        <f t="shared" ref="E11:E32" si="0">C11*8828.65</f>
        <v>2648.5949999999998</v>
      </c>
      <c r="F11" s="18">
        <f>E11*12</f>
        <v>31783.14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7945.7849999999999</v>
      </c>
      <c r="F12" s="18">
        <f t="shared" ref="F12:F13" si="1">E12*12</f>
        <v>95349.42</v>
      </c>
    </row>
    <row r="13" spans="1:6" ht="39" x14ac:dyDescent="0.25">
      <c r="A13" s="22" t="s">
        <v>18</v>
      </c>
      <c r="B13" s="15" t="s">
        <v>19</v>
      </c>
      <c r="C13" s="23">
        <v>0.31</v>
      </c>
      <c r="D13" s="88" t="s">
        <v>20</v>
      </c>
      <c r="E13" s="18">
        <f t="shared" si="0"/>
        <v>2736.8815</v>
      </c>
      <c r="F13" s="18">
        <f t="shared" si="1"/>
        <v>32842.578000000001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1.2100000000000002</v>
      </c>
      <c r="D14" s="27"/>
      <c r="E14" s="18">
        <f t="shared" si="0"/>
        <v>10682.666500000001</v>
      </c>
      <c r="F14" s="18">
        <f>F15+F16+F17+F19+F20+F21</f>
        <v>128191.99800000001</v>
      </c>
    </row>
    <row r="15" spans="1:6" ht="15" x14ac:dyDescent="0.25">
      <c r="A15" s="28"/>
      <c r="B15" s="29" t="s">
        <v>23</v>
      </c>
      <c r="C15" s="30">
        <v>0</v>
      </c>
      <c r="D15" s="31" t="s">
        <v>24</v>
      </c>
      <c r="E15" s="18">
        <f t="shared" si="0"/>
        <v>0</v>
      </c>
      <c r="F15" s="18">
        <f>E15*12</f>
        <v>0</v>
      </c>
    </row>
    <row r="16" spans="1:6" ht="24.75" x14ac:dyDescent="0.25">
      <c r="A16" s="28"/>
      <c r="B16" s="29" t="s">
        <v>25</v>
      </c>
      <c r="C16" s="30">
        <v>0.1</v>
      </c>
      <c r="D16" s="32" t="s">
        <v>20</v>
      </c>
      <c r="E16" s="18">
        <f t="shared" si="0"/>
        <v>882.86500000000001</v>
      </c>
      <c r="F16" s="18">
        <f t="shared" ref="F16:F21" si="2">E16*12</f>
        <v>10594.380000000001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7945.7849999999999</v>
      </c>
      <c r="F17" s="18">
        <f t="shared" si="2"/>
        <v>95349.42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51"/>
    </row>
    <row r="19" spans="1:9" ht="15" x14ac:dyDescent="0.25">
      <c r="A19" s="28"/>
      <c r="B19" s="38" t="s">
        <v>53</v>
      </c>
      <c r="C19" s="39">
        <v>0.01</v>
      </c>
      <c r="D19" s="40" t="s">
        <v>30</v>
      </c>
      <c r="E19" s="18">
        <f t="shared" si="0"/>
        <v>88.286500000000004</v>
      </c>
      <c r="F19" s="18">
        <f>E19*12</f>
        <v>1059.4380000000001</v>
      </c>
    </row>
    <row r="20" spans="1:9" ht="15" x14ac:dyDescent="0.25">
      <c r="A20" s="19"/>
      <c r="B20" s="38" t="s">
        <v>54</v>
      </c>
      <c r="C20" s="41">
        <v>0.1</v>
      </c>
      <c r="D20" s="42" t="s">
        <v>29</v>
      </c>
      <c r="E20" s="18">
        <f t="shared" si="0"/>
        <v>882.86500000000001</v>
      </c>
      <c r="F20" s="18">
        <f t="shared" si="2"/>
        <v>10594.380000000001</v>
      </c>
    </row>
    <row r="21" spans="1:9" ht="15" x14ac:dyDescent="0.25">
      <c r="A21" s="28"/>
      <c r="B21" s="38" t="s">
        <v>71</v>
      </c>
      <c r="C21" s="41">
        <v>0.1</v>
      </c>
      <c r="D21" s="115" t="s">
        <v>36</v>
      </c>
      <c r="E21" s="18">
        <f t="shared" si="0"/>
        <v>882.86500000000001</v>
      </c>
      <c r="F21" s="18">
        <f t="shared" si="2"/>
        <v>10594.380000000001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1.75</v>
      </c>
      <c r="D24" s="115" t="s">
        <v>36</v>
      </c>
      <c r="E24" s="18">
        <f t="shared" si="0"/>
        <v>15450.137499999999</v>
      </c>
      <c r="F24" s="18">
        <f>E24*12</f>
        <v>185401.65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4"/>
    </row>
    <row r="26" spans="1:9" ht="15" x14ac:dyDescent="0.25">
      <c r="A26" s="82"/>
      <c r="B26" s="47" t="s">
        <v>38</v>
      </c>
      <c r="C26" s="83">
        <v>3.75</v>
      </c>
      <c r="D26" s="108" t="s">
        <v>36</v>
      </c>
      <c r="E26" s="18">
        <f t="shared" si="0"/>
        <v>33107.4375</v>
      </c>
      <c r="F26" s="18">
        <f>E26*12</f>
        <v>397289.25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1059.4379999999999</v>
      </c>
      <c r="F27" s="18">
        <f t="shared" ref="F27:F28" si="3">E27*12</f>
        <v>12713.255999999998</v>
      </c>
    </row>
    <row r="28" spans="1:9" ht="15" x14ac:dyDescent="0.25">
      <c r="A28" s="25" t="s">
        <v>41</v>
      </c>
      <c r="B28" s="48" t="s">
        <v>73</v>
      </c>
      <c r="C28" s="49">
        <v>3</v>
      </c>
      <c r="D28" s="50" t="s">
        <v>30</v>
      </c>
      <c r="E28" s="18">
        <f t="shared" si="0"/>
        <v>26485.949999999997</v>
      </c>
      <c r="F28" s="51">
        <f t="shared" si="3"/>
        <v>317831.39999999997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51"/>
    </row>
    <row r="30" spans="1:9" ht="15" x14ac:dyDescent="0.25">
      <c r="A30" s="25" t="s">
        <v>42</v>
      </c>
      <c r="B30" s="47" t="s">
        <v>74</v>
      </c>
      <c r="C30" s="53">
        <v>5.3</v>
      </c>
      <c r="D30" s="50" t="s">
        <v>15</v>
      </c>
      <c r="E30" s="18">
        <f t="shared" si="0"/>
        <v>46791.844999999994</v>
      </c>
      <c r="F30" s="18">
        <f>E30*12</f>
        <v>561502.1399999999</v>
      </c>
    </row>
    <row r="31" spans="1:9" ht="15" x14ac:dyDescent="0.25">
      <c r="A31" s="25" t="s">
        <v>43</v>
      </c>
      <c r="B31" s="55" t="s">
        <v>44</v>
      </c>
      <c r="C31" s="53">
        <v>1.3</v>
      </c>
      <c r="D31" s="50" t="s">
        <v>15</v>
      </c>
      <c r="E31" s="18">
        <f t="shared" si="0"/>
        <v>11477.245000000001</v>
      </c>
      <c r="F31" s="18">
        <f t="shared" ref="F31" si="4">E31*12</f>
        <v>137726.94</v>
      </c>
    </row>
    <row r="32" spans="1:9" ht="15.75" x14ac:dyDescent="0.25">
      <c r="A32" s="25"/>
      <c r="B32" s="56" t="s">
        <v>46</v>
      </c>
      <c r="C32" s="57">
        <f>C10+C11+C12+C13+C14+C24+C26+C27+C28+C30+C31</f>
        <v>21.599999999999998</v>
      </c>
      <c r="D32" s="50"/>
      <c r="E32" s="18">
        <f t="shared" si="0"/>
        <v>190698.83999999997</v>
      </c>
      <c r="F32" s="18">
        <f>F10+F11+F12+F13+F14+F24+F26+F27+F28+F30+F31</f>
        <v>2288386.0799999996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0CB0C-FAA6-4B8D-9C06-1CCE985C6451}">
  <sheetPr>
    <tabColor rgb="FF92D050"/>
  </sheetPr>
  <dimension ref="A1:H114"/>
  <sheetViews>
    <sheetView zoomScale="80" zoomScaleNormal="80" workbookViewId="0">
      <selection activeCell="G64" sqref="G64"/>
    </sheetView>
  </sheetViews>
  <sheetFormatPr defaultColWidth="9.140625" defaultRowHeight="12.75" x14ac:dyDescent="0.2"/>
  <cols>
    <col min="1" max="1" width="4.85546875" style="122" customWidth="1"/>
    <col min="2" max="2" width="123.85546875" style="122" customWidth="1"/>
    <col min="3" max="3" width="18" style="122" customWidth="1"/>
    <col min="4" max="4" width="11.85546875" style="122" customWidth="1"/>
    <col min="5" max="5" width="11.42578125" style="122" customWidth="1"/>
    <col min="6" max="6" width="13.5703125" style="122" customWidth="1"/>
    <col min="7" max="16384" width="9.140625" style="122"/>
  </cols>
  <sheetData>
    <row r="1" spans="1:6" ht="22.5" customHeight="1" x14ac:dyDescent="0.25">
      <c r="A1" s="264" t="s">
        <v>181</v>
      </c>
      <c r="B1" s="264"/>
      <c r="C1" s="264"/>
      <c r="D1" s="264"/>
      <c r="E1" s="264"/>
      <c r="F1" s="123"/>
    </row>
    <row r="2" spans="1:6" ht="18" customHeight="1" x14ac:dyDescent="0.25">
      <c r="A2" s="269" t="s">
        <v>92</v>
      </c>
      <c r="B2" s="269"/>
      <c r="C2" s="269"/>
      <c r="D2" s="269"/>
      <c r="E2" s="269"/>
      <c r="F2" s="269"/>
    </row>
    <row r="3" spans="1:6" ht="21.75" customHeight="1" x14ac:dyDescent="0.25">
      <c r="A3" s="269" t="s">
        <v>93</v>
      </c>
      <c r="B3" s="269"/>
      <c r="C3" s="270">
        <v>5</v>
      </c>
      <c r="D3" s="270"/>
      <c r="E3" s="270"/>
      <c r="F3" s="125"/>
    </row>
    <row r="4" spans="1:6" ht="18.75" customHeight="1" x14ac:dyDescent="0.25">
      <c r="A4" s="126"/>
      <c r="B4" s="127" t="s">
        <v>94</v>
      </c>
      <c r="C4" s="270">
        <v>2261.9</v>
      </c>
      <c r="D4" s="270"/>
      <c r="E4" s="270"/>
      <c r="F4" s="128"/>
    </row>
    <row r="5" spans="1:6" ht="17.25" customHeight="1" x14ac:dyDescent="0.25">
      <c r="A5" s="268" t="s">
        <v>182</v>
      </c>
      <c r="B5" s="268"/>
      <c r="C5" s="263">
        <v>1494.9</v>
      </c>
      <c r="D5" s="263"/>
      <c r="E5" s="263"/>
      <c r="F5" s="127">
        <v>12</v>
      </c>
    </row>
    <row r="6" spans="1:6" ht="18" customHeight="1" x14ac:dyDescent="0.25">
      <c r="A6" s="127"/>
      <c r="B6" s="127" t="s">
        <v>96</v>
      </c>
      <c r="C6" s="263">
        <v>1</v>
      </c>
      <c r="D6" s="263"/>
      <c r="E6" s="263"/>
      <c r="F6" s="129"/>
    </row>
    <row r="7" spans="1:6" ht="19.5" customHeight="1" x14ac:dyDescent="0.25">
      <c r="A7" s="127"/>
      <c r="B7" s="127" t="s">
        <v>97</v>
      </c>
      <c r="C7" s="263">
        <v>2012</v>
      </c>
      <c r="D7" s="263"/>
      <c r="E7" s="263"/>
      <c r="F7" s="129"/>
    </row>
    <row r="8" spans="1:6" ht="117" customHeight="1" x14ac:dyDescent="0.2">
      <c r="A8" s="130" t="s">
        <v>98</v>
      </c>
      <c r="B8" s="131" t="s">
        <v>99</v>
      </c>
      <c r="C8" s="131" t="s">
        <v>100</v>
      </c>
      <c r="D8" s="132" t="s">
        <v>101</v>
      </c>
      <c r="E8" s="133" t="s">
        <v>102</v>
      </c>
      <c r="F8" s="134" t="s">
        <v>103</v>
      </c>
    </row>
    <row r="9" spans="1:6" ht="18.95" customHeight="1" x14ac:dyDescent="0.2">
      <c r="A9" s="130"/>
      <c r="B9" s="130"/>
      <c r="C9" s="136"/>
      <c r="D9" s="136"/>
      <c r="E9" s="137"/>
      <c r="F9" s="138"/>
    </row>
    <row r="10" spans="1:6" ht="33" customHeight="1" x14ac:dyDescent="0.25">
      <c r="A10" s="140" t="s">
        <v>106</v>
      </c>
      <c r="B10" s="264" t="s">
        <v>107</v>
      </c>
      <c r="C10" s="264"/>
      <c r="D10" s="264"/>
      <c r="E10" s="264"/>
      <c r="F10" s="264"/>
    </row>
    <row r="11" spans="1:6" ht="155.1" customHeight="1" x14ac:dyDescent="0.3">
      <c r="A11" s="141"/>
      <c r="B11" s="142" t="s">
        <v>108</v>
      </c>
      <c r="C11" s="143"/>
      <c r="D11" s="144">
        <f>E11*F5</f>
        <v>42156.180000000008</v>
      </c>
      <c r="E11" s="144">
        <f>F11*C5</f>
        <v>3513.0150000000003</v>
      </c>
      <c r="F11" s="144">
        <f>F12+F13</f>
        <v>2.35</v>
      </c>
    </row>
    <row r="12" spans="1:6" ht="18.95" customHeight="1" x14ac:dyDescent="0.25">
      <c r="A12" s="141"/>
      <c r="B12" s="146" t="s">
        <v>109</v>
      </c>
      <c r="C12" s="143" t="s">
        <v>110</v>
      </c>
      <c r="D12" s="144">
        <f>E12*F5</f>
        <v>8969.4000000000015</v>
      </c>
      <c r="E12" s="144">
        <f>F12*C5</f>
        <v>747.45</v>
      </c>
      <c r="F12" s="144">
        <v>0.5</v>
      </c>
    </row>
    <row r="13" spans="1:6" ht="23.1" customHeight="1" x14ac:dyDescent="0.25">
      <c r="A13" s="141"/>
      <c r="B13" s="146" t="s">
        <v>111</v>
      </c>
      <c r="C13" s="143" t="s">
        <v>112</v>
      </c>
      <c r="D13" s="144">
        <f>E13*F5</f>
        <v>33186.780000000006</v>
      </c>
      <c r="E13" s="144">
        <f>F13*C5</f>
        <v>2765.5650000000005</v>
      </c>
      <c r="F13" s="144">
        <v>1.85</v>
      </c>
    </row>
    <row r="14" spans="1:6" ht="37.5" customHeight="1" x14ac:dyDescent="0.2">
      <c r="A14" s="147" t="s">
        <v>113</v>
      </c>
      <c r="B14" s="265" t="s">
        <v>114</v>
      </c>
      <c r="C14" s="265"/>
      <c r="D14" s="265"/>
      <c r="E14" s="265"/>
      <c r="F14" s="265"/>
    </row>
    <row r="15" spans="1:6" ht="12.95" customHeight="1" x14ac:dyDescent="0.2">
      <c r="A15" s="147"/>
      <c r="B15" s="149" t="s">
        <v>115</v>
      </c>
      <c r="C15" s="150" t="s">
        <v>116</v>
      </c>
      <c r="D15" s="150">
        <v>0</v>
      </c>
      <c r="E15" s="150">
        <v>0</v>
      </c>
      <c r="F15" s="150">
        <v>0</v>
      </c>
    </row>
    <row r="16" spans="1:6" ht="42.75" customHeight="1" x14ac:dyDescent="0.3">
      <c r="A16" s="147"/>
      <c r="B16" s="151" t="s">
        <v>117</v>
      </c>
      <c r="C16" s="143" t="s">
        <v>110</v>
      </c>
      <c r="D16" s="152">
        <f>E16*F5</f>
        <v>7175.52</v>
      </c>
      <c r="E16" s="152">
        <f>F16*C5</f>
        <v>597.96</v>
      </c>
      <c r="F16" s="153">
        <v>0.4</v>
      </c>
    </row>
    <row r="17" spans="1:8" ht="14.25" customHeight="1" x14ac:dyDescent="0.25">
      <c r="A17" s="147"/>
      <c r="B17" s="155" t="s">
        <v>118</v>
      </c>
      <c r="C17" s="156" t="s">
        <v>116</v>
      </c>
      <c r="D17" s="156">
        <v>0</v>
      </c>
      <c r="E17" s="156">
        <v>0</v>
      </c>
      <c r="F17" s="127">
        <v>0</v>
      </c>
    </row>
    <row r="18" spans="1:8" ht="18" customHeight="1" x14ac:dyDescent="0.25">
      <c r="A18" s="147"/>
      <c r="B18" s="155" t="s">
        <v>119</v>
      </c>
      <c r="C18" s="156" t="s">
        <v>116</v>
      </c>
      <c r="D18" s="156">
        <v>0</v>
      </c>
      <c r="E18" s="156">
        <v>0</v>
      </c>
      <c r="F18" s="156">
        <v>0</v>
      </c>
    </row>
    <row r="19" spans="1:8" ht="39" customHeight="1" x14ac:dyDescent="0.3">
      <c r="A19" s="157"/>
      <c r="B19" s="158" t="s">
        <v>120</v>
      </c>
      <c r="C19" s="159"/>
      <c r="D19" s="160">
        <f>E19*F5</f>
        <v>36774.54</v>
      </c>
      <c r="E19" s="161">
        <f>F19*C5</f>
        <v>3064.5450000000001</v>
      </c>
      <c r="F19" s="161">
        <v>2.0499999999999998</v>
      </c>
    </row>
    <row r="20" spans="1:8" ht="65.099999999999994" customHeight="1" x14ac:dyDescent="0.25">
      <c r="A20" s="163"/>
      <c r="B20" s="164" t="s">
        <v>121</v>
      </c>
      <c r="C20" s="150" t="s">
        <v>15</v>
      </c>
      <c r="D20" s="165"/>
      <c r="E20" s="165"/>
      <c r="F20" s="165"/>
    </row>
    <row r="21" spans="1:8" ht="68.25" customHeight="1" x14ac:dyDescent="0.2">
      <c r="A21" s="163"/>
      <c r="B21" s="167" t="s">
        <v>122</v>
      </c>
      <c r="C21" s="150" t="s">
        <v>123</v>
      </c>
      <c r="D21" s="168">
        <f>E21*F5</f>
        <v>13454.100000000002</v>
      </c>
      <c r="E21" s="168">
        <f>F21*C5</f>
        <v>1121.1750000000002</v>
      </c>
      <c r="F21" s="168">
        <v>0.75</v>
      </c>
    </row>
    <row r="22" spans="1:8" ht="18" customHeight="1" x14ac:dyDescent="0.3">
      <c r="A22" s="169"/>
      <c r="B22" s="158" t="s">
        <v>124</v>
      </c>
      <c r="C22" s="159" t="s">
        <v>110</v>
      </c>
      <c r="D22" s="160">
        <f>E22*F5</f>
        <v>22064.724000000002</v>
      </c>
      <c r="E22" s="161">
        <f>F22*C5</f>
        <v>1838.7270000000001</v>
      </c>
      <c r="F22" s="161">
        <f>F23+F25</f>
        <v>1.23</v>
      </c>
    </row>
    <row r="23" spans="1:8" ht="15.95" customHeight="1" x14ac:dyDescent="0.25">
      <c r="A23" s="163"/>
      <c r="B23" s="170" t="s">
        <v>125</v>
      </c>
      <c r="C23" s="266" t="s">
        <v>15</v>
      </c>
      <c r="D23" s="267">
        <f>E23*F5</f>
        <v>16144.920000000002</v>
      </c>
      <c r="E23" s="267">
        <f>F23*C5</f>
        <v>1345.41</v>
      </c>
      <c r="F23" s="267">
        <v>0.9</v>
      </c>
    </row>
    <row r="24" spans="1:8" ht="29.1" customHeight="1" x14ac:dyDescent="0.25">
      <c r="A24" s="163"/>
      <c r="B24" s="170" t="s">
        <v>126</v>
      </c>
      <c r="C24" s="266"/>
      <c r="D24" s="267"/>
      <c r="E24" s="267"/>
      <c r="F24" s="267"/>
    </row>
    <row r="25" spans="1:8" ht="21" customHeight="1" x14ac:dyDescent="0.2">
      <c r="A25" s="163"/>
      <c r="B25" s="173" t="s">
        <v>183</v>
      </c>
      <c r="C25" s="171" t="s">
        <v>128</v>
      </c>
      <c r="D25" s="165">
        <f>E25*F5</f>
        <v>5919.804000000001</v>
      </c>
      <c r="E25" s="165">
        <f>F25*C5</f>
        <v>493.31700000000006</v>
      </c>
      <c r="F25" s="165">
        <v>0.33</v>
      </c>
    </row>
    <row r="26" spans="1:8" ht="39" customHeight="1" x14ac:dyDescent="0.3">
      <c r="A26" s="163"/>
      <c r="B26" s="158" t="s">
        <v>129</v>
      </c>
      <c r="C26" s="159" t="s">
        <v>130</v>
      </c>
      <c r="D26" s="165">
        <f>E26*F5</f>
        <v>0</v>
      </c>
      <c r="E26" s="165">
        <f>F26*C5</f>
        <v>0</v>
      </c>
      <c r="F26" s="168">
        <v>0</v>
      </c>
    </row>
    <row r="27" spans="1:8" ht="21.75" customHeight="1" x14ac:dyDescent="0.3">
      <c r="A27" s="163"/>
      <c r="B27" s="174" t="s">
        <v>131</v>
      </c>
      <c r="C27" s="156" t="s">
        <v>132</v>
      </c>
      <c r="D27" s="156">
        <f>E27*F5</f>
        <v>0</v>
      </c>
      <c r="E27" s="156">
        <f>F27*C5</f>
        <v>0</v>
      </c>
      <c r="F27" s="175">
        <v>0</v>
      </c>
    </row>
    <row r="28" spans="1:8" ht="15.75" x14ac:dyDescent="0.25">
      <c r="A28" s="159"/>
      <c r="B28" s="176" t="s">
        <v>133</v>
      </c>
      <c r="C28" s="150"/>
      <c r="D28" s="160">
        <f>E28*F5</f>
        <v>79468.884000000005</v>
      </c>
      <c r="E28" s="161">
        <f>E16+E19+E21+E22+E26</f>
        <v>6622.4070000000002</v>
      </c>
      <c r="F28" s="161">
        <f>F16+F19+F22+F26+F27+F21</f>
        <v>4.43</v>
      </c>
    </row>
    <row r="29" spans="1:8" ht="22.5" customHeight="1" x14ac:dyDescent="0.2">
      <c r="A29" s="147" t="s">
        <v>134</v>
      </c>
      <c r="B29" s="255" t="s">
        <v>135</v>
      </c>
      <c r="C29" s="255"/>
      <c r="D29" s="255"/>
      <c r="E29" s="255"/>
      <c r="F29" s="255"/>
    </row>
    <row r="30" spans="1:8" ht="18.95" customHeight="1" x14ac:dyDescent="0.3">
      <c r="A30" s="256"/>
      <c r="B30" s="158" t="s">
        <v>136</v>
      </c>
      <c r="C30" s="159"/>
      <c r="D30" s="161">
        <f>E30*12</f>
        <v>51125.58</v>
      </c>
      <c r="E30" s="168">
        <f>F30*C5</f>
        <v>4260.4650000000001</v>
      </c>
      <c r="F30" s="168">
        <f>F31+F34</f>
        <v>2.85</v>
      </c>
    </row>
    <row r="31" spans="1:8" ht="15" customHeight="1" x14ac:dyDescent="0.2">
      <c r="A31" s="256"/>
      <c r="B31" s="177" t="s">
        <v>137</v>
      </c>
      <c r="C31" s="159" t="s">
        <v>184</v>
      </c>
      <c r="D31" s="257">
        <f>E31*F5</f>
        <v>42156.180000000008</v>
      </c>
      <c r="E31" s="260">
        <f>F31*C5</f>
        <v>3513.0150000000003</v>
      </c>
      <c r="F31" s="260">
        <v>2.35</v>
      </c>
      <c r="H31" s="213"/>
    </row>
    <row r="32" spans="1:8" ht="16.149999999999999" customHeight="1" x14ac:dyDescent="0.2">
      <c r="A32" s="256"/>
      <c r="B32" s="178" t="s">
        <v>139</v>
      </c>
      <c r="C32" s="159" t="s">
        <v>184</v>
      </c>
      <c r="D32" s="258"/>
      <c r="E32" s="261"/>
      <c r="F32" s="261"/>
    </row>
    <row r="33" spans="1:6" ht="25.5" customHeight="1" x14ac:dyDescent="0.2">
      <c r="A33" s="256"/>
      <c r="B33" s="177" t="s">
        <v>140</v>
      </c>
      <c r="C33" s="150" t="s">
        <v>24</v>
      </c>
      <c r="D33" s="259"/>
      <c r="E33" s="262"/>
      <c r="F33" s="262"/>
    </row>
    <row r="34" spans="1:6" ht="14.25" customHeight="1" x14ac:dyDescent="0.2">
      <c r="A34" s="163"/>
      <c r="B34" s="177" t="s">
        <v>141</v>
      </c>
      <c r="C34" s="150" t="s">
        <v>15</v>
      </c>
      <c r="D34" s="179">
        <f>E34*I34</f>
        <v>0</v>
      </c>
      <c r="E34" s="165">
        <f>F34*C5</f>
        <v>747.45</v>
      </c>
      <c r="F34" s="165">
        <v>0.5</v>
      </c>
    </row>
    <row r="35" spans="1:6" ht="54" customHeight="1" x14ac:dyDescent="0.3">
      <c r="A35" s="163"/>
      <c r="B35" s="158" t="s">
        <v>142</v>
      </c>
      <c r="C35" s="159" t="s">
        <v>110</v>
      </c>
      <c r="D35" s="161">
        <f>E35*F5</f>
        <v>37671.480000000003</v>
      </c>
      <c r="E35" s="161">
        <f>F35*C5</f>
        <v>3139.2900000000004</v>
      </c>
      <c r="F35" s="161">
        <v>2.1</v>
      </c>
    </row>
    <row r="36" spans="1:6" ht="14.25" customHeight="1" x14ac:dyDescent="0.25">
      <c r="A36" s="180"/>
      <c r="B36" s="177" t="s">
        <v>143</v>
      </c>
      <c r="C36" s="159" t="s">
        <v>185</v>
      </c>
      <c r="D36" s="254">
        <f>E36*F5</f>
        <v>37671.480000000003</v>
      </c>
      <c r="E36" s="254">
        <f>F36*C5</f>
        <v>3139.2900000000004</v>
      </c>
      <c r="F36" s="254">
        <v>2.1</v>
      </c>
    </row>
    <row r="37" spans="1:6" ht="14.25" customHeight="1" x14ac:dyDescent="0.2">
      <c r="A37" s="159"/>
      <c r="B37" s="177" t="s">
        <v>146</v>
      </c>
      <c r="C37" s="159" t="s">
        <v>185</v>
      </c>
      <c r="D37" s="254"/>
      <c r="E37" s="254"/>
      <c r="F37" s="254"/>
    </row>
    <row r="38" spans="1:6" ht="24.75" customHeight="1" x14ac:dyDescent="0.2">
      <c r="A38" s="159"/>
      <c r="B38" s="181" t="s">
        <v>148</v>
      </c>
      <c r="C38" s="138" t="s">
        <v>149</v>
      </c>
      <c r="D38" s="254"/>
      <c r="E38" s="254"/>
      <c r="F38" s="254"/>
    </row>
    <row r="39" spans="1:6" ht="16.149999999999999" customHeight="1" x14ac:dyDescent="0.2">
      <c r="A39" s="159"/>
      <c r="B39" s="181" t="s">
        <v>150</v>
      </c>
      <c r="C39" s="138" t="s">
        <v>151</v>
      </c>
      <c r="D39" s="254"/>
      <c r="E39" s="254"/>
      <c r="F39" s="254"/>
    </row>
    <row r="40" spans="1:6" ht="27" customHeight="1" x14ac:dyDescent="0.25">
      <c r="A40" s="159"/>
      <c r="B40" s="182" t="s">
        <v>152</v>
      </c>
      <c r="C40" s="156" t="s">
        <v>116</v>
      </c>
      <c r="D40" s="156">
        <v>0</v>
      </c>
      <c r="E40" s="156">
        <v>0</v>
      </c>
      <c r="F40" s="156">
        <v>0</v>
      </c>
    </row>
    <row r="41" spans="1:6" ht="39.75" customHeight="1" x14ac:dyDescent="0.25">
      <c r="A41" s="159"/>
      <c r="B41" s="182" t="s">
        <v>153</v>
      </c>
      <c r="C41" s="183" t="s">
        <v>149</v>
      </c>
      <c r="D41" s="156">
        <f>E41*F5</f>
        <v>0</v>
      </c>
      <c r="E41" s="156">
        <f>F41*C5</f>
        <v>0</v>
      </c>
      <c r="F41" s="156">
        <v>0</v>
      </c>
    </row>
    <row r="42" spans="1:6" ht="55.5" customHeight="1" x14ac:dyDescent="0.2">
      <c r="A42" s="147"/>
      <c r="B42" s="184" t="s">
        <v>154</v>
      </c>
      <c r="C42" s="150" t="s">
        <v>110</v>
      </c>
      <c r="D42" s="161">
        <f>E42*F5</f>
        <v>2152.6559999999999</v>
      </c>
      <c r="E42" s="161">
        <f>F42*C5</f>
        <v>179.38800000000001</v>
      </c>
      <c r="F42" s="161">
        <v>0.12</v>
      </c>
    </row>
    <row r="43" spans="1:6" ht="39" customHeight="1" x14ac:dyDescent="0.3">
      <c r="A43" s="176"/>
      <c r="B43" s="158" t="s">
        <v>155</v>
      </c>
      <c r="C43" s="150" t="s">
        <v>156</v>
      </c>
      <c r="D43" s="185">
        <f>E43*F5</f>
        <v>21526.560000000001</v>
      </c>
      <c r="E43" s="186">
        <f>F43*C5</f>
        <v>1793.88</v>
      </c>
      <c r="F43" s="185">
        <v>1.2</v>
      </c>
    </row>
    <row r="44" spans="1:6" ht="31.5" customHeight="1" x14ac:dyDescent="0.25">
      <c r="A44" s="176"/>
      <c r="B44" s="182" t="s">
        <v>157</v>
      </c>
      <c r="C44" s="183" t="s">
        <v>149</v>
      </c>
      <c r="D44" s="156">
        <v>0</v>
      </c>
      <c r="E44" s="156">
        <v>0</v>
      </c>
      <c r="F44" s="156">
        <v>0</v>
      </c>
    </row>
    <row r="45" spans="1:6" ht="27.95" customHeight="1" x14ac:dyDescent="0.25">
      <c r="A45" s="176"/>
      <c r="B45" s="187" t="s">
        <v>158</v>
      </c>
      <c r="C45" s="183" t="s">
        <v>149</v>
      </c>
      <c r="D45" s="156">
        <v>0</v>
      </c>
      <c r="E45" s="156">
        <v>0</v>
      </c>
      <c r="F45" s="156">
        <v>0</v>
      </c>
    </row>
    <row r="46" spans="1:6" ht="31.5" customHeight="1" x14ac:dyDescent="0.25">
      <c r="A46" s="185"/>
      <c r="B46" s="188" t="s">
        <v>159</v>
      </c>
      <c r="C46" s="150"/>
      <c r="D46" s="189">
        <f>E46*F5</f>
        <v>112476.27599999998</v>
      </c>
      <c r="E46" s="168">
        <f>F46*C5</f>
        <v>9373.0229999999992</v>
      </c>
      <c r="F46" s="161">
        <f>F43+F42+F35+F30</f>
        <v>6.27</v>
      </c>
    </row>
    <row r="47" spans="1:6" ht="33" customHeight="1" x14ac:dyDescent="0.25">
      <c r="A47" s="185" t="s">
        <v>160</v>
      </c>
      <c r="B47" s="255" t="s">
        <v>161</v>
      </c>
      <c r="C47" s="255"/>
      <c r="D47" s="255"/>
      <c r="E47" s="255"/>
      <c r="F47" s="255"/>
    </row>
    <row r="48" spans="1:6" ht="22.5" customHeight="1" x14ac:dyDescent="0.25">
      <c r="A48" s="185"/>
      <c r="B48" s="190" t="s">
        <v>162</v>
      </c>
      <c r="C48" s="191" t="s">
        <v>163</v>
      </c>
      <c r="D48" s="192">
        <f>E48*F5</f>
        <v>0</v>
      </c>
      <c r="E48" s="192">
        <v>0</v>
      </c>
      <c r="F48" s="192">
        <v>0</v>
      </c>
    </row>
    <row r="49" spans="1:8" ht="21" customHeight="1" x14ac:dyDescent="0.25">
      <c r="A49" s="185"/>
      <c r="B49" s="190" t="s">
        <v>164</v>
      </c>
      <c r="C49" s="191" t="s">
        <v>163</v>
      </c>
      <c r="D49" s="192">
        <f>E49*F5</f>
        <v>0</v>
      </c>
      <c r="E49" s="192">
        <v>0</v>
      </c>
      <c r="F49" s="192">
        <v>0</v>
      </c>
    </row>
    <row r="50" spans="1:8" ht="18" customHeight="1" x14ac:dyDescent="0.25">
      <c r="A50" s="185"/>
      <c r="B50" s="190" t="s">
        <v>165</v>
      </c>
      <c r="C50" s="191" t="s">
        <v>163</v>
      </c>
      <c r="D50" s="192">
        <f>E50*C62</f>
        <v>0</v>
      </c>
      <c r="E50" s="192">
        <v>0</v>
      </c>
      <c r="F50" s="192">
        <v>0</v>
      </c>
    </row>
    <row r="51" spans="1:8" ht="18" customHeight="1" x14ac:dyDescent="0.25">
      <c r="A51" s="185"/>
      <c r="B51" s="190" t="s">
        <v>166</v>
      </c>
      <c r="C51" s="191" t="s">
        <v>163</v>
      </c>
      <c r="D51" s="192">
        <f>E51*C62</f>
        <v>0</v>
      </c>
      <c r="E51" s="192">
        <v>0</v>
      </c>
      <c r="F51" s="192">
        <v>0</v>
      </c>
    </row>
    <row r="52" spans="1:8" ht="18" customHeight="1" x14ac:dyDescent="0.25">
      <c r="A52" s="185"/>
      <c r="B52" s="188" t="s">
        <v>167</v>
      </c>
      <c r="C52" s="191"/>
      <c r="D52" s="186">
        <f>D48+D49+D50+D51</f>
        <v>0</v>
      </c>
      <c r="E52" s="186">
        <f>F52*C5</f>
        <v>0</v>
      </c>
      <c r="F52" s="175">
        <f>F48+F49</f>
        <v>0</v>
      </c>
    </row>
    <row r="53" spans="1:8" ht="16.7" customHeight="1" x14ac:dyDescent="0.25">
      <c r="A53" s="194" t="s">
        <v>160</v>
      </c>
      <c r="B53" s="255" t="s">
        <v>168</v>
      </c>
      <c r="C53" s="255"/>
      <c r="D53" s="255"/>
      <c r="E53" s="255"/>
      <c r="F53" s="255"/>
    </row>
    <row r="54" spans="1:8" ht="16.7" customHeight="1" x14ac:dyDescent="0.25">
      <c r="A54" s="180"/>
      <c r="B54" s="188" t="s">
        <v>186</v>
      </c>
      <c r="C54" s="180"/>
      <c r="D54" s="196">
        <f>E54*F5</f>
        <v>60991.92</v>
      </c>
      <c r="E54" s="186">
        <f>F54*C5</f>
        <v>5082.66</v>
      </c>
      <c r="F54" s="186">
        <v>3.4</v>
      </c>
    </row>
    <row r="55" spans="1:8" ht="16.7" customHeight="1" x14ac:dyDescent="0.25">
      <c r="A55" s="180"/>
      <c r="B55" s="190" t="s">
        <v>187</v>
      </c>
      <c r="C55" s="246" t="s">
        <v>110</v>
      </c>
      <c r="D55" s="248"/>
      <c r="E55" s="249"/>
      <c r="F55" s="250"/>
    </row>
    <row r="56" spans="1:8" ht="16.7" customHeight="1" x14ac:dyDescent="0.25">
      <c r="A56" s="180"/>
      <c r="B56" s="190" t="s">
        <v>171</v>
      </c>
      <c r="C56" s="247"/>
      <c r="D56" s="251"/>
      <c r="E56" s="252"/>
      <c r="F56" s="253"/>
    </row>
    <row r="57" spans="1:8" ht="22.5" customHeight="1" x14ac:dyDescent="0.3">
      <c r="A57" s="180"/>
      <c r="B57" s="195" t="s">
        <v>172</v>
      </c>
      <c r="C57" s="198"/>
      <c r="D57" s="197">
        <f>E57*F5</f>
        <v>295093.26</v>
      </c>
      <c r="E57" s="197">
        <f>F57*C5</f>
        <v>24591.105</v>
      </c>
      <c r="F57" s="199">
        <f>F54+F46+F28+F11</f>
        <v>16.45</v>
      </c>
    </row>
    <row r="58" spans="1:8" ht="18.95" customHeight="1" x14ac:dyDescent="0.25">
      <c r="A58" s="202"/>
      <c r="B58" s="188" t="s">
        <v>188</v>
      </c>
      <c r="C58" s="203" t="s">
        <v>110</v>
      </c>
      <c r="D58" s="196">
        <f>E58*F5</f>
        <v>18835.740000000002</v>
      </c>
      <c r="E58" s="186">
        <f>F58*C5</f>
        <v>1569.6450000000002</v>
      </c>
      <c r="F58" s="186">
        <v>1.05</v>
      </c>
      <c r="H58" s="122">
        <v>12</v>
      </c>
    </row>
    <row r="59" spans="1:8" ht="18.95" customHeight="1" x14ac:dyDescent="0.25">
      <c r="A59" s="202"/>
      <c r="B59" s="202" t="s">
        <v>177</v>
      </c>
      <c r="C59" s="202"/>
      <c r="D59" s="204">
        <f>E59*F5</f>
        <v>313929</v>
      </c>
      <c r="E59" s="205">
        <f>F59*C5</f>
        <v>26160.75</v>
      </c>
      <c r="F59" s="205">
        <f>F57+F58</f>
        <v>17.5</v>
      </c>
    </row>
    <row r="60" spans="1:8" ht="18.95" customHeight="1" x14ac:dyDescent="0.25">
      <c r="A60" s="202"/>
      <c r="B60" s="206"/>
      <c r="C60" s="202"/>
      <c r="D60" s="204"/>
      <c r="E60" s="205"/>
      <c r="F60" s="205"/>
    </row>
    <row r="61" spans="1:8" ht="21" customHeight="1" x14ac:dyDescent="0.2">
      <c r="A61" s="214"/>
      <c r="B61" s="188"/>
      <c r="C61" s="178"/>
      <c r="D61" s="201"/>
      <c r="E61" s="201"/>
      <c r="F61" s="124"/>
    </row>
    <row r="62" spans="1:8" ht="21" customHeight="1" x14ac:dyDescent="0.2">
      <c r="A62" s="214"/>
      <c r="B62" s="188"/>
      <c r="C62" s="178"/>
      <c r="D62" s="201"/>
      <c r="E62" s="201"/>
      <c r="F62" s="124"/>
    </row>
    <row r="63" spans="1:8" ht="21" customHeight="1" x14ac:dyDescent="0.2">
      <c r="A63" s="214"/>
      <c r="B63" s="188"/>
      <c r="C63" s="178"/>
      <c r="D63" s="201"/>
      <c r="E63" s="201"/>
      <c r="F63" s="124"/>
    </row>
    <row r="64" spans="1:8" ht="15.75" x14ac:dyDescent="0.25">
      <c r="A64" s="207"/>
      <c r="B64" s="180" t="s">
        <v>189</v>
      </c>
      <c r="C64" s="178"/>
      <c r="D64" s="178"/>
      <c r="E64" s="178"/>
      <c r="F64" s="124"/>
    </row>
    <row r="65" spans="1:6" ht="15.75" x14ac:dyDescent="0.25">
      <c r="A65" s="208"/>
      <c r="B65" s="209"/>
      <c r="C65" s="208"/>
      <c r="D65" s="208"/>
      <c r="E65" s="208"/>
      <c r="F65" s="124"/>
    </row>
    <row r="66" spans="1:6" ht="15.75" x14ac:dyDescent="0.25">
      <c r="A66" s="208"/>
      <c r="B66" s="209"/>
      <c r="C66" s="208"/>
      <c r="D66" s="208"/>
      <c r="E66" s="208"/>
      <c r="F66" s="124"/>
    </row>
    <row r="67" spans="1:6" ht="15.75" x14ac:dyDescent="0.25">
      <c r="A67" s="210">
        <v>0.06</v>
      </c>
      <c r="B67" s="209"/>
      <c r="C67" s="208"/>
      <c r="D67" s="208"/>
      <c r="E67" s="208"/>
      <c r="F67" s="124"/>
    </row>
    <row r="68" spans="1:6" x14ac:dyDescent="0.2">
      <c r="A68" s="211"/>
      <c r="B68" s="211"/>
      <c r="C68" s="211"/>
      <c r="D68" s="211"/>
      <c r="E68" s="211"/>
    </row>
    <row r="69" spans="1:6" x14ac:dyDescent="0.2">
      <c r="C69" s="212"/>
      <c r="D69" s="212"/>
      <c r="E69" s="212"/>
    </row>
    <row r="70" spans="1:6" x14ac:dyDescent="0.2">
      <c r="C70" s="212"/>
      <c r="D70" s="212"/>
      <c r="E70" s="212"/>
    </row>
    <row r="71" spans="1:6" x14ac:dyDescent="0.2">
      <c r="C71" s="212"/>
      <c r="D71" s="212"/>
      <c r="E71" s="212"/>
    </row>
    <row r="72" spans="1:6" x14ac:dyDescent="0.2">
      <c r="C72" s="212"/>
      <c r="D72" s="212"/>
      <c r="E72" s="212"/>
    </row>
    <row r="73" spans="1:6" x14ac:dyDescent="0.2">
      <c r="C73" s="212"/>
      <c r="D73" s="212"/>
      <c r="E73" s="212"/>
    </row>
    <row r="74" spans="1:6" x14ac:dyDescent="0.2">
      <c r="C74" s="212"/>
      <c r="D74" s="212"/>
      <c r="E74" s="212"/>
    </row>
    <row r="75" spans="1:6" x14ac:dyDescent="0.2">
      <c r="C75" s="212"/>
      <c r="D75" s="212"/>
      <c r="E75" s="212"/>
    </row>
    <row r="76" spans="1:6" x14ac:dyDescent="0.2">
      <c r="C76" s="212"/>
      <c r="D76" s="212"/>
      <c r="E76" s="212"/>
    </row>
    <row r="77" spans="1:6" x14ac:dyDescent="0.2">
      <c r="C77" s="212"/>
      <c r="D77" s="212"/>
      <c r="E77" s="212"/>
    </row>
    <row r="78" spans="1:6" x14ac:dyDescent="0.2">
      <c r="C78" s="212"/>
      <c r="D78" s="212"/>
      <c r="E78" s="212"/>
    </row>
    <row r="79" spans="1:6" x14ac:dyDescent="0.2">
      <c r="C79" s="212"/>
      <c r="D79" s="212"/>
      <c r="E79" s="212"/>
    </row>
    <row r="80" spans="1:6" x14ac:dyDescent="0.2">
      <c r="C80" s="212"/>
      <c r="D80" s="212"/>
      <c r="E80" s="212"/>
    </row>
    <row r="81" spans="3:5" x14ac:dyDescent="0.2">
      <c r="C81" s="212"/>
      <c r="D81" s="212"/>
      <c r="E81" s="212"/>
    </row>
    <row r="82" spans="3:5" x14ac:dyDescent="0.2">
      <c r="C82" s="212"/>
      <c r="D82" s="212"/>
      <c r="E82" s="212"/>
    </row>
    <row r="83" spans="3:5" x14ac:dyDescent="0.2">
      <c r="C83" s="212"/>
      <c r="D83" s="212"/>
      <c r="E83" s="212"/>
    </row>
    <row r="84" spans="3:5" x14ac:dyDescent="0.2">
      <c r="C84" s="212"/>
      <c r="D84" s="212"/>
      <c r="E84" s="212"/>
    </row>
    <row r="85" spans="3:5" x14ac:dyDescent="0.2">
      <c r="C85" s="212"/>
      <c r="D85" s="212"/>
      <c r="E85" s="212"/>
    </row>
    <row r="86" spans="3:5" x14ac:dyDescent="0.2">
      <c r="C86" s="212"/>
      <c r="D86" s="212"/>
      <c r="E86" s="212"/>
    </row>
    <row r="87" spans="3:5" x14ac:dyDescent="0.2">
      <c r="C87" s="212"/>
      <c r="D87" s="212"/>
      <c r="E87" s="212"/>
    </row>
    <row r="88" spans="3:5" x14ac:dyDescent="0.2">
      <c r="C88" s="212"/>
      <c r="D88" s="212"/>
      <c r="E88" s="212"/>
    </row>
    <row r="89" spans="3:5" x14ac:dyDescent="0.2">
      <c r="C89" s="212"/>
      <c r="D89" s="212"/>
      <c r="E89" s="212"/>
    </row>
    <row r="90" spans="3:5" x14ac:dyDescent="0.2">
      <c r="C90" s="212"/>
      <c r="D90" s="212"/>
      <c r="E90" s="212"/>
    </row>
    <row r="91" spans="3:5" x14ac:dyDescent="0.2">
      <c r="C91" s="212"/>
      <c r="D91" s="212"/>
      <c r="E91" s="212"/>
    </row>
    <row r="92" spans="3:5" x14ac:dyDescent="0.2">
      <c r="C92" s="212"/>
      <c r="D92" s="212"/>
      <c r="E92" s="212"/>
    </row>
    <row r="93" spans="3:5" x14ac:dyDescent="0.2">
      <c r="C93" s="212"/>
      <c r="D93" s="212"/>
      <c r="E93" s="212"/>
    </row>
    <row r="94" spans="3:5" x14ac:dyDescent="0.2">
      <c r="C94" s="212"/>
      <c r="D94" s="212"/>
      <c r="E94" s="212"/>
    </row>
    <row r="95" spans="3:5" x14ac:dyDescent="0.2">
      <c r="C95" s="212"/>
      <c r="D95" s="212"/>
      <c r="E95" s="212"/>
    </row>
    <row r="96" spans="3:5" x14ac:dyDescent="0.2">
      <c r="C96" s="212"/>
      <c r="D96" s="212"/>
      <c r="E96" s="212"/>
    </row>
    <row r="97" spans="3:5" x14ac:dyDescent="0.2">
      <c r="C97" s="212"/>
      <c r="D97" s="212"/>
      <c r="E97" s="212"/>
    </row>
    <row r="98" spans="3:5" x14ac:dyDescent="0.2">
      <c r="C98" s="212"/>
      <c r="D98" s="212"/>
      <c r="E98" s="212"/>
    </row>
    <row r="99" spans="3:5" x14ac:dyDescent="0.2">
      <c r="C99" s="212"/>
      <c r="D99" s="212"/>
      <c r="E99" s="212"/>
    </row>
    <row r="100" spans="3:5" x14ac:dyDescent="0.2">
      <c r="C100" s="212"/>
      <c r="D100" s="212"/>
      <c r="E100" s="212"/>
    </row>
    <row r="101" spans="3:5" x14ac:dyDescent="0.2">
      <c r="C101" s="212"/>
      <c r="D101" s="212"/>
      <c r="E101" s="212"/>
    </row>
    <row r="102" spans="3:5" x14ac:dyDescent="0.2">
      <c r="C102" s="212"/>
      <c r="D102" s="212"/>
      <c r="E102" s="212"/>
    </row>
    <row r="103" spans="3:5" x14ac:dyDescent="0.2">
      <c r="C103" s="212"/>
      <c r="D103" s="212"/>
      <c r="E103" s="212"/>
    </row>
    <row r="104" spans="3:5" x14ac:dyDescent="0.2">
      <c r="C104" s="212"/>
      <c r="D104" s="212"/>
      <c r="E104" s="212"/>
    </row>
    <row r="105" spans="3:5" x14ac:dyDescent="0.2">
      <c r="C105" s="212"/>
      <c r="D105" s="212"/>
      <c r="E105" s="212"/>
    </row>
    <row r="106" spans="3:5" x14ac:dyDescent="0.2">
      <c r="C106" s="212"/>
      <c r="D106" s="212"/>
      <c r="E106" s="212"/>
    </row>
    <row r="107" spans="3:5" x14ac:dyDescent="0.2">
      <c r="C107" s="212"/>
      <c r="D107" s="212"/>
      <c r="E107" s="212"/>
    </row>
    <row r="108" spans="3:5" x14ac:dyDescent="0.2">
      <c r="C108" s="212"/>
      <c r="D108" s="212"/>
      <c r="E108" s="212"/>
    </row>
    <row r="109" spans="3:5" x14ac:dyDescent="0.2">
      <c r="C109" s="212"/>
      <c r="D109" s="212"/>
      <c r="E109" s="212"/>
    </row>
    <row r="110" spans="3:5" x14ac:dyDescent="0.2">
      <c r="C110" s="212"/>
      <c r="D110" s="212"/>
      <c r="E110" s="212"/>
    </row>
    <row r="111" spans="3:5" x14ac:dyDescent="0.2">
      <c r="C111" s="212"/>
      <c r="D111" s="212"/>
      <c r="E111" s="212"/>
    </row>
    <row r="112" spans="3:5" x14ac:dyDescent="0.2">
      <c r="C112" s="212"/>
      <c r="D112" s="212"/>
      <c r="E112" s="212"/>
    </row>
    <row r="113" spans="3:5" x14ac:dyDescent="0.2">
      <c r="C113" s="212"/>
      <c r="D113" s="212"/>
      <c r="E113" s="212"/>
    </row>
    <row r="114" spans="3:5" x14ac:dyDescent="0.2">
      <c r="C114" s="212"/>
      <c r="D114" s="212"/>
      <c r="E114" s="212"/>
    </row>
  </sheetData>
  <sheetProtection selectLockedCells="1" selectUnlockedCells="1"/>
  <mergeCells count="27">
    <mergeCell ref="A5:B5"/>
    <mergeCell ref="C5:E5"/>
    <mergeCell ref="A1:E1"/>
    <mergeCell ref="A2:F2"/>
    <mergeCell ref="A3:B3"/>
    <mergeCell ref="C3:E3"/>
    <mergeCell ref="C4:E4"/>
    <mergeCell ref="C6:E6"/>
    <mergeCell ref="C7:E7"/>
    <mergeCell ref="B10:F10"/>
    <mergeCell ref="B14:F14"/>
    <mergeCell ref="C23:C24"/>
    <mergeCell ref="D23:D24"/>
    <mergeCell ref="E23:E24"/>
    <mergeCell ref="F23:F24"/>
    <mergeCell ref="B29:F29"/>
    <mergeCell ref="A30:A33"/>
    <mergeCell ref="D31:D33"/>
    <mergeCell ref="E31:E33"/>
    <mergeCell ref="F31:F33"/>
    <mergeCell ref="C55:C56"/>
    <mergeCell ref="D55:F56"/>
    <mergeCell ref="D36:D39"/>
    <mergeCell ref="E36:E39"/>
    <mergeCell ref="F36:F39"/>
    <mergeCell ref="B47:F47"/>
    <mergeCell ref="B53:F53"/>
  </mergeCells>
  <pageMargins left="0.25" right="0.25" top="0.75" bottom="0.75" header="0.3" footer="0.3"/>
  <pageSetup paperSize="9" scale="75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92D050"/>
  </sheetPr>
  <dimension ref="A1:G42"/>
  <sheetViews>
    <sheetView workbookViewId="0">
      <selection activeCell="J33" sqref="J33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280</v>
      </c>
      <c r="C4" s="3"/>
      <c r="D4" s="3"/>
    </row>
    <row r="5" spans="1:6" x14ac:dyDescent="0.2">
      <c r="B5" s="3"/>
      <c r="C5" s="3"/>
      <c r="D5" s="3"/>
      <c r="F5" s="1">
        <v>4391.8999999999996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3.22</v>
      </c>
      <c r="D10" s="50" t="s">
        <v>15</v>
      </c>
      <c r="E10" s="18">
        <f>C10*4391.9</f>
        <v>14141.918</v>
      </c>
      <c r="F10" s="18">
        <f>E10*12</f>
        <v>169703.016</v>
      </c>
    </row>
    <row r="11" spans="1:6" ht="15" x14ac:dyDescent="0.25">
      <c r="A11" s="10"/>
      <c r="B11" s="15" t="s">
        <v>76</v>
      </c>
      <c r="C11" s="16">
        <v>0.2</v>
      </c>
      <c r="D11" s="88" t="s">
        <v>20</v>
      </c>
      <c r="E11" s="18">
        <f t="shared" ref="E11:E32" si="0">C11*4391.9</f>
        <v>878.38</v>
      </c>
      <c r="F11" s="18">
        <f>E11*12</f>
        <v>10540.56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3952.7099999999996</v>
      </c>
      <c r="F12" s="18">
        <f t="shared" ref="F12:F13" si="1">E12*12</f>
        <v>47432.52</v>
      </c>
    </row>
    <row r="13" spans="1:6" ht="39" x14ac:dyDescent="0.25">
      <c r="A13" s="22" t="s">
        <v>18</v>
      </c>
      <c r="B13" s="15" t="s">
        <v>19</v>
      </c>
      <c r="C13" s="23">
        <v>0.22</v>
      </c>
      <c r="D13" s="88" t="s">
        <v>20</v>
      </c>
      <c r="E13" s="18">
        <f t="shared" si="0"/>
        <v>966.21799999999996</v>
      </c>
      <c r="F13" s="18">
        <f t="shared" si="1"/>
        <v>11594.616</v>
      </c>
    </row>
    <row r="14" spans="1:6" ht="15.75" x14ac:dyDescent="0.25">
      <c r="A14" s="25" t="s">
        <v>21</v>
      </c>
      <c r="B14" s="26" t="s">
        <v>22</v>
      </c>
      <c r="C14" s="83">
        <f>C15+C16+C17+C19+C20</f>
        <v>1.29</v>
      </c>
      <c r="D14" s="27"/>
      <c r="E14" s="18">
        <f t="shared" si="0"/>
        <v>5665.5509999999995</v>
      </c>
      <c r="F14" s="18">
        <f>F15+F16+F17+F19+F20</f>
        <v>67986.611999999994</v>
      </c>
    </row>
    <row r="15" spans="1:6" ht="15" x14ac:dyDescent="0.25">
      <c r="A15" s="28"/>
      <c r="B15" s="29" t="s">
        <v>23</v>
      </c>
      <c r="C15" s="30">
        <v>0.06</v>
      </c>
      <c r="D15" s="31" t="s">
        <v>24</v>
      </c>
      <c r="E15" s="18">
        <f t="shared" si="0"/>
        <v>263.51399999999995</v>
      </c>
      <c r="F15" s="20">
        <f>E15*12</f>
        <v>3162.1679999999997</v>
      </c>
    </row>
    <row r="16" spans="1:6" ht="24.75" x14ac:dyDescent="0.25">
      <c r="A16" s="28"/>
      <c r="B16" s="29" t="s">
        <v>25</v>
      </c>
      <c r="C16" s="30">
        <v>0.26</v>
      </c>
      <c r="D16" s="32" t="s">
        <v>20</v>
      </c>
      <c r="E16" s="18">
        <f t="shared" si="0"/>
        <v>1141.894</v>
      </c>
      <c r="F16" s="20">
        <f t="shared" ref="F16:F20" si="2">E16*12</f>
        <v>13702.727999999999</v>
      </c>
    </row>
    <row r="17" spans="1:7" ht="15" x14ac:dyDescent="0.25">
      <c r="A17" s="28"/>
      <c r="B17" s="33" t="s">
        <v>26</v>
      </c>
      <c r="C17" s="30">
        <v>0.9</v>
      </c>
      <c r="D17" s="34"/>
      <c r="E17" s="18">
        <f t="shared" si="0"/>
        <v>3952.7099999999996</v>
      </c>
      <c r="F17" s="20">
        <f t="shared" si="2"/>
        <v>47432.52</v>
      </c>
    </row>
    <row r="18" spans="1:7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7" ht="15" x14ac:dyDescent="0.25">
      <c r="A19" s="28"/>
      <c r="B19" s="38" t="s">
        <v>53</v>
      </c>
      <c r="C19" s="39">
        <v>0.02</v>
      </c>
      <c r="D19" s="40" t="s">
        <v>30</v>
      </c>
      <c r="E19" s="18">
        <f t="shared" si="0"/>
        <v>87.837999999999994</v>
      </c>
      <c r="F19" s="20">
        <f>E19*12</f>
        <v>1054.056</v>
      </c>
    </row>
    <row r="20" spans="1:7" ht="15" x14ac:dyDescent="0.25">
      <c r="A20" s="19"/>
      <c r="B20" s="38" t="s">
        <v>54</v>
      </c>
      <c r="C20" s="41">
        <v>0.05</v>
      </c>
      <c r="D20" s="42" t="s">
        <v>29</v>
      </c>
      <c r="E20" s="18">
        <f t="shared" si="0"/>
        <v>219.595</v>
      </c>
      <c r="F20" s="20">
        <f t="shared" si="2"/>
        <v>2635.14</v>
      </c>
    </row>
    <row r="21" spans="1:7" ht="39" x14ac:dyDescent="0.25">
      <c r="A21" s="23" t="s">
        <v>32</v>
      </c>
      <c r="B21" s="43" t="s">
        <v>33</v>
      </c>
      <c r="C21" s="81"/>
      <c r="D21" s="81"/>
      <c r="E21" s="18">
        <f t="shared" si="0"/>
        <v>0</v>
      </c>
      <c r="F21" s="14"/>
    </row>
    <row r="22" spans="1:7" ht="15" x14ac:dyDescent="0.25">
      <c r="A22" s="81"/>
      <c r="B22" s="4" t="s">
        <v>34</v>
      </c>
      <c r="C22" s="81"/>
      <c r="D22" s="4"/>
      <c r="E22" s="18">
        <f t="shared" si="0"/>
        <v>0</v>
      </c>
      <c r="F22" s="14"/>
    </row>
    <row r="23" spans="1:7" ht="26.25" x14ac:dyDescent="0.25">
      <c r="A23" s="25"/>
      <c r="B23" s="44" t="s">
        <v>35</v>
      </c>
      <c r="C23" s="83">
        <v>2.25</v>
      </c>
      <c r="D23" s="115" t="s">
        <v>36</v>
      </c>
      <c r="E23" s="18">
        <f t="shared" si="0"/>
        <v>9881.7749999999996</v>
      </c>
      <c r="F23" s="18">
        <f>E23*12</f>
        <v>118581.29999999999</v>
      </c>
    </row>
    <row r="24" spans="1:7" ht="15" x14ac:dyDescent="0.25">
      <c r="A24" s="81"/>
      <c r="B24" s="46" t="s">
        <v>37</v>
      </c>
      <c r="C24" s="81"/>
      <c r="D24" s="81"/>
      <c r="E24" s="18">
        <f t="shared" si="0"/>
        <v>0</v>
      </c>
      <c r="F24" s="18"/>
    </row>
    <row r="25" spans="1:7" ht="15" x14ac:dyDescent="0.25">
      <c r="A25" s="82"/>
      <c r="B25" s="47" t="s">
        <v>38</v>
      </c>
      <c r="C25" s="83">
        <v>3.05</v>
      </c>
      <c r="D25" s="115" t="s">
        <v>36</v>
      </c>
      <c r="E25" s="18">
        <f t="shared" si="0"/>
        <v>13395.294999999998</v>
      </c>
      <c r="F25" s="18">
        <f t="shared" ref="F25:F31" si="3">E25*12</f>
        <v>160743.53999999998</v>
      </c>
    </row>
    <row r="26" spans="1:7" ht="15" x14ac:dyDescent="0.25">
      <c r="A26" s="82"/>
      <c r="B26" s="47" t="s">
        <v>77</v>
      </c>
      <c r="C26" s="83">
        <v>2.2000000000000002</v>
      </c>
      <c r="D26" s="108" t="s">
        <v>36</v>
      </c>
      <c r="E26" s="18">
        <f t="shared" si="0"/>
        <v>9662.18</v>
      </c>
      <c r="F26" s="18">
        <f t="shared" si="3"/>
        <v>115946.16</v>
      </c>
    </row>
    <row r="27" spans="1:7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527.02799999999991</v>
      </c>
      <c r="F27" s="18">
        <f t="shared" si="3"/>
        <v>6324.3359999999993</v>
      </c>
    </row>
    <row r="28" spans="1:7" ht="15" x14ac:dyDescent="0.25">
      <c r="A28" s="25" t="s">
        <v>41</v>
      </c>
      <c r="B28" s="48" t="s">
        <v>73</v>
      </c>
      <c r="C28" s="49">
        <v>3</v>
      </c>
      <c r="D28" s="50" t="s">
        <v>30</v>
      </c>
      <c r="E28" s="18">
        <f t="shared" si="0"/>
        <v>13175.699999999999</v>
      </c>
      <c r="F28" s="18">
        <f t="shared" si="3"/>
        <v>158108.4</v>
      </c>
      <c r="G28" s="62"/>
    </row>
    <row r="29" spans="1:7" ht="34.5" x14ac:dyDescent="0.25">
      <c r="A29" s="25"/>
      <c r="B29" s="52" t="s">
        <v>40</v>
      </c>
      <c r="C29" s="53"/>
      <c r="D29" s="50"/>
      <c r="E29" s="18">
        <f t="shared" si="0"/>
        <v>0</v>
      </c>
      <c r="F29" s="18"/>
    </row>
    <row r="30" spans="1:7" ht="15" x14ac:dyDescent="0.25">
      <c r="A30" s="25" t="s">
        <v>42</v>
      </c>
      <c r="B30" s="47" t="s">
        <v>74</v>
      </c>
      <c r="C30" s="53">
        <v>4.7</v>
      </c>
      <c r="D30" s="50" t="s">
        <v>15</v>
      </c>
      <c r="E30" s="18">
        <f t="shared" si="0"/>
        <v>20641.93</v>
      </c>
      <c r="F30" s="18">
        <f t="shared" si="3"/>
        <v>247703.16</v>
      </c>
    </row>
    <row r="31" spans="1:7" ht="15" x14ac:dyDescent="0.25">
      <c r="A31" s="25" t="s">
        <v>43</v>
      </c>
      <c r="B31" s="55" t="s">
        <v>44</v>
      </c>
      <c r="C31" s="53">
        <v>1.35</v>
      </c>
      <c r="D31" s="50" t="s">
        <v>15</v>
      </c>
      <c r="E31" s="18">
        <f t="shared" si="0"/>
        <v>5929.0649999999996</v>
      </c>
      <c r="F31" s="18">
        <f t="shared" si="3"/>
        <v>71148.78</v>
      </c>
    </row>
    <row r="32" spans="1:7" ht="15.75" x14ac:dyDescent="0.25">
      <c r="A32" s="25"/>
      <c r="B32" s="56" t="s">
        <v>46</v>
      </c>
      <c r="C32" s="57">
        <f>C10+C11+C12+C13+C14+C23+C25+C26+C27+C28+C30+C31</f>
        <v>22.499999999999996</v>
      </c>
      <c r="D32" s="50"/>
      <c r="E32" s="18">
        <f t="shared" si="0"/>
        <v>98817.749999999971</v>
      </c>
      <c r="F32" s="18">
        <f>F10+F11+F12+F13+F14+F23+F25+F26+F27+F28+F30+F31</f>
        <v>1185813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92D050"/>
  </sheetPr>
  <dimension ref="A1:I42"/>
  <sheetViews>
    <sheetView workbookViewId="0">
      <selection activeCell="J8" sqref="J8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281</v>
      </c>
      <c r="C4" s="3"/>
      <c r="D4" s="3"/>
    </row>
    <row r="5" spans="1:6" x14ac:dyDescent="0.2">
      <c r="B5" s="3"/>
      <c r="C5" s="3"/>
      <c r="D5" s="3"/>
      <c r="F5" s="1">
        <v>2622.9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3.26</v>
      </c>
      <c r="D10" s="50" t="s">
        <v>15</v>
      </c>
      <c r="E10" s="18">
        <f>C10*2622.9</f>
        <v>8550.6540000000005</v>
      </c>
      <c r="F10" s="18">
        <f>E10*12</f>
        <v>102607.848</v>
      </c>
    </row>
    <row r="11" spans="1:6" ht="15" x14ac:dyDescent="0.25">
      <c r="A11" s="10"/>
      <c r="B11" s="15" t="s">
        <v>76</v>
      </c>
      <c r="C11" s="16">
        <v>0.3</v>
      </c>
      <c r="D11" s="88" t="s">
        <v>20</v>
      </c>
      <c r="E11" s="18">
        <f t="shared" ref="E11:E32" si="0">C11*2622.9</f>
        <v>786.87</v>
      </c>
      <c r="F11" s="18">
        <f>E11*12</f>
        <v>9442.44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2360.61</v>
      </c>
      <c r="F12" s="18">
        <f t="shared" ref="F12:F13" si="1">E12*12</f>
        <v>28327.32</v>
      </c>
    </row>
    <row r="13" spans="1:6" ht="39" x14ac:dyDescent="0.25">
      <c r="A13" s="22" t="s">
        <v>18</v>
      </c>
      <c r="B13" s="15" t="s">
        <v>19</v>
      </c>
      <c r="C13" s="23">
        <v>0.22</v>
      </c>
      <c r="D13" s="88" t="s">
        <v>20</v>
      </c>
      <c r="E13" s="18">
        <f t="shared" si="0"/>
        <v>577.03800000000001</v>
      </c>
      <c r="F13" s="18">
        <f t="shared" si="1"/>
        <v>6924.4560000000001</v>
      </c>
    </row>
    <row r="14" spans="1:6" ht="15.75" x14ac:dyDescent="0.25">
      <c r="A14" s="25" t="s">
        <v>21</v>
      </c>
      <c r="B14" s="26" t="s">
        <v>22</v>
      </c>
      <c r="C14" s="83">
        <f>C15+C16+C17+C19+C20</f>
        <v>1.35</v>
      </c>
      <c r="D14" s="27"/>
      <c r="E14" s="18">
        <f t="shared" si="0"/>
        <v>3540.9150000000004</v>
      </c>
      <c r="F14" s="18">
        <f>F15+F16+F17+F19+F20</f>
        <v>42490.979999999996</v>
      </c>
    </row>
    <row r="15" spans="1:6" ht="15" x14ac:dyDescent="0.25">
      <c r="A15" s="28"/>
      <c r="B15" s="29" t="s">
        <v>23</v>
      </c>
      <c r="C15" s="30">
        <v>0.08</v>
      </c>
      <c r="D15" s="31" t="s">
        <v>24</v>
      </c>
      <c r="E15" s="18">
        <f t="shared" si="0"/>
        <v>209.83200000000002</v>
      </c>
      <c r="F15" s="20">
        <f>E15*12</f>
        <v>2517.9840000000004</v>
      </c>
    </row>
    <row r="16" spans="1:6" ht="24.75" x14ac:dyDescent="0.25">
      <c r="A16" s="28"/>
      <c r="B16" s="29" t="s">
        <v>25</v>
      </c>
      <c r="C16" s="30">
        <v>0.26</v>
      </c>
      <c r="D16" s="32" t="s">
        <v>20</v>
      </c>
      <c r="E16" s="18">
        <f t="shared" si="0"/>
        <v>681.95400000000006</v>
      </c>
      <c r="F16" s="20">
        <f t="shared" ref="F16:F20" si="2">E16*12</f>
        <v>8183.4480000000003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2360.61</v>
      </c>
      <c r="F17" s="20">
        <f t="shared" si="2"/>
        <v>28327.32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0.02</v>
      </c>
      <c r="D19" s="40" t="s">
        <v>30</v>
      </c>
      <c r="E19" s="18">
        <f t="shared" si="0"/>
        <v>52.458000000000006</v>
      </c>
      <c r="F19" s="20">
        <f>E19*12</f>
        <v>629.49600000000009</v>
      </c>
    </row>
    <row r="20" spans="1:9" ht="15" x14ac:dyDescent="0.25">
      <c r="A20" s="19"/>
      <c r="B20" s="38" t="s">
        <v>54</v>
      </c>
      <c r="C20" s="41">
        <v>0.09</v>
      </c>
      <c r="D20" s="42" t="s">
        <v>29</v>
      </c>
      <c r="E20" s="18">
        <f t="shared" si="0"/>
        <v>236.06100000000001</v>
      </c>
      <c r="F20" s="20">
        <f t="shared" si="2"/>
        <v>2832.732</v>
      </c>
    </row>
    <row r="21" spans="1:9" ht="39" x14ac:dyDescent="0.25">
      <c r="A21" s="23" t="s">
        <v>32</v>
      </c>
      <c r="B21" s="43" t="s">
        <v>33</v>
      </c>
      <c r="C21" s="81"/>
      <c r="D21" s="81"/>
      <c r="E21" s="18">
        <f t="shared" si="0"/>
        <v>0</v>
      </c>
      <c r="F21" s="14"/>
      <c r="I21" s="1" t="s">
        <v>56</v>
      </c>
    </row>
    <row r="22" spans="1:9" ht="15" x14ac:dyDescent="0.25">
      <c r="A22" s="81"/>
      <c r="B22" s="4" t="s">
        <v>34</v>
      </c>
      <c r="C22" s="81"/>
      <c r="D22" s="4"/>
      <c r="E22" s="18">
        <f t="shared" si="0"/>
        <v>0</v>
      </c>
      <c r="F22" s="14"/>
    </row>
    <row r="23" spans="1:9" ht="26.25" x14ac:dyDescent="0.25">
      <c r="A23" s="25"/>
      <c r="B23" s="44" t="s">
        <v>35</v>
      </c>
      <c r="C23" s="83">
        <v>1.65</v>
      </c>
      <c r="D23" s="115" t="s">
        <v>36</v>
      </c>
      <c r="E23" s="18">
        <f t="shared" si="0"/>
        <v>4327.7849999999999</v>
      </c>
      <c r="F23" s="18">
        <f>E23*12</f>
        <v>51933.42</v>
      </c>
    </row>
    <row r="24" spans="1:9" ht="15" x14ac:dyDescent="0.25">
      <c r="A24" s="81"/>
      <c r="B24" s="46" t="s">
        <v>37</v>
      </c>
      <c r="C24" s="81"/>
      <c r="D24" s="81"/>
      <c r="E24" s="18">
        <f t="shared" si="0"/>
        <v>0</v>
      </c>
      <c r="F24" s="14"/>
    </row>
    <row r="25" spans="1:9" ht="15" x14ac:dyDescent="0.25">
      <c r="A25" s="82"/>
      <c r="B25" s="47" t="s">
        <v>38</v>
      </c>
      <c r="C25" s="83">
        <v>3.05</v>
      </c>
      <c r="D25" s="115" t="s">
        <v>36</v>
      </c>
      <c r="E25" s="18">
        <f t="shared" si="0"/>
        <v>7999.8450000000003</v>
      </c>
      <c r="F25" s="18">
        <f>E25*12</f>
        <v>95998.14</v>
      </c>
    </row>
    <row r="26" spans="1:9" ht="15" x14ac:dyDescent="0.25">
      <c r="A26" s="82"/>
      <c r="B26" s="47" t="s">
        <v>77</v>
      </c>
      <c r="C26" s="83">
        <v>2.85</v>
      </c>
      <c r="D26" s="108" t="s">
        <v>36</v>
      </c>
      <c r="E26" s="18">
        <f t="shared" si="0"/>
        <v>7475.2650000000003</v>
      </c>
      <c r="F26" s="18">
        <f>E26*12</f>
        <v>89703.180000000008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314.74799999999999</v>
      </c>
      <c r="F27" s="18">
        <f t="shared" ref="F27:F28" si="3">E27*12</f>
        <v>3776.9759999999997</v>
      </c>
    </row>
    <row r="28" spans="1:9" ht="15" x14ac:dyDescent="0.25">
      <c r="A28" s="25" t="s">
        <v>41</v>
      </c>
      <c r="B28" s="48" t="s">
        <v>73</v>
      </c>
      <c r="C28" s="49">
        <v>3</v>
      </c>
      <c r="D28" s="50" t="s">
        <v>30</v>
      </c>
      <c r="E28" s="18">
        <f t="shared" si="0"/>
        <v>7868.7000000000007</v>
      </c>
      <c r="F28" s="51">
        <f t="shared" si="3"/>
        <v>94424.400000000009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51"/>
    </row>
    <row r="30" spans="1:9" ht="15" x14ac:dyDescent="0.25">
      <c r="A30" s="25" t="s">
        <v>42</v>
      </c>
      <c r="B30" s="47" t="s">
        <v>74</v>
      </c>
      <c r="C30" s="53">
        <v>4.45</v>
      </c>
      <c r="D30" s="50" t="s">
        <v>15</v>
      </c>
      <c r="E30" s="18">
        <f t="shared" si="0"/>
        <v>11671.905000000001</v>
      </c>
      <c r="F30" s="18">
        <f>E30*12</f>
        <v>140062.86000000002</v>
      </c>
    </row>
    <row r="31" spans="1:9" ht="15" x14ac:dyDescent="0.25">
      <c r="A31" s="25" t="s">
        <v>43</v>
      </c>
      <c r="B31" s="55" t="s">
        <v>44</v>
      </c>
      <c r="C31" s="53">
        <v>1.35</v>
      </c>
      <c r="D31" s="50" t="s">
        <v>15</v>
      </c>
      <c r="E31" s="18">
        <f t="shared" si="0"/>
        <v>3540.9150000000004</v>
      </c>
      <c r="F31" s="18">
        <f t="shared" ref="F31" si="4">E31*12</f>
        <v>42490.98</v>
      </c>
    </row>
    <row r="32" spans="1:9" ht="15.75" x14ac:dyDescent="0.25">
      <c r="A32" s="25"/>
      <c r="B32" s="56" t="s">
        <v>46</v>
      </c>
      <c r="C32" s="57">
        <f>C10+C11+C12+C13+C14+C23+C25+C26+C27+C28+C30+C31</f>
        <v>22.5</v>
      </c>
      <c r="D32" s="50"/>
      <c r="E32" s="18">
        <f t="shared" si="0"/>
        <v>59015.25</v>
      </c>
      <c r="F32" s="18">
        <f>F10+F11+F12+F13+F14+F23+F25+F26+F27+F28+F30+F31</f>
        <v>708183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92D050"/>
  </sheetPr>
  <dimension ref="A1:I42"/>
  <sheetViews>
    <sheetView topLeftCell="A25" workbookViewId="0">
      <selection activeCell="I8" sqref="I8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7.140625" style="1" customWidth="1"/>
    <col min="4" max="4" width="21.140625" style="1" customWidth="1"/>
    <col min="5" max="5" width="11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282</v>
      </c>
      <c r="C4" s="3"/>
      <c r="D4" s="3"/>
    </row>
    <row r="5" spans="1:6" x14ac:dyDescent="0.2">
      <c r="B5" s="3"/>
      <c r="C5" s="3"/>
      <c r="D5" s="3"/>
      <c r="F5" s="1">
        <v>2702.16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86</v>
      </c>
      <c r="F7" s="8" t="s">
        <v>87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3.36</v>
      </c>
      <c r="D10" s="50" t="s">
        <v>15</v>
      </c>
      <c r="E10" s="18">
        <f>C10*2702.16</f>
        <v>9079.257599999999</v>
      </c>
      <c r="F10" s="18">
        <f>E10*12</f>
        <v>108951.0912</v>
      </c>
    </row>
    <row r="11" spans="1:6" ht="15" x14ac:dyDescent="0.25">
      <c r="A11" s="10"/>
      <c r="B11" s="15" t="s">
        <v>76</v>
      </c>
      <c r="C11" s="16">
        <v>0.3</v>
      </c>
      <c r="D11" s="88" t="s">
        <v>20</v>
      </c>
      <c r="E11" s="18">
        <f t="shared" ref="E11:E32" si="0">C11*2702.16</f>
        <v>810.64799999999991</v>
      </c>
      <c r="F11" s="18">
        <f>E11*12</f>
        <v>9727.775999999998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2431.944</v>
      </c>
      <c r="F12" s="18">
        <f t="shared" ref="F12:F13" si="1">E12*12</f>
        <v>29183.328000000001</v>
      </c>
    </row>
    <row r="13" spans="1:6" ht="39" x14ac:dyDescent="0.25">
      <c r="A13" s="22" t="s">
        <v>18</v>
      </c>
      <c r="B13" s="15" t="s">
        <v>19</v>
      </c>
      <c r="C13" s="23">
        <v>0.4</v>
      </c>
      <c r="D13" s="88" t="s">
        <v>20</v>
      </c>
      <c r="E13" s="18">
        <f t="shared" si="0"/>
        <v>1080.864</v>
      </c>
      <c r="F13" s="18">
        <f t="shared" si="1"/>
        <v>12970.368</v>
      </c>
    </row>
    <row r="14" spans="1:6" ht="15.75" x14ac:dyDescent="0.25">
      <c r="A14" s="25" t="s">
        <v>21</v>
      </c>
      <c r="B14" s="26" t="s">
        <v>22</v>
      </c>
      <c r="C14" s="83">
        <f>C15+C16+C17+C19+C20</f>
        <v>1.35</v>
      </c>
      <c r="D14" s="27"/>
      <c r="E14" s="18">
        <f t="shared" si="0"/>
        <v>3647.9160000000002</v>
      </c>
      <c r="F14" s="18">
        <f>F15+F16+F17+F19+F20</f>
        <v>43774.991999999998</v>
      </c>
    </row>
    <row r="15" spans="1:6" ht="15" x14ac:dyDescent="0.25">
      <c r="A15" s="28"/>
      <c r="B15" s="29" t="s">
        <v>23</v>
      </c>
      <c r="C15" s="30">
        <v>0.08</v>
      </c>
      <c r="D15" s="31" t="s">
        <v>24</v>
      </c>
      <c r="E15" s="18">
        <f t="shared" si="0"/>
        <v>216.1728</v>
      </c>
      <c r="F15" s="20">
        <f>E15*12</f>
        <v>2594.0735999999997</v>
      </c>
    </row>
    <row r="16" spans="1:6" ht="24.75" x14ac:dyDescent="0.25">
      <c r="A16" s="28"/>
      <c r="B16" s="29" t="s">
        <v>25</v>
      </c>
      <c r="C16" s="30">
        <v>0.26</v>
      </c>
      <c r="D16" s="32" t="s">
        <v>20</v>
      </c>
      <c r="E16" s="18">
        <f t="shared" si="0"/>
        <v>702.5616</v>
      </c>
      <c r="F16" s="20">
        <f t="shared" ref="F16:F20" si="2">E16*12</f>
        <v>8430.7392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2431.944</v>
      </c>
      <c r="F17" s="20">
        <f t="shared" si="2"/>
        <v>29183.328000000001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0.02</v>
      </c>
      <c r="D19" s="40" t="s">
        <v>30</v>
      </c>
      <c r="E19" s="18">
        <f t="shared" si="0"/>
        <v>54.043199999999999</v>
      </c>
      <c r="F19" s="20">
        <f>E19*12</f>
        <v>648.51839999999993</v>
      </c>
    </row>
    <row r="20" spans="1:9" ht="15" x14ac:dyDescent="0.25">
      <c r="A20" s="19"/>
      <c r="B20" s="38" t="s">
        <v>54</v>
      </c>
      <c r="C20" s="41">
        <v>0.09</v>
      </c>
      <c r="D20" s="42" t="s">
        <v>29</v>
      </c>
      <c r="E20" s="18">
        <f t="shared" si="0"/>
        <v>243.19439999999997</v>
      </c>
      <c r="F20" s="20">
        <f t="shared" si="2"/>
        <v>2918.3327999999997</v>
      </c>
    </row>
    <row r="21" spans="1:9" ht="39" x14ac:dyDescent="0.25">
      <c r="A21" s="23" t="s">
        <v>32</v>
      </c>
      <c r="B21" s="43" t="s">
        <v>33</v>
      </c>
      <c r="C21" s="81"/>
      <c r="D21" s="81"/>
      <c r="E21" s="18">
        <f t="shared" si="0"/>
        <v>0</v>
      </c>
      <c r="F21" s="14"/>
      <c r="I21" s="1" t="s">
        <v>56</v>
      </c>
    </row>
    <row r="22" spans="1:9" ht="15" x14ac:dyDescent="0.25">
      <c r="A22" s="81"/>
      <c r="B22" s="4" t="s">
        <v>34</v>
      </c>
      <c r="C22" s="81"/>
      <c r="D22" s="4"/>
      <c r="E22" s="18">
        <f t="shared" si="0"/>
        <v>0</v>
      </c>
      <c r="F22" s="14"/>
    </row>
    <row r="23" spans="1:9" ht="26.25" x14ac:dyDescent="0.25">
      <c r="A23" s="25"/>
      <c r="B23" s="44" t="s">
        <v>35</v>
      </c>
      <c r="C23" s="83">
        <v>2.4</v>
      </c>
      <c r="D23" s="115" t="s">
        <v>36</v>
      </c>
      <c r="E23" s="18">
        <f t="shared" si="0"/>
        <v>6485.1839999999993</v>
      </c>
      <c r="F23" s="18">
        <f>E23*12</f>
        <v>77822.207999999984</v>
      </c>
    </row>
    <row r="24" spans="1:9" ht="15" x14ac:dyDescent="0.25">
      <c r="A24" s="81"/>
      <c r="B24" s="46" t="s">
        <v>37</v>
      </c>
      <c r="C24" s="81"/>
      <c r="D24" s="23"/>
      <c r="E24" s="18">
        <f t="shared" si="0"/>
        <v>0</v>
      </c>
      <c r="F24" s="18"/>
    </row>
    <row r="25" spans="1:9" ht="15" x14ac:dyDescent="0.25">
      <c r="A25" s="82"/>
      <c r="B25" s="47" t="s">
        <v>38</v>
      </c>
      <c r="C25" s="83">
        <v>2.65</v>
      </c>
      <c r="D25" s="115" t="s">
        <v>36</v>
      </c>
      <c r="E25" s="18">
        <f t="shared" si="0"/>
        <v>7160.7239999999993</v>
      </c>
      <c r="F25" s="18">
        <f t="shared" ref="F25:F31" si="3">E25*12</f>
        <v>85928.687999999995</v>
      </c>
    </row>
    <row r="26" spans="1:9" ht="15" x14ac:dyDescent="0.25">
      <c r="A26" s="82"/>
      <c r="B26" s="47" t="s">
        <v>77</v>
      </c>
      <c r="C26" s="83">
        <v>2.2999999999999998</v>
      </c>
      <c r="D26" s="108" t="s">
        <v>36</v>
      </c>
      <c r="E26" s="18">
        <f t="shared" si="0"/>
        <v>6214.9679999999989</v>
      </c>
      <c r="F26" s="18">
        <f t="shared" si="3"/>
        <v>74579.61599999998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324.25919999999996</v>
      </c>
      <c r="F27" s="18">
        <f t="shared" si="3"/>
        <v>3891.1103999999996</v>
      </c>
    </row>
    <row r="28" spans="1:9" ht="15" x14ac:dyDescent="0.25">
      <c r="A28" s="25" t="s">
        <v>41</v>
      </c>
      <c r="B28" s="48" t="s">
        <v>73</v>
      </c>
      <c r="C28" s="49">
        <v>2.5</v>
      </c>
      <c r="D28" s="50" t="s">
        <v>30</v>
      </c>
      <c r="E28" s="18">
        <f t="shared" si="0"/>
        <v>6755.4</v>
      </c>
      <c r="F28" s="18">
        <f t="shared" si="3"/>
        <v>81064.799999999988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18"/>
    </row>
    <row r="30" spans="1:9" ht="15" x14ac:dyDescent="0.25">
      <c r="A30" s="25" t="s">
        <v>42</v>
      </c>
      <c r="B30" s="47" t="s">
        <v>74</v>
      </c>
      <c r="C30" s="53">
        <v>4.4000000000000004</v>
      </c>
      <c r="D30" s="50" t="s">
        <v>15</v>
      </c>
      <c r="E30" s="18">
        <f t="shared" si="0"/>
        <v>11889.504000000001</v>
      </c>
      <c r="F30" s="18">
        <f t="shared" si="3"/>
        <v>142674.04800000001</v>
      </c>
    </row>
    <row r="31" spans="1:9" ht="15" x14ac:dyDescent="0.25">
      <c r="A31" s="25" t="s">
        <v>43</v>
      </c>
      <c r="B31" s="55" t="s">
        <v>44</v>
      </c>
      <c r="C31" s="53">
        <v>1.32</v>
      </c>
      <c r="D31" s="50" t="s">
        <v>15</v>
      </c>
      <c r="E31" s="18">
        <f t="shared" si="0"/>
        <v>3566.8512000000001</v>
      </c>
      <c r="F31" s="18">
        <f t="shared" si="3"/>
        <v>42802.214399999997</v>
      </c>
    </row>
    <row r="32" spans="1:9" ht="15.75" x14ac:dyDescent="0.25">
      <c r="A32" s="25"/>
      <c r="B32" s="56" t="s">
        <v>46</v>
      </c>
      <c r="C32" s="57">
        <f>C10+C11+C12+C13+C14+C23+C25+C26+C27+C28+C30+C31</f>
        <v>22</v>
      </c>
      <c r="D32" s="50"/>
      <c r="E32" s="18">
        <f t="shared" si="0"/>
        <v>59447.519999999997</v>
      </c>
      <c r="F32" s="18">
        <f>F10+F11+F12+F13+F14+F23+F25+F27+F28+F30+F31+J23+F26</f>
        <v>713370.23999999976</v>
      </c>
    </row>
    <row r="33" spans="1:5" ht="15.75" x14ac:dyDescent="0.25">
      <c r="A33" s="58">
        <v>12</v>
      </c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D28B8-27D6-47A6-BB97-6135DA37E5FF}">
  <sheetPr>
    <tabColor rgb="FF92D050"/>
  </sheetPr>
  <dimension ref="A1:K125"/>
  <sheetViews>
    <sheetView topLeftCell="A37" zoomScale="80" zoomScaleNormal="80" workbookViewId="0">
      <selection activeCell="J10" sqref="J10"/>
    </sheetView>
  </sheetViews>
  <sheetFormatPr defaultColWidth="9.140625" defaultRowHeight="12.75" x14ac:dyDescent="0.2"/>
  <cols>
    <col min="1" max="1" width="4.85546875" style="122" customWidth="1"/>
    <col min="2" max="2" width="123.85546875" style="122" customWidth="1"/>
    <col min="3" max="3" width="18" style="122" customWidth="1"/>
    <col min="4" max="4" width="11.85546875" style="122" customWidth="1"/>
    <col min="5" max="5" width="11.42578125" style="122" customWidth="1"/>
    <col min="6" max="6" width="13.5703125" style="122" customWidth="1"/>
    <col min="7" max="7" width="11.28515625" style="122" hidden="1" customWidth="1"/>
    <col min="8" max="16384" width="9.140625" style="122"/>
  </cols>
  <sheetData>
    <row r="1" spans="1:7" x14ac:dyDescent="0.2">
      <c r="D1" s="281" t="s">
        <v>88</v>
      </c>
      <c r="E1" s="281"/>
      <c r="F1" s="281"/>
    </row>
    <row r="2" spans="1:7" x14ac:dyDescent="0.2">
      <c r="D2" s="281" t="s">
        <v>89</v>
      </c>
      <c r="E2" s="281"/>
      <c r="F2" s="281"/>
    </row>
    <row r="3" spans="1:7" x14ac:dyDescent="0.2">
      <c r="D3" s="281" t="s">
        <v>90</v>
      </c>
      <c r="E3" s="281"/>
      <c r="F3" s="281"/>
    </row>
    <row r="5" spans="1:7" ht="22.5" customHeight="1" x14ac:dyDescent="0.25">
      <c r="A5" s="264" t="s">
        <v>91</v>
      </c>
      <c r="B5" s="264"/>
      <c r="C5" s="264"/>
      <c r="D5" s="264"/>
      <c r="E5" s="264"/>
      <c r="F5" s="123" t="s">
        <v>190</v>
      </c>
      <c r="G5" s="124"/>
    </row>
    <row r="6" spans="1:7" ht="18" customHeight="1" x14ac:dyDescent="0.25">
      <c r="A6" s="269" t="s">
        <v>92</v>
      </c>
      <c r="B6" s="269"/>
      <c r="C6" s="269"/>
      <c r="D6" s="269"/>
      <c r="E6" s="269"/>
      <c r="F6" s="269"/>
      <c r="G6" s="124"/>
    </row>
    <row r="7" spans="1:7" ht="21.75" customHeight="1" x14ac:dyDescent="0.25">
      <c r="A7" s="269" t="s">
        <v>93</v>
      </c>
      <c r="B7" s="269"/>
      <c r="C7" s="270">
        <v>5</v>
      </c>
      <c r="D7" s="270"/>
      <c r="E7" s="270"/>
      <c r="F7" s="125"/>
      <c r="G7" s="124"/>
    </row>
    <row r="8" spans="1:7" ht="18.75" customHeight="1" x14ac:dyDescent="0.25">
      <c r="A8" s="126"/>
      <c r="B8" s="127" t="s">
        <v>94</v>
      </c>
      <c r="C8" s="270">
        <v>3409.3</v>
      </c>
      <c r="D8" s="270"/>
      <c r="E8" s="270"/>
      <c r="F8" s="128">
        <v>3558</v>
      </c>
      <c r="G8" s="124"/>
    </row>
    <row r="9" spans="1:7" ht="17.25" customHeight="1" x14ac:dyDescent="0.25">
      <c r="A9" s="268" t="s">
        <v>95</v>
      </c>
      <c r="B9" s="268"/>
      <c r="C9" s="263">
        <v>2981.1</v>
      </c>
      <c r="D9" s="263"/>
      <c r="E9" s="263"/>
      <c r="F9" s="127">
        <v>11</v>
      </c>
      <c r="G9" s="124"/>
    </row>
    <row r="10" spans="1:7" ht="18" customHeight="1" x14ac:dyDescent="0.25">
      <c r="A10" s="127"/>
      <c r="B10" s="127" t="s">
        <v>96</v>
      </c>
      <c r="C10" s="263">
        <v>4</v>
      </c>
      <c r="D10" s="263"/>
      <c r="E10" s="263"/>
      <c r="F10" s="129"/>
      <c r="G10" s="124"/>
    </row>
    <row r="11" spans="1:7" ht="19.5" customHeight="1" x14ac:dyDescent="0.25">
      <c r="A11" s="127"/>
      <c r="B11" s="127" t="s">
        <v>97</v>
      </c>
      <c r="C11" s="263">
        <v>1984</v>
      </c>
      <c r="D11" s="263"/>
      <c r="E11" s="263"/>
      <c r="F11" s="129"/>
      <c r="G11" s="124"/>
    </row>
    <row r="12" spans="1:7" ht="117" customHeight="1" x14ac:dyDescent="0.2">
      <c r="A12" s="130" t="s">
        <v>98</v>
      </c>
      <c r="B12" s="131" t="s">
        <v>99</v>
      </c>
      <c r="C12" s="131" t="s">
        <v>100</v>
      </c>
      <c r="D12" s="132" t="s">
        <v>101</v>
      </c>
      <c r="E12" s="133" t="s">
        <v>102</v>
      </c>
      <c r="F12" s="134" t="s">
        <v>103</v>
      </c>
      <c r="G12" s="135" t="s">
        <v>104</v>
      </c>
    </row>
    <row r="13" spans="1:7" ht="18.95" customHeight="1" x14ac:dyDescent="0.2">
      <c r="A13" s="130"/>
      <c r="B13" s="130" t="s">
        <v>105</v>
      </c>
      <c r="C13" s="136"/>
      <c r="D13" s="136"/>
      <c r="E13" s="137"/>
      <c r="F13" s="138"/>
      <c r="G13" s="139">
        <v>0</v>
      </c>
    </row>
    <row r="14" spans="1:7" ht="33" customHeight="1" x14ac:dyDescent="0.25">
      <c r="A14" s="140" t="s">
        <v>106</v>
      </c>
      <c r="B14" s="264" t="s">
        <v>107</v>
      </c>
      <c r="C14" s="264"/>
      <c r="D14" s="264"/>
      <c r="E14" s="264"/>
      <c r="F14" s="264"/>
      <c r="G14" s="124"/>
    </row>
    <row r="15" spans="1:7" ht="155.1" customHeight="1" x14ac:dyDescent="0.3">
      <c r="A15" s="141"/>
      <c r="B15" s="142" t="s">
        <v>108</v>
      </c>
      <c r="C15" s="143"/>
      <c r="D15" s="144">
        <f>E15*F9</f>
        <v>126577.50599999998</v>
      </c>
      <c r="E15" s="144">
        <f>F15*C9</f>
        <v>11507.045999999998</v>
      </c>
      <c r="F15" s="144">
        <f>F16+F17</f>
        <v>3.86</v>
      </c>
      <c r="G15" s="145"/>
    </row>
    <row r="16" spans="1:7" ht="18.95" customHeight="1" x14ac:dyDescent="0.25">
      <c r="A16" s="141"/>
      <c r="B16" s="146" t="s">
        <v>109</v>
      </c>
      <c r="C16" s="143" t="s">
        <v>110</v>
      </c>
      <c r="D16" s="144">
        <f>E16*F9</f>
        <v>28201.206000000002</v>
      </c>
      <c r="E16" s="144">
        <f>F16*C9</f>
        <v>2563.7460000000001</v>
      </c>
      <c r="F16" s="144">
        <v>0.86</v>
      </c>
      <c r="G16" s="145"/>
    </row>
    <row r="17" spans="1:7" ht="23.1" customHeight="1" x14ac:dyDescent="0.25">
      <c r="A17" s="141"/>
      <c r="B17" s="146" t="s">
        <v>111</v>
      </c>
      <c r="C17" s="143" t="s">
        <v>112</v>
      </c>
      <c r="D17" s="144">
        <f>E17*F9</f>
        <v>98376.299999999988</v>
      </c>
      <c r="E17" s="144">
        <f>F17*C9</f>
        <v>8943.2999999999993</v>
      </c>
      <c r="F17" s="144">
        <v>3</v>
      </c>
      <c r="G17" s="145"/>
    </row>
    <row r="18" spans="1:7" ht="37.5" customHeight="1" x14ac:dyDescent="0.2">
      <c r="A18" s="147" t="s">
        <v>113</v>
      </c>
      <c r="B18" s="265" t="s">
        <v>114</v>
      </c>
      <c r="C18" s="265"/>
      <c r="D18" s="265"/>
      <c r="E18" s="265"/>
      <c r="F18" s="265"/>
      <c r="G18" s="148"/>
    </row>
    <row r="19" spans="1:7" ht="12.95" customHeight="1" x14ac:dyDescent="0.2">
      <c r="A19" s="147"/>
      <c r="B19" s="149" t="s">
        <v>115</v>
      </c>
      <c r="C19" s="150" t="s">
        <v>116</v>
      </c>
      <c r="D19" s="150">
        <v>0</v>
      </c>
      <c r="E19" s="150">
        <v>0</v>
      </c>
      <c r="F19" s="150">
        <v>0</v>
      </c>
      <c r="G19" s="148">
        <v>0</v>
      </c>
    </row>
    <row r="20" spans="1:7" ht="42.75" customHeight="1" x14ac:dyDescent="0.3">
      <c r="A20" s="147"/>
      <c r="B20" s="151" t="s">
        <v>117</v>
      </c>
      <c r="C20" s="143" t="s">
        <v>110</v>
      </c>
      <c r="D20" s="152">
        <f>E20*F9</f>
        <v>13116.84</v>
      </c>
      <c r="E20" s="152">
        <f>F20*C9</f>
        <v>1192.44</v>
      </c>
      <c r="F20" s="153">
        <v>0.4</v>
      </c>
      <c r="G20" s="154">
        <v>0</v>
      </c>
    </row>
    <row r="21" spans="1:7" ht="14.25" customHeight="1" x14ac:dyDescent="0.25">
      <c r="A21" s="147"/>
      <c r="B21" s="155" t="s">
        <v>118</v>
      </c>
      <c r="C21" s="156" t="s">
        <v>116</v>
      </c>
      <c r="D21" s="156">
        <v>0</v>
      </c>
      <c r="E21" s="156">
        <v>0</v>
      </c>
      <c r="F21" s="127">
        <v>0</v>
      </c>
      <c r="G21" s="148">
        <v>0</v>
      </c>
    </row>
    <row r="22" spans="1:7" ht="18" customHeight="1" x14ac:dyDescent="0.25">
      <c r="A22" s="147"/>
      <c r="B22" s="155" t="s">
        <v>119</v>
      </c>
      <c r="C22" s="156" t="s">
        <v>116</v>
      </c>
      <c r="D22" s="156">
        <v>0</v>
      </c>
      <c r="E22" s="156">
        <v>0</v>
      </c>
      <c r="F22" s="156">
        <v>0</v>
      </c>
      <c r="G22" s="148">
        <v>0</v>
      </c>
    </row>
    <row r="23" spans="1:7" ht="39.75" customHeight="1" x14ac:dyDescent="0.3">
      <c r="A23" s="157"/>
      <c r="B23" s="158" t="s">
        <v>120</v>
      </c>
      <c r="C23" s="159"/>
      <c r="D23" s="160">
        <f>E23*F9</f>
        <v>81324.407999999996</v>
      </c>
      <c r="E23" s="161">
        <f>F23*C9</f>
        <v>7393.1279999999997</v>
      </c>
      <c r="F23" s="161">
        <v>2.48</v>
      </c>
      <c r="G23" s="162" t="e">
        <f>G24+#REF!+#REF!</f>
        <v>#REF!</v>
      </c>
    </row>
    <row r="24" spans="1:7" ht="65.099999999999994" customHeight="1" x14ac:dyDescent="0.25">
      <c r="A24" s="163"/>
      <c r="B24" s="164" t="s">
        <v>121</v>
      </c>
      <c r="C24" s="150" t="s">
        <v>15</v>
      </c>
      <c r="D24" s="165">
        <f>E24*F9</f>
        <v>81324.407999999996</v>
      </c>
      <c r="E24" s="165">
        <f>F24*C9</f>
        <v>7393.1279999999997</v>
      </c>
      <c r="F24" s="165">
        <v>2.48</v>
      </c>
      <c r="G24" s="166">
        <f>D24</f>
        <v>81324.407999999996</v>
      </c>
    </row>
    <row r="25" spans="1:7" ht="68.25" customHeight="1" x14ac:dyDescent="0.2">
      <c r="A25" s="163"/>
      <c r="B25" s="167" t="s">
        <v>122</v>
      </c>
      <c r="C25" s="150" t="s">
        <v>123</v>
      </c>
      <c r="D25" s="165">
        <f>E25*F9</f>
        <v>4918.8149999999996</v>
      </c>
      <c r="E25" s="165">
        <f>F25*C9</f>
        <v>447.16499999999996</v>
      </c>
      <c r="F25" s="168">
        <v>0.15</v>
      </c>
      <c r="G25" s="162">
        <f>D25</f>
        <v>4918.8149999999996</v>
      </c>
    </row>
    <row r="26" spans="1:7" ht="18" customHeight="1" x14ac:dyDescent="0.3">
      <c r="A26" s="169"/>
      <c r="B26" s="158" t="s">
        <v>124</v>
      </c>
      <c r="C26" s="159" t="s">
        <v>110</v>
      </c>
      <c r="D26" s="160">
        <f>E26*F9</f>
        <v>40334.282999999996</v>
      </c>
      <c r="E26" s="161">
        <f>F26*C9</f>
        <v>3666.7529999999997</v>
      </c>
      <c r="F26" s="161">
        <f>F30+F27+F29</f>
        <v>1.23</v>
      </c>
      <c r="G26" s="162" t="e">
        <f>G27+#REF!</f>
        <v>#REF!</v>
      </c>
    </row>
    <row r="27" spans="1:7" ht="15.95" customHeight="1" x14ac:dyDescent="0.25">
      <c r="A27" s="163"/>
      <c r="B27" s="170" t="s">
        <v>125</v>
      </c>
      <c r="C27" s="266" t="s">
        <v>15</v>
      </c>
      <c r="D27" s="267">
        <f>E27*F9</f>
        <v>29512.89</v>
      </c>
      <c r="E27" s="267">
        <f>F27*C9</f>
        <v>2682.99</v>
      </c>
      <c r="F27" s="267">
        <v>0.9</v>
      </c>
      <c r="G27" s="274">
        <f>D27</f>
        <v>29512.89</v>
      </c>
    </row>
    <row r="28" spans="1:7" ht="29.1" customHeight="1" x14ac:dyDescent="0.25">
      <c r="A28" s="163"/>
      <c r="B28" s="170" t="s">
        <v>126</v>
      </c>
      <c r="C28" s="266"/>
      <c r="D28" s="267"/>
      <c r="E28" s="267"/>
      <c r="F28" s="267"/>
      <c r="G28" s="273"/>
    </row>
    <row r="29" spans="1:7" ht="20.25" customHeight="1" x14ac:dyDescent="0.25">
      <c r="A29" s="163"/>
      <c r="B29" s="170"/>
      <c r="C29" s="171"/>
      <c r="D29" s="165"/>
      <c r="E29" s="165"/>
      <c r="F29" s="165"/>
      <c r="G29" s="172"/>
    </row>
    <row r="30" spans="1:7" ht="21" customHeight="1" x14ac:dyDescent="0.2">
      <c r="A30" s="163"/>
      <c r="B30" s="173" t="s">
        <v>127</v>
      </c>
      <c r="C30" s="171" t="s">
        <v>128</v>
      </c>
      <c r="D30" s="165">
        <f>E30*F9</f>
        <v>10821.393</v>
      </c>
      <c r="E30" s="165">
        <f>F30*C9</f>
        <v>983.76300000000003</v>
      </c>
      <c r="F30" s="165">
        <v>0.33</v>
      </c>
      <c r="G30" s="148">
        <v>0</v>
      </c>
    </row>
    <row r="31" spans="1:7" ht="39" customHeight="1" x14ac:dyDescent="0.3">
      <c r="A31" s="163"/>
      <c r="B31" s="158" t="s">
        <v>129</v>
      </c>
      <c r="C31" s="159" t="s">
        <v>130</v>
      </c>
      <c r="D31" s="165">
        <f>E31*F9</f>
        <v>8198.0249999999996</v>
      </c>
      <c r="E31" s="165">
        <f>F31*C9</f>
        <v>745.27499999999998</v>
      </c>
      <c r="F31" s="168">
        <v>0.25</v>
      </c>
      <c r="G31" s="148">
        <v>0</v>
      </c>
    </row>
    <row r="32" spans="1:7" ht="21.75" customHeight="1" x14ac:dyDescent="0.3">
      <c r="A32" s="163"/>
      <c r="B32" s="174" t="s">
        <v>131</v>
      </c>
      <c r="C32" s="156" t="s">
        <v>132</v>
      </c>
      <c r="D32" s="156">
        <f>E32*F9</f>
        <v>0</v>
      </c>
      <c r="E32" s="156">
        <f>F32*C9</f>
        <v>0</v>
      </c>
      <c r="F32" s="175">
        <v>0</v>
      </c>
      <c r="G32" s="148">
        <v>0</v>
      </c>
    </row>
    <row r="33" spans="1:11" ht="15.75" x14ac:dyDescent="0.25">
      <c r="A33" s="159"/>
      <c r="B33" s="176" t="s">
        <v>133</v>
      </c>
      <c r="C33" s="150"/>
      <c r="D33" s="160">
        <f>E33*F9</f>
        <v>147892.37100000001</v>
      </c>
      <c r="E33" s="161">
        <f>E20+E23+E25+E26+E31</f>
        <v>13444.761</v>
      </c>
      <c r="F33" s="161">
        <f>F20+F23+F26+F31+F32+F25</f>
        <v>4.51</v>
      </c>
      <c r="G33" s="162" t="e">
        <f>G26+G25+G23</f>
        <v>#REF!</v>
      </c>
    </row>
    <row r="34" spans="1:11" ht="22.5" customHeight="1" x14ac:dyDescent="0.2">
      <c r="A34" s="147" t="s">
        <v>134</v>
      </c>
      <c r="B34" s="255" t="s">
        <v>135</v>
      </c>
      <c r="C34" s="255"/>
      <c r="D34" s="255"/>
      <c r="E34" s="255"/>
      <c r="F34" s="255"/>
      <c r="G34" s="148"/>
    </row>
    <row r="35" spans="1:11" ht="18.95" customHeight="1" x14ac:dyDescent="0.3">
      <c r="A35" s="256"/>
      <c r="B35" s="158" t="s">
        <v>136</v>
      </c>
      <c r="C35" s="159"/>
      <c r="D35" s="161">
        <f>E35*12</f>
        <v>17886.599999999999</v>
      </c>
      <c r="E35" s="168">
        <f>F35*C9</f>
        <v>1490.55</v>
      </c>
      <c r="F35" s="168">
        <v>0.5</v>
      </c>
      <c r="G35" s="162" t="e">
        <f>G36+#REF!</f>
        <v>#REF!</v>
      </c>
    </row>
    <row r="36" spans="1:11" ht="15" customHeight="1" x14ac:dyDescent="0.2">
      <c r="A36" s="256"/>
      <c r="B36" s="177" t="s">
        <v>137</v>
      </c>
      <c r="C36" s="159" t="s">
        <v>138</v>
      </c>
      <c r="D36" s="275"/>
      <c r="E36" s="278"/>
      <c r="F36" s="278"/>
      <c r="G36" s="271">
        <v>119529.86</v>
      </c>
    </row>
    <row r="37" spans="1:11" ht="16.149999999999999" customHeight="1" x14ac:dyDescent="0.2">
      <c r="A37" s="256"/>
      <c r="B37" s="178" t="s">
        <v>139</v>
      </c>
      <c r="C37" s="159" t="s">
        <v>138</v>
      </c>
      <c r="D37" s="276"/>
      <c r="E37" s="279"/>
      <c r="F37" s="279"/>
      <c r="G37" s="272"/>
    </row>
    <row r="38" spans="1:11" ht="25.5" customHeight="1" x14ac:dyDescent="0.2">
      <c r="A38" s="256"/>
      <c r="B38" s="177" t="s">
        <v>140</v>
      </c>
      <c r="C38" s="150" t="s">
        <v>24</v>
      </c>
      <c r="D38" s="277"/>
      <c r="E38" s="280"/>
      <c r="F38" s="280"/>
      <c r="G38" s="273"/>
    </row>
    <row r="39" spans="1:11" ht="14.25" customHeight="1" x14ac:dyDescent="0.2">
      <c r="A39" s="163"/>
      <c r="B39" s="177" t="s">
        <v>141</v>
      </c>
      <c r="C39" s="150" t="s">
        <v>15</v>
      </c>
      <c r="D39" s="179">
        <f>E39*J39</f>
        <v>17886.599999999999</v>
      </c>
      <c r="E39" s="165">
        <f>F39*C9</f>
        <v>1490.55</v>
      </c>
      <c r="F39" s="165">
        <v>0.5</v>
      </c>
      <c r="G39" s="172"/>
      <c r="J39" s="122">
        <v>12</v>
      </c>
      <c r="K39" s="122">
        <v>13</v>
      </c>
    </row>
    <row r="40" spans="1:11" ht="54" customHeight="1" x14ac:dyDescent="0.3">
      <c r="A40" s="163"/>
      <c r="B40" s="158" t="s">
        <v>142</v>
      </c>
      <c r="C40" s="159" t="s">
        <v>110</v>
      </c>
      <c r="D40" s="161">
        <f>E40*F9</f>
        <v>147564.44999999998</v>
      </c>
      <c r="E40" s="161">
        <f>F40*C9</f>
        <v>13414.949999999999</v>
      </c>
      <c r="F40" s="161">
        <v>4.5</v>
      </c>
      <c r="G40" s="162" t="e">
        <f>G41+#REF!+#REF!+#REF!</f>
        <v>#REF!</v>
      </c>
      <c r="I40" s="122">
        <v>20000</v>
      </c>
    </row>
    <row r="41" spans="1:11" ht="14.25" customHeight="1" x14ac:dyDescent="0.25">
      <c r="A41" s="180"/>
      <c r="B41" s="177" t="s">
        <v>143</v>
      </c>
      <c r="C41" s="159" t="s">
        <v>144</v>
      </c>
      <c r="D41" s="254">
        <f>E41*F9</f>
        <v>147564.44999999998</v>
      </c>
      <c r="E41" s="254">
        <f>F41*C9</f>
        <v>13414.949999999999</v>
      </c>
      <c r="F41" s="254">
        <v>4.5</v>
      </c>
      <c r="G41" s="274">
        <f>D41</f>
        <v>147564.44999999998</v>
      </c>
      <c r="I41" s="122">
        <v>23000</v>
      </c>
      <c r="J41" s="122" t="s">
        <v>145</v>
      </c>
    </row>
    <row r="42" spans="1:11" ht="14.25" customHeight="1" x14ac:dyDescent="0.2">
      <c r="A42" s="159"/>
      <c r="B42" s="177" t="s">
        <v>146</v>
      </c>
      <c r="C42" s="159" t="s">
        <v>144</v>
      </c>
      <c r="D42" s="254"/>
      <c r="E42" s="254"/>
      <c r="F42" s="254"/>
      <c r="G42" s="272"/>
      <c r="I42" s="122">
        <f>I41+K42</f>
        <v>29946</v>
      </c>
      <c r="J42" s="122" t="s">
        <v>147</v>
      </c>
      <c r="K42" s="122">
        <v>6946</v>
      </c>
    </row>
    <row r="43" spans="1:11" ht="24.75" customHeight="1" x14ac:dyDescent="0.2">
      <c r="A43" s="159"/>
      <c r="B43" s="181" t="s">
        <v>148</v>
      </c>
      <c r="C43" s="138" t="s">
        <v>149</v>
      </c>
      <c r="D43" s="254"/>
      <c r="E43" s="254"/>
      <c r="F43" s="254"/>
      <c r="G43" s="272"/>
      <c r="I43" s="122">
        <v>2.54</v>
      </c>
      <c r="K43" s="122">
        <f>I42/J39</f>
        <v>2495.5</v>
      </c>
    </row>
    <row r="44" spans="1:11" ht="16.149999999999999" customHeight="1" x14ac:dyDescent="0.2">
      <c r="A44" s="159"/>
      <c r="B44" s="181" t="s">
        <v>150</v>
      </c>
      <c r="C44" s="138" t="s">
        <v>151</v>
      </c>
      <c r="D44" s="254"/>
      <c r="E44" s="254"/>
      <c r="F44" s="254"/>
      <c r="G44" s="273"/>
      <c r="K44" s="122">
        <f>K43*K39</f>
        <v>32441.5</v>
      </c>
    </row>
    <row r="45" spans="1:11" ht="27" customHeight="1" x14ac:dyDescent="0.25">
      <c r="A45" s="159"/>
      <c r="B45" s="182" t="s">
        <v>152</v>
      </c>
      <c r="C45" s="156" t="s">
        <v>116</v>
      </c>
      <c r="D45" s="156">
        <v>0</v>
      </c>
      <c r="E45" s="156">
        <v>0</v>
      </c>
      <c r="F45" s="156">
        <v>0</v>
      </c>
      <c r="G45" s="148"/>
    </row>
    <row r="46" spans="1:11" ht="39.75" customHeight="1" x14ac:dyDescent="0.25">
      <c r="A46" s="159"/>
      <c r="B46" s="182" t="s">
        <v>153</v>
      </c>
      <c r="C46" s="183" t="s">
        <v>149</v>
      </c>
      <c r="D46" s="156">
        <f>E46*F9</f>
        <v>0</v>
      </c>
      <c r="E46" s="156">
        <f>F46*C9</f>
        <v>0</v>
      </c>
      <c r="F46" s="156">
        <v>0</v>
      </c>
      <c r="G46" s="148"/>
    </row>
    <row r="47" spans="1:11" ht="55.5" customHeight="1" x14ac:dyDescent="0.2">
      <c r="A47" s="147"/>
      <c r="B47" s="184" t="s">
        <v>154</v>
      </c>
      <c r="C47" s="150" t="s">
        <v>110</v>
      </c>
      <c r="D47" s="161">
        <f>E47*F9</f>
        <v>3935.0519999999997</v>
      </c>
      <c r="E47" s="161">
        <f>F47*C9</f>
        <v>357.73199999999997</v>
      </c>
      <c r="F47" s="161">
        <v>0.12</v>
      </c>
      <c r="G47" s="162" t="e">
        <f>#REF!</f>
        <v>#REF!</v>
      </c>
    </row>
    <row r="48" spans="1:11" ht="39" customHeight="1" x14ac:dyDescent="0.3">
      <c r="A48" s="176"/>
      <c r="B48" s="158" t="s">
        <v>155</v>
      </c>
      <c r="C48" s="150" t="s">
        <v>156</v>
      </c>
      <c r="D48" s="185">
        <f>E48*F9</f>
        <v>45908.94</v>
      </c>
      <c r="E48" s="186">
        <f>F48*C9</f>
        <v>4173.54</v>
      </c>
      <c r="F48" s="185">
        <v>1.4</v>
      </c>
      <c r="G48" s="148">
        <f>D48</f>
        <v>45908.94</v>
      </c>
    </row>
    <row r="49" spans="1:7" ht="31.5" customHeight="1" x14ac:dyDescent="0.25">
      <c r="A49" s="176"/>
      <c r="B49" s="182" t="s">
        <v>157</v>
      </c>
      <c r="C49" s="183" t="s">
        <v>149</v>
      </c>
      <c r="D49" s="156">
        <v>0</v>
      </c>
      <c r="E49" s="156">
        <v>0</v>
      </c>
      <c r="F49" s="156">
        <v>0</v>
      </c>
      <c r="G49" s="148">
        <v>0</v>
      </c>
    </row>
    <row r="50" spans="1:7" ht="27.95" customHeight="1" x14ac:dyDescent="0.25">
      <c r="A50" s="176"/>
      <c r="B50" s="187" t="s">
        <v>158</v>
      </c>
      <c r="C50" s="183" t="s">
        <v>149</v>
      </c>
      <c r="D50" s="156">
        <v>0</v>
      </c>
      <c r="E50" s="156">
        <v>0</v>
      </c>
      <c r="F50" s="156">
        <v>0</v>
      </c>
      <c r="G50" s="148">
        <v>0</v>
      </c>
    </row>
    <row r="51" spans="1:7" ht="31.5" customHeight="1" x14ac:dyDescent="0.25">
      <c r="A51" s="185"/>
      <c r="B51" s="188" t="s">
        <v>159</v>
      </c>
      <c r="C51" s="150"/>
      <c r="D51" s="189">
        <f>E51*F9</f>
        <v>213804.49199999997</v>
      </c>
      <c r="E51" s="168">
        <f>F51*C9</f>
        <v>19436.771999999997</v>
      </c>
      <c r="F51" s="161">
        <f>F48+F47+F40+F35</f>
        <v>6.52</v>
      </c>
      <c r="G51" s="162" t="e">
        <f>#REF!+G48+G47+G40+G35</f>
        <v>#REF!</v>
      </c>
    </row>
    <row r="52" spans="1:7" ht="33" customHeight="1" x14ac:dyDescent="0.25">
      <c r="A52" s="185" t="s">
        <v>160</v>
      </c>
      <c r="B52" s="255" t="s">
        <v>161</v>
      </c>
      <c r="C52" s="255"/>
      <c r="D52" s="255"/>
      <c r="E52" s="255"/>
      <c r="F52" s="255"/>
      <c r="G52" s="148"/>
    </row>
    <row r="53" spans="1:7" ht="22.5" customHeight="1" x14ac:dyDescent="0.25">
      <c r="A53" s="185"/>
      <c r="B53" s="190" t="s">
        <v>162</v>
      </c>
      <c r="C53" s="191" t="s">
        <v>163</v>
      </c>
      <c r="D53" s="192">
        <f>E53*F9</f>
        <v>0</v>
      </c>
      <c r="E53" s="192">
        <v>0</v>
      </c>
      <c r="F53" s="192">
        <v>0</v>
      </c>
      <c r="G53" s="193">
        <f t="shared" ref="G53:G56" si="0">D53</f>
        <v>0</v>
      </c>
    </row>
    <row r="54" spans="1:7" ht="21" customHeight="1" x14ac:dyDescent="0.25">
      <c r="A54" s="185"/>
      <c r="B54" s="190" t="s">
        <v>164</v>
      </c>
      <c r="C54" s="191" t="s">
        <v>163</v>
      </c>
      <c r="D54" s="192">
        <f>E54*F9</f>
        <v>0</v>
      </c>
      <c r="E54" s="192">
        <v>0</v>
      </c>
      <c r="F54" s="192">
        <v>0</v>
      </c>
      <c r="G54" s="193">
        <v>187931.04</v>
      </c>
    </row>
    <row r="55" spans="1:7" ht="18" customHeight="1" x14ac:dyDescent="0.25">
      <c r="A55" s="185"/>
      <c r="B55" s="190" t="s">
        <v>165</v>
      </c>
      <c r="C55" s="191" t="s">
        <v>163</v>
      </c>
      <c r="D55" s="192">
        <v>0</v>
      </c>
      <c r="E55" s="192">
        <v>0</v>
      </c>
      <c r="F55" s="192">
        <v>0</v>
      </c>
      <c r="G55" s="193">
        <f t="shared" si="0"/>
        <v>0</v>
      </c>
    </row>
    <row r="56" spans="1:7" ht="18" customHeight="1" x14ac:dyDescent="0.25">
      <c r="A56" s="185"/>
      <c r="B56" s="190" t="s">
        <v>166</v>
      </c>
      <c r="C56" s="191" t="s">
        <v>163</v>
      </c>
      <c r="D56" s="192">
        <v>0</v>
      </c>
      <c r="E56" s="192">
        <v>0</v>
      </c>
      <c r="F56" s="192">
        <v>0</v>
      </c>
      <c r="G56" s="193">
        <f t="shared" si="0"/>
        <v>0</v>
      </c>
    </row>
    <row r="57" spans="1:7" ht="18" customHeight="1" x14ac:dyDescent="0.25">
      <c r="A57" s="185"/>
      <c r="B57" s="188" t="s">
        <v>167</v>
      </c>
      <c r="C57" s="191"/>
      <c r="D57" s="186">
        <f>D53+D54+D55+D56</f>
        <v>0</v>
      </c>
      <c r="E57" s="186">
        <f>F57*C9</f>
        <v>0</v>
      </c>
      <c r="F57" s="175">
        <f>F53+F54</f>
        <v>0</v>
      </c>
      <c r="G57" s="162">
        <f>G53+G54+G55+G56</f>
        <v>187931.04</v>
      </c>
    </row>
    <row r="58" spans="1:7" ht="16.7" customHeight="1" x14ac:dyDescent="0.25">
      <c r="A58" s="194" t="s">
        <v>160</v>
      </c>
      <c r="B58" s="255" t="s">
        <v>168</v>
      </c>
      <c r="C58" s="255"/>
      <c r="D58" s="255"/>
      <c r="E58" s="255"/>
      <c r="F58" s="255"/>
      <c r="G58" s="148"/>
    </row>
    <row r="59" spans="1:7" ht="16.7" customHeight="1" x14ac:dyDescent="0.25">
      <c r="A59" s="180"/>
      <c r="B59" s="195" t="s">
        <v>169</v>
      </c>
      <c r="C59" s="180"/>
      <c r="D59" s="196">
        <f>E59*F9</f>
        <v>108541.85100000001</v>
      </c>
      <c r="E59" s="186">
        <f>F59*C9</f>
        <v>9867.4410000000007</v>
      </c>
      <c r="F59" s="186">
        <v>3.31</v>
      </c>
      <c r="G59" s="162">
        <f>D59</f>
        <v>108541.85100000001</v>
      </c>
    </row>
    <row r="60" spans="1:7" ht="16.7" customHeight="1" x14ac:dyDescent="0.25">
      <c r="A60" s="180"/>
      <c r="B60" s="190" t="s">
        <v>170</v>
      </c>
      <c r="C60" s="246" t="s">
        <v>110</v>
      </c>
      <c r="D60" s="197">
        <v>63808.08</v>
      </c>
      <c r="E60" s="197">
        <v>5317.34</v>
      </c>
      <c r="F60" s="186">
        <v>1.9</v>
      </c>
      <c r="G60" s="162"/>
    </row>
    <row r="61" spans="1:7" ht="16.7" customHeight="1" x14ac:dyDescent="0.25">
      <c r="A61" s="180"/>
      <c r="B61" s="190" t="s">
        <v>171</v>
      </c>
      <c r="C61" s="247"/>
      <c r="D61" s="197">
        <v>47352.31</v>
      </c>
      <c r="E61" s="197">
        <v>3946.03</v>
      </c>
      <c r="F61" s="186">
        <v>1.41</v>
      </c>
      <c r="G61" s="162"/>
    </row>
    <row r="62" spans="1:7" ht="22.5" customHeight="1" x14ac:dyDescent="0.3">
      <c r="A62" s="180"/>
      <c r="B62" s="195" t="s">
        <v>172</v>
      </c>
      <c r="C62" s="198"/>
      <c r="D62" s="197"/>
      <c r="E62" s="197"/>
      <c r="F62" s="199">
        <v>15.2</v>
      </c>
      <c r="G62" s="162"/>
    </row>
    <row r="63" spans="1:7" ht="18" customHeight="1" x14ac:dyDescent="0.3">
      <c r="A63" s="194"/>
      <c r="B63" s="195" t="s">
        <v>173</v>
      </c>
      <c r="C63" s="127"/>
      <c r="D63" s="196">
        <f>E63*F9</f>
        <v>596816.22</v>
      </c>
      <c r="E63" s="186">
        <f>F63*C9</f>
        <v>54256.02</v>
      </c>
      <c r="F63" s="200">
        <f>F59+F51+F33+F15+F57</f>
        <v>18.2</v>
      </c>
      <c r="G63" s="162" t="e">
        <f>G59+G57+G51+G33+G15</f>
        <v>#REF!</v>
      </c>
    </row>
    <row r="64" spans="1:7" ht="21" customHeight="1" x14ac:dyDescent="0.3">
      <c r="A64" s="194"/>
      <c r="B64" s="195" t="s">
        <v>174</v>
      </c>
      <c r="C64" s="127"/>
      <c r="D64" s="196">
        <f>E64*F9</f>
        <v>18035.654999999999</v>
      </c>
      <c r="E64" s="186">
        <f>F64*C9</f>
        <v>1639.605</v>
      </c>
      <c r="F64" s="200">
        <v>0.55000000000000004</v>
      </c>
      <c r="G64" s="162"/>
    </row>
    <row r="65" spans="1:9" ht="21" customHeight="1" x14ac:dyDescent="0.3">
      <c r="A65" s="194"/>
      <c r="B65" s="195" t="s">
        <v>175</v>
      </c>
      <c r="C65" s="127"/>
      <c r="D65" s="196">
        <f>E65*F9</f>
        <v>18363.576000000001</v>
      </c>
      <c r="E65" s="186">
        <f>F65*C9</f>
        <v>1669.4160000000002</v>
      </c>
      <c r="F65" s="200">
        <v>0.56000000000000005</v>
      </c>
      <c r="G65" s="162"/>
    </row>
    <row r="66" spans="1:9" ht="21" customHeight="1" x14ac:dyDescent="0.3">
      <c r="A66" s="194"/>
      <c r="B66" s="195" t="s">
        <v>286</v>
      </c>
      <c r="C66" s="127"/>
      <c r="D66" s="201">
        <f>E66*F9</f>
        <v>44925.176999999996</v>
      </c>
      <c r="E66" s="186">
        <f>F66*C9</f>
        <v>4084.107</v>
      </c>
      <c r="F66" s="200">
        <v>1.37</v>
      </c>
      <c r="G66" s="162"/>
    </row>
    <row r="67" spans="1:9" ht="21" customHeight="1" x14ac:dyDescent="0.3">
      <c r="A67" s="194"/>
      <c r="B67" s="188" t="s">
        <v>46</v>
      </c>
      <c r="C67" s="127" t="s">
        <v>15</v>
      </c>
      <c r="D67" s="196">
        <f>E67*F9</f>
        <v>678140.62799999991</v>
      </c>
      <c r="E67" s="186">
        <f>F67*C9</f>
        <v>61649.147999999994</v>
      </c>
      <c r="F67" s="200">
        <f>F63+F64+F65+F66</f>
        <v>20.68</v>
      </c>
      <c r="G67" s="162"/>
      <c r="I67" s="122">
        <v>3</v>
      </c>
    </row>
    <row r="68" spans="1:9" ht="18.95" customHeight="1" x14ac:dyDescent="0.25">
      <c r="A68" s="202"/>
      <c r="B68" s="188" t="s">
        <v>176</v>
      </c>
      <c r="C68" s="203" t="s">
        <v>110</v>
      </c>
      <c r="D68" s="196">
        <f>E68*F9</f>
        <v>43285.572</v>
      </c>
      <c r="E68" s="186">
        <f>F68*C9</f>
        <v>3935.0520000000001</v>
      </c>
      <c r="F68" s="186">
        <v>1.32</v>
      </c>
      <c r="G68" s="162"/>
      <c r="H68" s="216"/>
      <c r="I68" s="122">
        <v>6</v>
      </c>
    </row>
    <row r="69" spans="1:9" ht="18.95" customHeight="1" x14ac:dyDescent="0.25">
      <c r="A69" s="202"/>
      <c r="B69" s="202" t="s">
        <v>177</v>
      </c>
      <c r="C69" s="202"/>
      <c r="D69" s="204">
        <f>E69*F9</f>
        <v>721426.2</v>
      </c>
      <c r="E69" s="205">
        <f>F69*C9</f>
        <v>65584.2</v>
      </c>
      <c r="F69" s="205">
        <f>F67+F68</f>
        <v>22</v>
      </c>
      <c r="G69" s="162"/>
    </row>
    <row r="70" spans="1:9" ht="18.95" customHeight="1" x14ac:dyDescent="0.25">
      <c r="A70" s="202"/>
      <c r="B70" s="202"/>
      <c r="C70" s="202"/>
      <c r="D70" s="204"/>
      <c r="E70" s="205"/>
      <c r="F70" s="205"/>
      <c r="G70" s="162"/>
    </row>
    <row r="71" spans="1:9" ht="18.95" customHeight="1" x14ac:dyDescent="0.25">
      <c r="A71" s="202"/>
      <c r="B71" s="202"/>
      <c r="C71" s="202"/>
      <c r="D71" s="204"/>
      <c r="E71" s="205"/>
      <c r="F71" s="205"/>
      <c r="G71" s="162"/>
    </row>
    <row r="72" spans="1:9" ht="18.95" customHeight="1" x14ac:dyDescent="0.25">
      <c r="A72" s="202"/>
      <c r="B72" s="202" t="s">
        <v>178</v>
      </c>
      <c r="C72" s="202"/>
      <c r="D72" s="204">
        <f>E72*F9</f>
        <v>98376.299999999988</v>
      </c>
      <c r="E72" s="205">
        <f>F72*C9</f>
        <v>8943.2999999999993</v>
      </c>
      <c r="F72" s="205">
        <v>3</v>
      </c>
      <c r="G72" s="162"/>
    </row>
    <row r="73" spans="1:9" ht="18.95" customHeight="1" x14ac:dyDescent="0.25">
      <c r="A73" s="202"/>
      <c r="B73" s="206" t="s">
        <v>179</v>
      </c>
      <c r="C73" s="202"/>
      <c r="D73" s="204">
        <f>E73*F9</f>
        <v>819802.5</v>
      </c>
      <c r="E73" s="205">
        <f>E69+E72</f>
        <v>74527.5</v>
      </c>
      <c r="F73" s="205">
        <v>25</v>
      </c>
      <c r="G73" s="162"/>
    </row>
    <row r="74" spans="1:9" ht="18.95" customHeight="1" x14ac:dyDescent="0.25">
      <c r="A74" s="202"/>
      <c r="B74" s="206"/>
      <c r="C74" s="202"/>
      <c r="D74" s="204"/>
      <c r="E74" s="205"/>
      <c r="F74" s="205"/>
      <c r="G74" s="162"/>
    </row>
    <row r="75" spans="1:9" ht="24" customHeight="1" x14ac:dyDescent="0.25">
      <c r="A75" s="207"/>
      <c r="B75" s="203" t="s">
        <v>180</v>
      </c>
      <c r="C75" s="178"/>
      <c r="D75" s="178"/>
      <c r="E75" s="178"/>
      <c r="F75" s="124"/>
      <c r="G75" s="124"/>
    </row>
    <row r="76" spans="1:9" ht="15.75" x14ac:dyDescent="0.25">
      <c r="A76" s="208"/>
      <c r="B76" s="209"/>
      <c r="C76" s="208"/>
      <c r="D76" s="208"/>
      <c r="E76" s="208"/>
      <c r="F76" s="124"/>
      <c r="G76" s="124"/>
    </row>
    <row r="77" spans="1:9" ht="15.75" x14ac:dyDescent="0.25">
      <c r="A77" s="208"/>
      <c r="B77" s="209"/>
      <c r="C77" s="208"/>
      <c r="D77" s="208"/>
      <c r="E77" s="208"/>
      <c r="F77" s="124"/>
      <c r="G77" s="124"/>
    </row>
    <row r="78" spans="1:9" ht="15.75" x14ac:dyDescent="0.25">
      <c r="A78" s="210">
        <v>0.06</v>
      </c>
      <c r="B78" s="209"/>
      <c r="C78" s="208"/>
      <c r="D78" s="208"/>
      <c r="E78" s="208"/>
      <c r="F78" s="124"/>
      <c r="G78" s="124"/>
    </row>
    <row r="79" spans="1:9" x14ac:dyDescent="0.2">
      <c r="A79" s="211"/>
      <c r="B79" s="211"/>
      <c r="C79" s="211"/>
      <c r="D79" s="211"/>
      <c r="E79" s="211"/>
    </row>
    <row r="80" spans="1:9" x14ac:dyDescent="0.2">
      <c r="C80" s="212"/>
      <c r="D80" s="212"/>
      <c r="E80" s="212"/>
    </row>
    <row r="81" spans="3:5" x14ac:dyDescent="0.2">
      <c r="C81" s="212"/>
      <c r="D81" s="212"/>
      <c r="E81" s="212"/>
    </row>
    <row r="82" spans="3:5" x14ac:dyDescent="0.2">
      <c r="C82" s="212"/>
      <c r="D82" s="212"/>
      <c r="E82" s="212"/>
    </row>
    <row r="83" spans="3:5" x14ac:dyDescent="0.2">
      <c r="C83" s="212"/>
      <c r="D83" s="212"/>
      <c r="E83" s="212"/>
    </row>
    <row r="84" spans="3:5" x14ac:dyDescent="0.2">
      <c r="C84" s="212"/>
      <c r="D84" s="212"/>
      <c r="E84" s="212"/>
    </row>
    <row r="85" spans="3:5" x14ac:dyDescent="0.2">
      <c r="C85" s="212"/>
      <c r="D85" s="212"/>
      <c r="E85" s="212"/>
    </row>
    <row r="86" spans="3:5" x14ac:dyDescent="0.2">
      <c r="C86" s="212"/>
      <c r="D86" s="212"/>
      <c r="E86" s="212"/>
    </row>
    <row r="87" spans="3:5" x14ac:dyDescent="0.2">
      <c r="C87" s="212"/>
      <c r="D87" s="212"/>
      <c r="E87" s="212"/>
    </row>
    <row r="88" spans="3:5" x14ac:dyDescent="0.2">
      <c r="C88" s="212"/>
      <c r="D88" s="212"/>
      <c r="E88" s="212"/>
    </row>
    <row r="89" spans="3:5" x14ac:dyDescent="0.2">
      <c r="C89" s="212"/>
      <c r="D89" s="212"/>
      <c r="E89" s="212"/>
    </row>
    <row r="90" spans="3:5" x14ac:dyDescent="0.2">
      <c r="C90" s="212"/>
      <c r="D90" s="212"/>
      <c r="E90" s="212"/>
    </row>
    <row r="91" spans="3:5" x14ac:dyDescent="0.2">
      <c r="C91" s="212"/>
      <c r="D91" s="212"/>
      <c r="E91" s="212"/>
    </row>
    <row r="92" spans="3:5" x14ac:dyDescent="0.2">
      <c r="C92" s="212"/>
      <c r="D92" s="212"/>
      <c r="E92" s="212"/>
    </row>
    <row r="93" spans="3:5" x14ac:dyDescent="0.2">
      <c r="C93" s="212"/>
      <c r="D93" s="212"/>
      <c r="E93" s="212"/>
    </row>
    <row r="94" spans="3:5" x14ac:dyDescent="0.2">
      <c r="C94" s="212"/>
      <c r="D94" s="212"/>
      <c r="E94" s="212"/>
    </row>
    <row r="95" spans="3:5" x14ac:dyDescent="0.2">
      <c r="C95" s="212"/>
      <c r="D95" s="212"/>
      <c r="E95" s="212"/>
    </row>
    <row r="96" spans="3:5" x14ac:dyDescent="0.2">
      <c r="C96" s="212"/>
      <c r="D96" s="212"/>
      <c r="E96" s="212"/>
    </row>
    <row r="97" spans="3:5" x14ac:dyDescent="0.2">
      <c r="C97" s="212"/>
      <c r="D97" s="212"/>
      <c r="E97" s="212"/>
    </row>
    <row r="98" spans="3:5" x14ac:dyDescent="0.2">
      <c r="C98" s="212"/>
      <c r="D98" s="212"/>
      <c r="E98" s="212"/>
    </row>
    <row r="99" spans="3:5" x14ac:dyDescent="0.2">
      <c r="C99" s="212"/>
      <c r="D99" s="212"/>
      <c r="E99" s="212"/>
    </row>
    <row r="100" spans="3:5" x14ac:dyDescent="0.2">
      <c r="C100" s="212"/>
      <c r="D100" s="212"/>
      <c r="E100" s="212"/>
    </row>
    <row r="101" spans="3:5" x14ac:dyDescent="0.2">
      <c r="C101" s="212"/>
      <c r="D101" s="212"/>
      <c r="E101" s="212"/>
    </row>
    <row r="102" spans="3:5" x14ac:dyDescent="0.2">
      <c r="C102" s="212"/>
      <c r="D102" s="212"/>
      <c r="E102" s="212"/>
    </row>
    <row r="103" spans="3:5" x14ac:dyDescent="0.2">
      <c r="C103" s="212"/>
      <c r="D103" s="212"/>
      <c r="E103" s="212"/>
    </row>
    <row r="104" spans="3:5" x14ac:dyDescent="0.2">
      <c r="C104" s="212"/>
      <c r="D104" s="212"/>
      <c r="E104" s="212"/>
    </row>
    <row r="105" spans="3:5" x14ac:dyDescent="0.2">
      <c r="C105" s="212"/>
      <c r="D105" s="212"/>
      <c r="E105" s="212"/>
    </row>
    <row r="106" spans="3:5" x14ac:dyDescent="0.2">
      <c r="C106" s="212"/>
      <c r="D106" s="212"/>
      <c r="E106" s="212"/>
    </row>
    <row r="107" spans="3:5" x14ac:dyDescent="0.2">
      <c r="C107" s="212"/>
      <c r="D107" s="212"/>
      <c r="E107" s="212"/>
    </row>
    <row r="108" spans="3:5" x14ac:dyDescent="0.2">
      <c r="C108" s="212"/>
      <c r="D108" s="212"/>
      <c r="E108" s="212"/>
    </row>
    <row r="109" spans="3:5" x14ac:dyDescent="0.2">
      <c r="C109" s="212"/>
      <c r="D109" s="212"/>
      <c r="E109" s="212"/>
    </row>
    <row r="110" spans="3:5" x14ac:dyDescent="0.2">
      <c r="C110" s="212"/>
      <c r="D110" s="212"/>
      <c r="E110" s="212"/>
    </row>
    <row r="111" spans="3:5" x14ac:dyDescent="0.2">
      <c r="C111" s="212"/>
      <c r="D111" s="212"/>
      <c r="E111" s="212"/>
    </row>
    <row r="112" spans="3:5" x14ac:dyDescent="0.2">
      <c r="C112" s="212"/>
      <c r="D112" s="212"/>
      <c r="E112" s="212"/>
    </row>
    <row r="113" spans="3:5" x14ac:dyDescent="0.2">
      <c r="C113" s="212"/>
      <c r="D113" s="212"/>
      <c r="E113" s="212"/>
    </row>
    <row r="114" spans="3:5" x14ac:dyDescent="0.2">
      <c r="C114" s="212"/>
      <c r="D114" s="212"/>
      <c r="E114" s="212"/>
    </row>
    <row r="115" spans="3:5" x14ac:dyDescent="0.2">
      <c r="C115" s="212"/>
      <c r="D115" s="212"/>
      <c r="E115" s="212"/>
    </row>
    <row r="116" spans="3:5" x14ac:dyDescent="0.2">
      <c r="C116" s="212"/>
      <c r="D116" s="212"/>
      <c r="E116" s="212"/>
    </row>
    <row r="117" spans="3:5" x14ac:dyDescent="0.2">
      <c r="C117" s="212"/>
      <c r="D117" s="212"/>
      <c r="E117" s="212"/>
    </row>
    <row r="118" spans="3:5" x14ac:dyDescent="0.2">
      <c r="C118" s="212"/>
      <c r="D118" s="212"/>
      <c r="E118" s="212"/>
    </row>
    <row r="119" spans="3:5" x14ac:dyDescent="0.2">
      <c r="C119" s="212"/>
      <c r="D119" s="212"/>
      <c r="E119" s="212"/>
    </row>
    <row r="120" spans="3:5" x14ac:dyDescent="0.2">
      <c r="C120" s="212"/>
      <c r="D120" s="212"/>
      <c r="E120" s="212"/>
    </row>
    <row r="121" spans="3:5" x14ac:dyDescent="0.2">
      <c r="C121" s="212"/>
      <c r="D121" s="212"/>
      <c r="E121" s="212"/>
    </row>
    <row r="122" spans="3:5" x14ac:dyDescent="0.2">
      <c r="C122" s="212"/>
      <c r="D122" s="212"/>
      <c r="E122" s="212"/>
    </row>
    <row r="123" spans="3:5" x14ac:dyDescent="0.2">
      <c r="C123" s="212"/>
      <c r="D123" s="212"/>
      <c r="E123" s="212"/>
    </row>
    <row r="124" spans="3:5" x14ac:dyDescent="0.2">
      <c r="C124" s="212"/>
      <c r="D124" s="212"/>
      <c r="E124" s="212"/>
    </row>
    <row r="125" spans="3:5" x14ac:dyDescent="0.2">
      <c r="C125" s="212"/>
      <c r="D125" s="212"/>
      <c r="E125" s="212"/>
    </row>
  </sheetData>
  <sheetProtection selectLockedCells="1" selectUnlockedCells="1"/>
  <mergeCells count="32">
    <mergeCell ref="G27:G28"/>
    <mergeCell ref="B34:F34"/>
    <mergeCell ref="B14:F14"/>
    <mergeCell ref="D1:F1"/>
    <mergeCell ref="D2:F2"/>
    <mergeCell ref="D3:F3"/>
    <mergeCell ref="A5:E5"/>
    <mergeCell ref="A6:F6"/>
    <mergeCell ref="A7:B7"/>
    <mergeCell ref="C7:E7"/>
    <mergeCell ref="C8:E8"/>
    <mergeCell ref="A9:B9"/>
    <mergeCell ref="C9:E9"/>
    <mergeCell ref="C10:E10"/>
    <mergeCell ref="C11:E11"/>
    <mergeCell ref="B18:F18"/>
    <mergeCell ref="C27:C28"/>
    <mergeCell ref="D27:D28"/>
    <mergeCell ref="E27:E28"/>
    <mergeCell ref="F27:F28"/>
    <mergeCell ref="C60:C61"/>
    <mergeCell ref="D41:D44"/>
    <mergeCell ref="E41:E44"/>
    <mergeCell ref="F41:F44"/>
    <mergeCell ref="G36:G38"/>
    <mergeCell ref="G41:G44"/>
    <mergeCell ref="B52:F52"/>
    <mergeCell ref="B58:F58"/>
    <mergeCell ref="A35:A38"/>
    <mergeCell ref="D36:D38"/>
    <mergeCell ref="E36:E38"/>
    <mergeCell ref="F36:F38"/>
  </mergeCells>
  <pageMargins left="0.25" right="0.25" top="0.75" bottom="0.75" header="0.3" footer="0.3"/>
  <pageSetup paperSize="9" scale="75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92D050"/>
  </sheetPr>
  <dimension ref="A1:I43"/>
  <sheetViews>
    <sheetView workbookViewId="0">
      <selection activeCell="J31" sqref="J31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285</v>
      </c>
      <c r="C4" s="3"/>
      <c r="D4" s="3"/>
    </row>
    <row r="5" spans="1:6" x14ac:dyDescent="0.2">
      <c r="B5" s="3"/>
      <c r="C5" s="3"/>
      <c r="D5" s="3"/>
      <c r="F5" s="1">
        <v>2450.4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2.64</v>
      </c>
      <c r="D10" s="50" t="s">
        <v>15</v>
      </c>
      <c r="E10" s="18">
        <f>C10*2450.4</f>
        <v>6469.0560000000005</v>
      </c>
      <c r="F10" s="18">
        <f>E10*12</f>
        <v>77628.672000000006</v>
      </c>
    </row>
    <row r="11" spans="1:6" ht="15" x14ac:dyDescent="0.25">
      <c r="A11" s="10"/>
      <c r="B11" s="15" t="s">
        <v>76</v>
      </c>
      <c r="C11" s="16">
        <v>0.25</v>
      </c>
      <c r="D11" s="88" t="s">
        <v>20</v>
      </c>
      <c r="E11" s="18">
        <f t="shared" ref="E11:E33" si="0">C11*2450.4</f>
        <v>612.6</v>
      </c>
      <c r="F11" s="18">
        <f>E11*12</f>
        <v>7351.2000000000007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2205.36</v>
      </c>
      <c r="F12" s="18">
        <f t="shared" ref="F12:F13" si="1">E12*12</f>
        <v>26464.32</v>
      </c>
    </row>
    <row r="13" spans="1:6" ht="39" x14ac:dyDescent="0.25">
      <c r="A13" s="22" t="s">
        <v>18</v>
      </c>
      <c r="B13" s="15" t="s">
        <v>19</v>
      </c>
      <c r="C13" s="23">
        <v>0.2</v>
      </c>
      <c r="D13" s="88" t="s">
        <v>20</v>
      </c>
      <c r="E13" s="18">
        <f t="shared" si="0"/>
        <v>490.08000000000004</v>
      </c>
      <c r="F13" s="18">
        <f t="shared" si="1"/>
        <v>5880.9600000000009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1.29</v>
      </c>
      <c r="D14" s="27"/>
      <c r="E14" s="18">
        <f t="shared" si="0"/>
        <v>3161.0160000000001</v>
      </c>
      <c r="F14" s="18">
        <f>F15+F16+F17+F19+F21+F20</f>
        <v>37932.192000000003</v>
      </c>
    </row>
    <row r="15" spans="1:6" ht="15" x14ac:dyDescent="0.25">
      <c r="A15" s="28"/>
      <c r="B15" s="29" t="s">
        <v>23</v>
      </c>
      <c r="C15" s="89">
        <v>0.09</v>
      </c>
      <c r="D15" s="31" t="s">
        <v>24</v>
      </c>
      <c r="E15" s="18">
        <f t="shared" si="0"/>
        <v>220.536</v>
      </c>
      <c r="F15" s="20">
        <f>E15*12</f>
        <v>2646.4319999999998</v>
      </c>
    </row>
    <row r="16" spans="1:6" ht="24.75" x14ac:dyDescent="0.25">
      <c r="A16" s="28"/>
      <c r="B16" s="29" t="s">
        <v>25</v>
      </c>
      <c r="C16" s="89">
        <v>0.22</v>
      </c>
      <c r="D16" s="32" t="s">
        <v>20</v>
      </c>
      <c r="E16" s="18">
        <f t="shared" si="0"/>
        <v>539.08800000000008</v>
      </c>
      <c r="F16" s="20">
        <f t="shared" ref="F16:F21" si="2">E16*12</f>
        <v>6469.0560000000005</v>
      </c>
    </row>
    <row r="17" spans="1:9" ht="15" x14ac:dyDescent="0.25">
      <c r="A17" s="28"/>
      <c r="B17" s="33" t="s">
        <v>26</v>
      </c>
      <c r="C17" s="89">
        <v>0.9</v>
      </c>
      <c r="D17" s="34"/>
      <c r="E17" s="18">
        <f t="shared" si="0"/>
        <v>2205.36</v>
      </c>
      <c r="F17" s="20">
        <f t="shared" si="2"/>
        <v>26464.32</v>
      </c>
    </row>
    <row r="18" spans="1:9" ht="41.1" customHeight="1" x14ac:dyDescent="0.25">
      <c r="A18" s="25"/>
      <c r="B18" s="35" t="s">
        <v>27</v>
      </c>
      <c r="C18" s="90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86">
        <v>0.02</v>
      </c>
      <c r="D19" s="40" t="s">
        <v>30</v>
      </c>
      <c r="E19" s="18">
        <f t="shared" si="0"/>
        <v>49.008000000000003</v>
      </c>
      <c r="F19" s="20">
        <f>E19*12</f>
        <v>588.096</v>
      </c>
    </row>
    <row r="20" spans="1:9" ht="15" x14ac:dyDescent="0.25">
      <c r="A20" s="28"/>
      <c r="B20" s="38" t="s">
        <v>54</v>
      </c>
      <c r="C20" s="92">
        <v>0.04</v>
      </c>
      <c r="D20" s="42" t="s">
        <v>29</v>
      </c>
      <c r="E20" s="18">
        <f t="shared" si="0"/>
        <v>98.016000000000005</v>
      </c>
      <c r="F20" s="20">
        <f t="shared" ref="F20" si="3">E20*12</f>
        <v>1176.192</v>
      </c>
    </row>
    <row r="21" spans="1:9" ht="24.75" x14ac:dyDescent="0.25">
      <c r="A21" s="19"/>
      <c r="B21" s="38" t="s">
        <v>55</v>
      </c>
      <c r="C21" s="92">
        <v>0.02</v>
      </c>
      <c r="D21" s="108" t="s">
        <v>59</v>
      </c>
      <c r="E21" s="18">
        <f t="shared" si="0"/>
        <v>49.008000000000003</v>
      </c>
      <c r="F21" s="20">
        <f t="shared" si="2"/>
        <v>588.096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2.75</v>
      </c>
      <c r="D24" s="108" t="s">
        <v>59</v>
      </c>
      <c r="E24" s="18">
        <f t="shared" si="0"/>
        <v>6738.6</v>
      </c>
      <c r="F24" s="18">
        <f>E24*12</f>
        <v>80863.200000000012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8">
        <f t="shared" ref="F25:F32" si="4">E25*12</f>
        <v>0</v>
      </c>
    </row>
    <row r="26" spans="1:9" ht="15" x14ac:dyDescent="0.25">
      <c r="A26" s="82"/>
      <c r="B26" s="47" t="s">
        <v>38</v>
      </c>
      <c r="C26" s="83">
        <v>3.25</v>
      </c>
      <c r="D26" s="108" t="s">
        <v>59</v>
      </c>
      <c r="E26" s="18">
        <f t="shared" si="0"/>
        <v>7963.8</v>
      </c>
      <c r="F26" s="18">
        <f t="shared" si="4"/>
        <v>95565.6</v>
      </c>
    </row>
    <row r="27" spans="1:9" ht="15" x14ac:dyDescent="0.25">
      <c r="A27" s="82"/>
      <c r="B27" s="47" t="s">
        <v>77</v>
      </c>
      <c r="C27" s="83">
        <v>2.8</v>
      </c>
      <c r="D27" s="108" t="s">
        <v>59</v>
      </c>
      <c r="E27" s="18">
        <f t="shared" si="0"/>
        <v>6861.12</v>
      </c>
      <c r="F27" s="18">
        <f t="shared" si="4"/>
        <v>82333.440000000002</v>
      </c>
    </row>
    <row r="28" spans="1:9" ht="51.75" x14ac:dyDescent="0.25">
      <c r="A28" s="24" t="s">
        <v>39</v>
      </c>
      <c r="B28" s="80" t="s">
        <v>57</v>
      </c>
      <c r="C28" s="79">
        <v>0.12</v>
      </c>
      <c r="D28" s="27" t="s">
        <v>72</v>
      </c>
      <c r="E28" s="18">
        <f t="shared" si="0"/>
        <v>294.048</v>
      </c>
      <c r="F28" s="18">
        <f t="shared" si="4"/>
        <v>3528.576</v>
      </c>
    </row>
    <row r="29" spans="1:9" ht="15" x14ac:dyDescent="0.25">
      <c r="A29" s="25" t="s">
        <v>41</v>
      </c>
      <c r="B29" s="48" t="s">
        <v>73</v>
      </c>
      <c r="C29" s="49">
        <v>2.5</v>
      </c>
      <c r="D29" s="50" t="s">
        <v>30</v>
      </c>
      <c r="E29" s="18">
        <f t="shared" si="0"/>
        <v>6126</v>
      </c>
      <c r="F29" s="18">
        <f t="shared" si="4"/>
        <v>73512</v>
      </c>
      <c r="G29" s="62"/>
    </row>
    <row r="30" spans="1:9" ht="34.5" x14ac:dyDescent="0.25">
      <c r="A30" s="25"/>
      <c r="B30" s="52" t="s">
        <v>40</v>
      </c>
      <c r="C30" s="53"/>
      <c r="D30" s="50"/>
      <c r="E30" s="18">
        <f t="shared" si="0"/>
        <v>0</v>
      </c>
      <c r="F30" s="18">
        <f t="shared" si="4"/>
        <v>0</v>
      </c>
    </row>
    <row r="31" spans="1:9" ht="15" x14ac:dyDescent="0.25">
      <c r="A31" s="25" t="s">
        <v>42</v>
      </c>
      <c r="B31" s="47" t="s">
        <v>74</v>
      </c>
      <c r="C31" s="53">
        <v>4.45</v>
      </c>
      <c r="D31" s="50" t="s">
        <v>15</v>
      </c>
      <c r="E31" s="18">
        <f t="shared" si="0"/>
        <v>10904.28</v>
      </c>
      <c r="F31" s="18">
        <f t="shared" si="4"/>
        <v>130851.36000000002</v>
      </c>
    </row>
    <row r="32" spans="1:9" ht="15" x14ac:dyDescent="0.25">
      <c r="A32" s="25" t="s">
        <v>43</v>
      </c>
      <c r="B32" s="55" t="s">
        <v>44</v>
      </c>
      <c r="C32" s="53">
        <v>1.35</v>
      </c>
      <c r="D32" s="50" t="s">
        <v>15</v>
      </c>
      <c r="E32" s="18">
        <f t="shared" si="0"/>
        <v>3308.0400000000004</v>
      </c>
      <c r="F32" s="18">
        <f t="shared" si="4"/>
        <v>39696.480000000003</v>
      </c>
    </row>
    <row r="33" spans="1:6" ht="15.75" x14ac:dyDescent="0.25">
      <c r="A33" s="25"/>
      <c r="B33" s="56" t="s">
        <v>46</v>
      </c>
      <c r="C33" s="57">
        <f>C10+C11+C12+C13+C14+C24+C26+C27+C28+C29+C31+C32</f>
        <v>22.500000000000004</v>
      </c>
      <c r="D33" s="50"/>
      <c r="E33" s="18">
        <f t="shared" si="0"/>
        <v>55134.000000000007</v>
      </c>
      <c r="F33" s="18">
        <f>F10+F11+F12+F13+F14+F24+F26+F27+F28+F29+F31+F32</f>
        <v>661608</v>
      </c>
    </row>
    <row r="34" spans="1:6" ht="15.75" x14ac:dyDescent="0.25">
      <c r="A34" s="58"/>
      <c r="B34" s="3"/>
      <c r="C34" s="59"/>
      <c r="D34" s="60"/>
    </row>
    <row r="35" spans="1:6" x14ac:dyDescent="0.2">
      <c r="A35" s="58"/>
      <c r="C35" s="66"/>
      <c r="E35" s="54"/>
    </row>
    <row r="36" spans="1:6" x14ac:dyDescent="0.2">
      <c r="A36" s="58"/>
      <c r="B36" s="2" t="s">
        <v>47</v>
      </c>
      <c r="C36" s="1" t="s">
        <v>58</v>
      </c>
    </row>
    <row r="37" spans="1:6" x14ac:dyDescent="0.2">
      <c r="B37" s="1" t="s">
        <v>48</v>
      </c>
      <c r="D37" s="1" t="s">
        <v>49</v>
      </c>
    </row>
    <row r="39" spans="1:6" x14ac:dyDescent="0.2">
      <c r="B39" s="1" t="s">
        <v>50</v>
      </c>
      <c r="D39" s="1" t="s">
        <v>51</v>
      </c>
    </row>
    <row r="40" spans="1:6" x14ac:dyDescent="0.2">
      <c r="B40" s="1" t="s">
        <v>52</v>
      </c>
      <c r="D40" s="1" t="s">
        <v>51</v>
      </c>
    </row>
    <row r="41" spans="1:6" x14ac:dyDescent="0.2">
      <c r="B41" s="1" t="s">
        <v>52</v>
      </c>
      <c r="D41" s="1" t="s">
        <v>51</v>
      </c>
    </row>
    <row r="42" spans="1:6" x14ac:dyDescent="0.2">
      <c r="B42" s="1" t="s">
        <v>52</v>
      </c>
      <c r="D42" s="1" t="s">
        <v>51</v>
      </c>
    </row>
    <row r="43" spans="1:6" x14ac:dyDescent="0.2">
      <c r="B43" s="1" t="s">
        <v>52</v>
      </c>
      <c r="D43" s="1" t="s">
        <v>51</v>
      </c>
    </row>
  </sheetData>
  <mergeCells count="1">
    <mergeCell ref="A2:D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92D050"/>
  </sheetPr>
  <dimension ref="A1:I39"/>
  <sheetViews>
    <sheetView workbookViewId="0">
      <selection activeCell="H8" sqref="H8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287</v>
      </c>
      <c r="C4" s="3"/>
      <c r="D4" s="3"/>
    </row>
    <row r="5" spans="1:6" x14ac:dyDescent="0.2">
      <c r="B5" s="3"/>
      <c r="C5" s="3"/>
      <c r="D5" s="3"/>
      <c r="F5" s="1">
        <v>1686.7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1</v>
      </c>
      <c r="D10" s="50" t="s">
        <v>15</v>
      </c>
      <c r="E10" s="18">
        <f>C10*1686.7</f>
        <v>1686.7</v>
      </c>
      <c r="F10" s="18">
        <f>E10*12</f>
        <v>20240.400000000001</v>
      </c>
    </row>
    <row r="11" spans="1:6" ht="39" x14ac:dyDescent="0.25">
      <c r="A11" s="10" t="s">
        <v>16</v>
      </c>
      <c r="B11" s="15" t="s">
        <v>17</v>
      </c>
      <c r="C11" s="21">
        <v>0.5</v>
      </c>
      <c r="D11" s="50" t="s">
        <v>15</v>
      </c>
      <c r="E11" s="18">
        <f t="shared" ref="E11:E29" si="0">C11*1686.7</f>
        <v>843.35</v>
      </c>
      <c r="F11" s="18">
        <f t="shared" ref="F11:F12" si="1">E11*12</f>
        <v>10120.200000000001</v>
      </c>
    </row>
    <row r="12" spans="1:6" ht="39" x14ac:dyDescent="0.25">
      <c r="A12" s="22" t="s">
        <v>18</v>
      </c>
      <c r="B12" s="15" t="s">
        <v>19</v>
      </c>
      <c r="C12" s="23">
        <v>0.1</v>
      </c>
      <c r="D12" s="88" t="s">
        <v>20</v>
      </c>
      <c r="E12" s="18">
        <f t="shared" si="0"/>
        <v>168.67000000000002</v>
      </c>
      <c r="F12" s="18">
        <f t="shared" si="1"/>
        <v>2024.0400000000002</v>
      </c>
    </row>
    <row r="13" spans="1:6" ht="15.75" x14ac:dyDescent="0.25">
      <c r="A13" s="25" t="s">
        <v>21</v>
      </c>
      <c r="B13" s="26" t="s">
        <v>22</v>
      </c>
      <c r="C13" s="83">
        <f>C14+C15+C16+C18+C19</f>
        <v>0.84</v>
      </c>
      <c r="D13" s="88"/>
      <c r="E13" s="18">
        <f t="shared" si="0"/>
        <v>1416.828</v>
      </c>
      <c r="F13" s="18">
        <f>F14+F15+F16+F18+F19</f>
        <v>17001.936000000002</v>
      </c>
    </row>
    <row r="14" spans="1:6" ht="15" x14ac:dyDescent="0.25">
      <c r="A14" s="28"/>
      <c r="B14" s="29" t="s">
        <v>23</v>
      </c>
      <c r="C14" s="89">
        <v>0.09</v>
      </c>
      <c r="D14" s="113" t="s">
        <v>24</v>
      </c>
      <c r="E14" s="18">
        <f t="shared" si="0"/>
        <v>151.803</v>
      </c>
      <c r="F14" s="96">
        <f>E14*12</f>
        <v>1821.636</v>
      </c>
    </row>
    <row r="15" spans="1:6" ht="24.75" x14ac:dyDescent="0.25">
      <c r="A15" s="28"/>
      <c r="B15" s="29" t="s">
        <v>25</v>
      </c>
      <c r="C15" s="89">
        <v>0.26</v>
      </c>
      <c r="D15" s="112" t="s">
        <v>20</v>
      </c>
      <c r="E15" s="18">
        <f t="shared" si="0"/>
        <v>438.54200000000003</v>
      </c>
      <c r="F15" s="96">
        <f t="shared" ref="F15:F16" si="2">E15*12</f>
        <v>5262.5040000000008</v>
      </c>
    </row>
    <row r="16" spans="1:6" ht="15" x14ac:dyDescent="0.25">
      <c r="A16" s="28"/>
      <c r="B16" s="33" t="s">
        <v>26</v>
      </c>
      <c r="C16" s="89">
        <v>0.36</v>
      </c>
      <c r="D16" s="110"/>
      <c r="E16" s="18">
        <f t="shared" si="0"/>
        <v>607.21199999999999</v>
      </c>
      <c r="F16" s="96">
        <f t="shared" si="2"/>
        <v>7286.5439999999999</v>
      </c>
    </row>
    <row r="17" spans="1:9" ht="41.1" customHeight="1" x14ac:dyDescent="0.25">
      <c r="A17" s="25"/>
      <c r="B17" s="35" t="s">
        <v>27</v>
      </c>
      <c r="C17" s="90"/>
      <c r="D17" s="114" t="s">
        <v>28</v>
      </c>
      <c r="E17" s="18">
        <f t="shared" si="0"/>
        <v>0</v>
      </c>
      <c r="F17" s="85"/>
    </row>
    <row r="18" spans="1:9" ht="24.75" x14ac:dyDescent="0.25">
      <c r="A18" s="28"/>
      <c r="B18" s="94" t="s">
        <v>65</v>
      </c>
      <c r="C18" s="86">
        <v>0.03</v>
      </c>
      <c r="D18" s="115" t="s">
        <v>30</v>
      </c>
      <c r="E18" s="18">
        <f t="shared" si="0"/>
        <v>50.600999999999999</v>
      </c>
      <c r="F18" s="96">
        <f>E18*12</f>
        <v>607.21199999999999</v>
      </c>
    </row>
    <row r="19" spans="1:9" ht="15" x14ac:dyDescent="0.25">
      <c r="A19" s="28"/>
      <c r="B19" s="38" t="s">
        <v>54</v>
      </c>
      <c r="C19" s="92">
        <v>0.1</v>
      </c>
      <c r="D19" s="108" t="s">
        <v>29</v>
      </c>
      <c r="E19" s="18">
        <f t="shared" si="0"/>
        <v>168.67000000000002</v>
      </c>
      <c r="F19" s="96">
        <f t="shared" ref="F19" si="3">E19*12</f>
        <v>2024.0400000000002</v>
      </c>
    </row>
    <row r="20" spans="1:9" ht="39" x14ac:dyDescent="0.25">
      <c r="A20" s="23" t="s">
        <v>32</v>
      </c>
      <c r="B20" s="43" t="s">
        <v>33</v>
      </c>
      <c r="C20" s="81"/>
      <c r="D20" s="81"/>
      <c r="E20" s="18">
        <f t="shared" si="0"/>
        <v>0</v>
      </c>
      <c r="F20" s="14"/>
      <c r="I20" s="1" t="s">
        <v>56</v>
      </c>
    </row>
    <row r="21" spans="1:9" ht="15" x14ac:dyDescent="0.25">
      <c r="A21" s="81"/>
      <c r="B21" s="4" t="s">
        <v>34</v>
      </c>
      <c r="C21" s="81"/>
      <c r="D21" s="4"/>
      <c r="E21" s="18">
        <f t="shared" si="0"/>
        <v>0</v>
      </c>
      <c r="F21" s="14"/>
    </row>
    <row r="22" spans="1:9" ht="26.25" x14ac:dyDescent="0.25">
      <c r="A22" s="25"/>
      <c r="B22" s="44" t="s">
        <v>35</v>
      </c>
      <c r="C22" s="83">
        <v>3.22</v>
      </c>
      <c r="D22" s="108" t="s">
        <v>59</v>
      </c>
      <c r="E22" s="18">
        <f t="shared" si="0"/>
        <v>5431.1740000000009</v>
      </c>
      <c r="F22" s="18">
        <f>E22*12</f>
        <v>65174.088000000011</v>
      </c>
    </row>
    <row r="23" spans="1:9" ht="15" x14ac:dyDescent="0.25">
      <c r="A23" s="81"/>
      <c r="B23" s="46" t="s">
        <v>37</v>
      </c>
      <c r="C23" s="81"/>
      <c r="D23" s="81"/>
      <c r="E23" s="18">
        <f t="shared" si="0"/>
        <v>0</v>
      </c>
      <c r="F23" s="18"/>
    </row>
    <row r="24" spans="1:9" ht="15" x14ac:dyDescent="0.25">
      <c r="A24" s="82"/>
      <c r="B24" s="47" t="s">
        <v>38</v>
      </c>
      <c r="C24" s="83">
        <v>8.1300000000000008</v>
      </c>
      <c r="D24" s="108" t="s">
        <v>59</v>
      </c>
      <c r="E24" s="18">
        <f t="shared" si="0"/>
        <v>13712.871000000001</v>
      </c>
      <c r="F24" s="18">
        <f t="shared" ref="F24:F28" si="4">E24*12</f>
        <v>164554.45200000002</v>
      </c>
    </row>
    <row r="25" spans="1:9" ht="51.75" x14ac:dyDescent="0.25">
      <c r="A25" s="24" t="s">
        <v>39</v>
      </c>
      <c r="B25" s="80" t="s">
        <v>57</v>
      </c>
      <c r="C25" s="79">
        <v>0</v>
      </c>
      <c r="D25" s="27" t="s">
        <v>72</v>
      </c>
      <c r="E25" s="18">
        <f t="shared" si="0"/>
        <v>0</v>
      </c>
      <c r="F25" s="18">
        <f t="shared" si="4"/>
        <v>0</v>
      </c>
    </row>
    <row r="26" spans="1:9" ht="31.5" customHeight="1" x14ac:dyDescent="0.25">
      <c r="A26" s="25" t="s">
        <v>41</v>
      </c>
      <c r="B26" s="93" t="s">
        <v>78</v>
      </c>
      <c r="C26" s="49">
        <v>1.1000000000000001</v>
      </c>
      <c r="D26" s="108" t="s">
        <v>59</v>
      </c>
      <c r="E26" s="18">
        <f t="shared" si="0"/>
        <v>1855.3700000000001</v>
      </c>
      <c r="F26" s="18">
        <f t="shared" si="4"/>
        <v>22264.440000000002</v>
      </c>
      <c r="G26" s="62"/>
    </row>
    <row r="27" spans="1:9" ht="15" x14ac:dyDescent="0.25">
      <c r="A27" s="25" t="s">
        <v>42</v>
      </c>
      <c r="B27" s="47" t="s">
        <v>79</v>
      </c>
      <c r="C27" s="53">
        <v>2.17</v>
      </c>
      <c r="D27" s="50" t="s">
        <v>15</v>
      </c>
      <c r="E27" s="18">
        <f t="shared" si="0"/>
        <v>3660.1390000000001</v>
      </c>
      <c r="F27" s="18">
        <f t="shared" si="4"/>
        <v>43921.668000000005</v>
      </c>
    </row>
    <row r="28" spans="1:9" ht="15" x14ac:dyDescent="0.25">
      <c r="A28" s="25" t="s">
        <v>43</v>
      </c>
      <c r="B28" s="55" t="s">
        <v>44</v>
      </c>
      <c r="C28" s="53">
        <v>0.94</v>
      </c>
      <c r="D28" s="50" t="s">
        <v>15</v>
      </c>
      <c r="E28" s="18">
        <f t="shared" si="0"/>
        <v>1585.498</v>
      </c>
      <c r="F28" s="18">
        <f t="shared" si="4"/>
        <v>19025.976000000002</v>
      </c>
    </row>
    <row r="29" spans="1:9" ht="15.75" x14ac:dyDescent="0.25">
      <c r="A29" s="25"/>
      <c r="B29" s="56" t="s">
        <v>46</v>
      </c>
      <c r="C29" s="57">
        <f>C10+C11+C12+C13+C22+C24+C25+C26+C27+C28</f>
        <v>18.000000000000004</v>
      </c>
      <c r="D29" s="50"/>
      <c r="E29" s="18">
        <f t="shared" si="0"/>
        <v>30360.600000000006</v>
      </c>
      <c r="F29" s="18">
        <f>F10+F11+F12+F13+F22+F24+F25+F26+F27+F28</f>
        <v>364327.20000000007</v>
      </c>
    </row>
    <row r="30" spans="1:9" ht="15.75" x14ac:dyDescent="0.25">
      <c r="A30" s="58"/>
      <c r="B30" s="3"/>
      <c r="C30" s="59"/>
      <c r="D30" s="60"/>
    </row>
    <row r="31" spans="1:9" x14ac:dyDescent="0.2">
      <c r="A31" s="58"/>
      <c r="C31" s="66"/>
      <c r="E31" s="54"/>
    </row>
    <row r="32" spans="1:9" x14ac:dyDescent="0.2">
      <c r="A32" s="58"/>
      <c r="B32" s="2" t="s">
        <v>47</v>
      </c>
      <c r="C32" s="1" t="s">
        <v>58</v>
      </c>
    </row>
    <row r="33" spans="2:4" x14ac:dyDescent="0.2">
      <c r="B33" s="1" t="s">
        <v>48</v>
      </c>
      <c r="D33" s="1" t="s">
        <v>49</v>
      </c>
    </row>
    <row r="35" spans="2:4" x14ac:dyDescent="0.2">
      <c r="B35" s="1" t="s">
        <v>50</v>
      </c>
      <c r="D35" s="1" t="s">
        <v>51</v>
      </c>
    </row>
    <row r="36" spans="2:4" x14ac:dyDescent="0.2">
      <c r="B36" s="1" t="s">
        <v>52</v>
      </c>
      <c r="D36" s="1" t="s">
        <v>51</v>
      </c>
    </row>
    <row r="37" spans="2:4" x14ac:dyDescent="0.2">
      <c r="B37" s="1" t="s">
        <v>52</v>
      </c>
      <c r="D37" s="1" t="s">
        <v>51</v>
      </c>
    </row>
    <row r="38" spans="2:4" x14ac:dyDescent="0.2">
      <c r="B38" s="1" t="s">
        <v>52</v>
      </c>
      <c r="D38" s="1" t="s">
        <v>51</v>
      </c>
    </row>
    <row r="39" spans="2:4" x14ac:dyDescent="0.2">
      <c r="B39" s="1" t="s">
        <v>52</v>
      </c>
      <c r="D39" s="1" t="s">
        <v>51</v>
      </c>
    </row>
  </sheetData>
  <mergeCells count="1">
    <mergeCell ref="A2:D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43"/>
  <sheetViews>
    <sheetView tabSelected="1" topLeftCell="A31" workbookViewId="0">
      <selection activeCell="I31" sqref="I31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262</v>
      </c>
      <c r="C4" s="3"/>
      <c r="D4" s="3"/>
    </row>
    <row r="5" spans="1:6" x14ac:dyDescent="0.2">
      <c r="B5" s="3"/>
      <c r="C5" s="3"/>
      <c r="D5" s="3"/>
      <c r="F5" s="1">
        <v>6707.1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3"/>
      <c r="E9" s="14"/>
      <c r="F9" s="14"/>
    </row>
    <row r="10" spans="1:6" ht="39" x14ac:dyDescent="0.25">
      <c r="A10" s="10"/>
      <c r="B10" s="15" t="s">
        <v>14</v>
      </c>
      <c r="C10" s="16">
        <v>3.21</v>
      </c>
      <c r="D10" s="50" t="s">
        <v>15</v>
      </c>
      <c r="E10" s="18">
        <f>C10*6707.1</f>
        <v>21529.791000000001</v>
      </c>
      <c r="F10" s="18">
        <f>E10*12</f>
        <v>258357.49200000003</v>
      </c>
    </row>
    <row r="11" spans="1:6" ht="15" x14ac:dyDescent="0.25">
      <c r="A11" s="10"/>
      <c r="B11" s="15" t="s">
        <v>76</v>
      </c>
      <c r="C11" s="16">
        <v>0.25</v>
      </c>
      <c r="D11" s="88" t="s">
        <v>20</v>
      </c>
      <c r="E11" s="18">
        <f t="shared" ref="E11:E33" si="0">C11*6707.1</f>
        <v>1676.7750000000001</v>
      </c>
      <c r="F11" s="18">
        <f>E11*12</f>
        <v>20121.300000000003</v>
      </c>
    </row>
    <row r="12" spans="1:6" ht="39" x14ac:dyDescent="0.25">
      <c r="A12" s="10" t="s">
        <v>16</v>
      </c>
      <c r="B12" s="15" t="s">
        <v>17</v>
      </c>
      <c r="C12" s="16">
        <v>0.85</v>
      </c>
      <c r="D12" s="50" t="s">
        <v>15</v>
      </c>
      <c r="E12" s="18">
        <f t="shared" si="0"/>
        <v>5701.0349999999999</v>
      </c>
      <c r="F12" s="18">
        <f t="shared" ref="F12:F13" si="1">E12*12</f>
        <v>68412.42</v>
      </c>
    </row>
    <row r="13" spans="1:6" ht="39" x14ac:dyDescent="0.25">
      <c r="A13" s="22" t="s">
        <v>18</v>
      </c>
      <c r="B13" s="15" t="s">
        <v>19</v>
      </c>
      <c r="C13" s="23">
        <v>0.12</v>
      </c>
      <c r="D13" s="88" t="s">
        <v>20</v>
      </c>
      <c r="E13" s="18">
        <f t="shared" si="0"/>
        <v>804.85199999999998</v>
      </c>
      <c r="F13" s="18">
        <f t="shared" si="1"/>
        <v>9658.2240000000002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1.27</v>
      </c>
      <c r="D14" s="27"/>
      <c r="E14" s="18">
        <f t="shared" si="0"/>
        <v>8518.0169999999998</v>
      </c>
      <c r="F14" s="18">
        <f>F15+F16+F17+F19+F20+F21</f>
        <v>102216.20400000001</v>
      </c>
    </row>
    <row r="15" spans="1:6" ht="15" x14ac:dyDescent="0.25">
      <c r="A15" s="28"/>
      <c r="B15" s="29" t="s">
        <v>23</v>
      </c>
      <c r="C15" s="30">
        <v>0.1</v>
      </c>
      <c r="D15" s="31" t="s">
        <v>24</v>
      </c>
      <c r="E15" s="18">
        <f t="shared" si="0"/>
        <v>670.71</v>
      </c>
      <c r="F15" s="20">
        <f>E15*12</f>
        <v>8048.52</v>
      </c>
    </row>
    <row r="16" spans="1:6" ht="24.75" x14ac:dyDescent="0.25">
      <c r="A16" s="28"/>
      <c r="B16" s="29" t="s">
        <v>25</v>
      </c>
      <c r="C16" s="30">
        <v>0.25</v>
      </c>
      <c r="D16" s="32" t="s">
        <v>20</v>
      </c>
      <c r="E16" s="18">
        <f t="shared" si="0"/>
        <v>1676.7750000000001</v>
      </c>
      <c r="F16" s="20">
        <f t="shared" ref="F16:F21" si="2">E16*12</f>
        <v>20121.300000000003</v>
      </c>
    </row>
    <row r="17" spans="1:9" ht="15" x14ac:dyDescent="0.25">
      <c r="A17" s="28"/>
      <c r="B17" s="33" t="s">
        <v>26</v>
      </c>
      <c r="C17" s="30">
        <v>0.8</v>
      </c>
      <c r="D17" s="34"/>
      <c r="E17" s="18">
        <f t="shared" si="0"/>
        <v>5365.68</v>
      </c>
      <c r="F17" s="20">
        <f t="shared" si="2"/>
        <v>64388.160000000003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0.02</v>
      </c>
      <c r="D19" s="40" t="s">
        <v>30</v>
      </c>
      <c r="E19" s="18">
        <f t="shared" si="0"/>
        <v>134.142</v>
      </c>
      <c r="F19" s="20">
        <f>E19*12</f>
        <v>1609.704</v>
      </c>
    </row>
    <row r="20" spans="1:9" ht="15" x14ac:dyDescent="0.25">
      <c r="A20" s="19"/>
      <c r="B20" s="38" t="s">
        <v>54</v>
      </c>
      <c r="C20" s="41">
        <v>0.09</v>
      </c>
      <c r="D20" s="42" t="s">
        <v>29</v>
      </c>
      <c r="E20" s="18">
        <f t="shared" si="0"/>
        <v>603.63900000000001</v>
      </c>
      <c r="F20" s="20">
        <f t="shared" si="2"/>
        <v>7243.6679999999997</v>
      </c>
    </row>
    <row r="21" spans="1:9" ht="24.75" x14ac:dyDescent="0.25">
      <c r="A21" s="28"/>
      <c r="B21" s="38" t="s">
        <v>55</v>
      </c>
      <c r="C21" s="41">
        <v>0.01</v>
      </c>
      <c r="D21" s="42" t="s">
        <v>59</v>
      </c>
      <c r="E21" s="18">
        <f t="shared" si="0"/>
        <v>67.070999999999998</v>
      </c>
      <c r="F21" s="20">
        <f t="shared" si="2"/>
        <v>804.85199999999998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1.99</v>
      </c>
      <c r="D24" s="42" t="s">
        <v>59</v>
      </c>
      <c r="E24" s="18">
        <f t="shared" si="0"/>
        <v>13347.129000000001</v>
      </c>
      <c r="F24" s="18">
        <f>E24*12</f>
        <v>160165.54800000001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4"/>
    </row>
    <row r="26" spans="1:9" ht="15" x14ac:dyDescent="0.25">
      <c r="A26" s="82"/>
      <c r="B26" s="47" t="s">
        <v>38</v>
      </c>
      <c r="C26" s="83">
        <v>2.75</v>
      </c>
      <c r="D26" s="42" t="s">
        <v>59</v>
      </c>
      <c r="E26" s="18">
        <f t="shared" si="0"/>
        <v>18444.525000000001</v>
      </c>
      <c r="F26" s="18">
        <f>E26*12</f>
        <v>221334.30000000002</v>
      </c>
    </row>
    <row r="27" spans="1:9" ht="15" x14ac:dyDescent="0.25">
      <c r="A27" s="82"/>
      <c r="B27" s="47" t="s">
        <v>75</v>
      </c>
      <c r="C27" s="83">
        <v>2.2000000000000002</v>
      </c>
      <c r="D27" s="42" t="s">
        <v>59</v>
      </c>
      <c r="E27" s="18">
        <f t="shared" si="0"/>
        <v>14755.620000000003</v>
      </c>
      <c r="F27" s="18">
        <f>E27*12</f>
        <v>177067.44000000003</v>
      </c>
    </row>
    <row r="28" spans="1:9" ht="51.75" x14ac:dyDescent="0.25">
      <c r="A28" s="24" t="s">
        <v>39</v>
      </c>
      <c r="B28" s="80" t="s">
        <v>57</v>
      </c>
      <c r="C28" s="79">
        <v>0.12</v>
      </c>
      <c r="D28" s="27" t="s">
        <v>72</v>
      </c>
      <c r="E28" s="18">
        <f t="shared" si="0"/>
        <v>804.85199999999998</v>
      </c>
      <c r="F28" s="18">
        <f t="shared" ref="F28:F29" si="3">E28*12</f>
        <v>9658.2240000000002</v>
      </c>
    </row>
    <row r="29" spans="1:9" ht="15" x14ac:dyDescent="0.25">
      <c r="A29" s="25" t="s">
        <v>41</v>
      </c>
      <c r="B29" s="48" t="s">
        <v>73</v>
      </c>
      <c r="C29" s="49">
        <v>4</v>
      </c>
      <c r="D29" s="50" t="s">
        <v>30</v>
      </c>
      <c r="E29" s="18">
        <f t="shared" si="0"/>
        <v>26828.400000000001</v>
      </c>
      <c r="F29" s="51">
        <f t="shared" si="3"/>
        <v>321940.80000000005</v>
      </c>
      <c r="G29" s="62"/>
    </row>
    <row r="30" spans="1:9" ht="34.5" x14ac:dyDescent="0.25">
      <c r="A30" s="25"/>
      <c r="B30" s="52" t="s">
        <v>40</v>
      </c>
      <c r="C30" s="53"/>
      <c r="D30" s="50"/>
      <c r="E30" s="18">
        <f t="shared" si="0"/>
        <v>0</v>
      </c>
      <c r="F30" s="51"/>
    </row>
    <row r="31" spans="1:9" ht="15" x14ac:dyDescent="0.25">
      <c r="A31" s="25" t="s">
        <v>42</v>
      </c>
      <c r="B31" s="47" t="s">
        <v>74</v>
      </c>
      <c r="C31" s="53">
        <v>3.92</v>
      </c>
      <c r="D31" s="50" t="s">
        <v>15</v>
      </c>
      <c r="E31" s="18">
        <f t="shared" si="0"/>
        <v>26291.832000000002</v>
      </c>
      <c r="F31" s="18">
        <f>E31*12</f>
        <v>315501.98400000005</v>
      </c>
    </row>
    <row r="32" spans="1:9" ht="15" x14ac:dyDescent="0.25">
      <c r="A32" s="25" t="s">
        <v>43</v>
      </c>
      <c r="B32" s="55" t="s">
        <v>44</v>
      </c>
      <c r="C32" s="53">
        <v>1.32</v>
      </c>
      <c r="D32" s="50" t="s">
        <v>15</v>
      </c>
      <c r="E32" s="18">
        <f t="shared" si="0"/>
        <v>8853.3720000000012</v>
      </c>
      <c r="F32" s="18">
        <f t="shared" ref="F32" si="4">E32*12</f>
        <v>106240.46400000001</v>
      </c>
    </row>
    <row r="33" spans="1:6" ht="15.75" x14ac:dyDescent="0.25">
      <c r="A33" s="25"/>
      <c r="B33" s="56" t="s">
        <v>46</v>
      </c>
      <c r="C33" s="57">
        <f>C10+C11+C12+C13+C14+C24+C27+C26+C28+C29+C31+C32</f>
        <v>22</v>
      </c>
      <c r="D33" s="50"/>
      <c r="E33" s="18">
        <f t="shared" si="0"/>
        <v>147556.20000000001</v>
      </c>
      <c r="F33" s="18">
        <f>F10+F11+F12+F13+F14+F24+F26+F28+F29+F31+F32+F27</f>
        <v>1770674.4000000001</v>
      </c>
    </row>
    <row r="34" spans="1:6" ht="15.75" x14ac:dyDescent="0.25">
      <c r="A34" s="58"/>
      <c r="B34" s="3"/>
      <c r="C34" s="59"/>
      <c r="D34" s="60"/>
    </row>
    <row r="35" spans="1:6" x14ac:dyDescent="0.2">
      <c r="A35" s="58"/>
      <c r="C35" s="66"/>
      <c r="E35" s="54"/>
    </row>
    <row r="36" spans="1:6" x14ac:dyDescent="0.2">
      <c r="A36" s="58"/>
      <c r="B36" s="2" t="s">
        <v>47</v>
      </c>
      <c r="C36" s="1" t="s">
        <v>58</v>
      </c>
    </row>
    <row r="37" spans="1:6" x14ac:dyDescent="0.2">
      <c r="B37" s="1" t="s">
        <v>48</v>
      </c>
      <c r="D37" s="1" t="s">
        <v>49</v>
      </c>
    </row>
    <row r="39" spans="1:6" x14ac:dyDescent="0.2">
      <c r="B39" s="1" t="s">
        <v>50</v>
      </c>
      <c r="D39" s="1" t="s">
        <v>51</v>
      </c>
    </row>
    <row r="40" spans="1:6" x14ac:dyDescent="0.2">
      <c r="B40" s="1" t="s">
        <v>52</v>
      </c>
      <c r="D40" s="1" t="s">
        <v>51</v>
      </c>
    </row>
    <row r="41" spans="1:6" x14ac:dyDescent="0.2">
      <c r="B41" s="1" t="s">
        <v>52</v>
      </c>
      <c r="D41" s="1" t="s">
        <v>51</v>
      </c>
    </row>
    <row r="42" spans="1:6" x14ac:dyDescent="0.2">
      <c r="B42" s="1" t="s">
        <v>52</v>
      </c>
      <c r="D42" s="1" t="s">
        <v>51</v>
      </c>
    </row>
    <row r="43" spans="1:6" x14ac:dyDescent="0.2">
      <c r="B43" s="1" t="s">
        <v>52</v>
      </c>
      <c r="D43" s="1" t="s">
        <v>51</v>
      </c>
    </row>
  </sheetData>
  <mergeCells count="1">
    <mergeCell ref="A2:D3"/>
  </mergeCells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92D050"/>
  </sheetPr>
  <dimension ref="A1:I42"/>
  <sheetViews>
    <sheetView workbookViewId="0">
      <selection activeCell="H11" sqref="H11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288</v>
      </c>
      <c r="C4" s="3"/>
      <c r="D4" s="3"/>
    </row>
    <row r="5" spans="1:6" x14ac:dyDescent="0.2">
      <c r="B5" s="3"/>
      <c r="C5" s="3"/>
      <c r="D5" s="3"/>
      <c r="F5" s="1">
        <v>2762.6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2.68</v>
      </c>
      <c r="D10" s="50" t="s">
        <v>15</v>
      </c>
      <c r="E10" s="18">
        <f>C10*2762.6</f>
        <v>7403.768</v>
      </c>
      <c r="F10" s="18">
        <f>E10*12</f>
        <v>88845.216</v>
      </c>
    </row>
    <row r="11" spans="1:6" ht="15" x14ac:dyDescent="0.25">
      <c r="A11" s="10"/>
      <c r="B11" s="15" t="s">
        <v>76</v>
      </c>
      <c r="C11" s="16">
        <v>0.2</v>
      </c>
      <c r="D11" s="88" t="s">
        <v>20</v>
      </c>
      <c r="E11" s="18">
        <f t="shared" ref="E11:E32" si="0">C11*2762.6</f>
        <v>552.52</v>
      </c>
      <c r="F11" s="18">
        <f>E11*12</f>
        <v>6630.24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2486.34</v>
      </c>
      <c r="F12" s="18">
        <f t="shared" ref="F12:F13" si="1">E12*12</f>
        <v>29836.080000000002</v>
      </c>
    </row>
    <row r="13" spans="1:6" ht="39" x14ac:dyDescent="0.25">
      <c r="A13" s="22" t="s">
        <v>18</v>
      </c>
      <c r="B13" s="15" t="s">
        <v>19</v>
      </c>
      <c r="C13" s="23">
        <v>0.22</v>
      </c>
      <c r="D13" s="88" t="s">
        <v>20</v>
      </c>
      <c r="E13" s="18">
        <f t="shared" si="0"/>
        <v>607.77199999999993</v>
      </c>
      <c r="F13" s="18">
        <f t="shared" si="1"/>
        <v>7293.2639999999992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1.37</v>
      </c>
      <c r="D14" s="27"/>
      <c r="E14" s="18">
        <f t="shared" si="0"/>
        <v>3784.7620000000002</v>
      </c>
      <c r="F14" s="18">
        <f>F15+F16+F17+F19+F20+F21</f>
        <v>45417.144000000008</v>
      </c>
    </row>
    <row r="15" spans="1:6" ht="15" x14ac:dyDescent="0.25">
      <c r="A15" s="28"/>
      <c r="B15" s="29" t="s">
        <v>23</v>
      </c>
      <c r="C15" s="30">
        <v>0.11</v>
      </c>
      <c r="D15" s="31" t="s">
        <v>24</v>
      </c>
      <c r="E15" s="18">
        <f t="shared" si="0"/>
        <v>303.88599999999997</v>
      </c>
      <c r="F15" s="20">
        <f>E15*12</f>
        <v>3646.6319999999996</v>
      </c>
    </row>
    <row r="16" spans="1:6" ht="24.75" x14ac:dyDescent="0.25">
      <c r="A16" s="28"/>
      <c r="B16" s="29" t="s">
        <v>25</v>
      </c>
      <c r="C16" s="30">
        <v>0.26</v>
      </c>
      <c r="D16" s="32" t="s">
        <v>20</v>
      </c>
      <c r="E16" s="18">
        <f t="shared" si="0"/>
        <v>718.27599999999995</v>
      </c>
      <c r="F16" s="20">
        <f t="shared" ref="F16:F21" si="2">E16*12</f>
        <v>8619.3119999999999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2486.34</v>
      </c>
      <c r="F17" s="20">
        <f t="shared" si="2"/>
        <v>29836.080000000002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0.01</v>
      </c>
      <c r="D19" s="40" t="s">
        <v>30</v>
      </c>
      <c r="E19" s="18">
        <f t="shared" si="0"/>
        <v>27.626000000000001</v>
      </c>
      <c r="F19" s="20">
        <f>E19*12</f>
        <v>331.512</v>
      </c>
    </row>
    <row r="20" spans="1:9" ht="15" x14ac:dyDescent="0.25">
      <c r="A20" s="19"/>
      <c r="B20" s="38" t="s">
        <v>54</v>
      </c>
      <c r="C20" s="41">
        <v>7.0000000000000007E-2</v>
      </c>
      <c r="D20" s="42" t="s">
        <v>29</v>
      </c>
      <c r="E20" s="18">
        <f t="shared" si="0"/>
        <v>193.38200000000001</v>
      </c>
      <c r="F20" s="20">
        <f t="shared" si="2"/>
        <v>2320.5839999999998</v>
      </c>
    </row>
    <row r="21" spans="1:9" ht="24.75" x14ac:dyDescent="0.25">
      <c r="A21" s="28"/>
      <c r="B21" s="38" t="s">
        <v>55</v>
      </c>
      <c r="C21" s="41">
        <v>0.02</v>
      </c>
      <c r="D21" s="108" t="s">
        <v>59</v>
      </c>
      <c r="E21" s="18">
        <f t="shared" si="0"/>
        <v>55.252000000000002</v>
      </c>
      <c r="F21" s="20">
        <f t="shared" si="2"/>
        <v>663.024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3.6</v>
      </c>
      <c r="D24" s="108" t="s">
        <v>59</v>
      </c>
      <c r="E24" s="18">
        <f t="shared" si="0"/>
        <v>9945.36</v>
      </c>
      <c r="F24" s="18">
        <f>E24*12</f>
        <v>119344.32000000001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8"/>
    </row>
    <row r="26" spans="1:9" ht="15" x14ac:dyDescent="0.25">
      <c r="A26" s="82"/>
      <c r="B26" s="47" t="s">
        <v>38</v>
      </c>
      <c r="C26" s="83">
        <v>0</v>
      </c>
      <c r="D26" s="83"/>
      <c r="E26" s="18">
        <f t="shared" si="0"/>
        <v>0</v>
      </c>
      <c r="F26" s="18">
        <f t="shared" ref="F26:F31" si="3">E26*12</f>
        <v>0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331.512</v>
      </c>
      <c r="F27" s="18">
        <f t="shared" si="3"/>
        <v>3978.1440000000002</v>
      </c>
    </row>
    <row r="28" spans="1:9" ht="15" x14ac:dyDescent="0.25">
      <c r="A28" s="25" t="s">
        <v>41</v>
      </c>
      <c r="B28" s="48" t="s">
        <v>73</v>
      </c>
      <c r="C28" s="49">
        <v>3</v>
      </c>
      <c r="D28" s="50" t="s">
        <v>30</v>
      </c>
      <c r="E28" s="18">
        <f t="shared" si="0"/>
        <v>8287.7999999999993</v>
      </c>
      <c r="F28" s="18">
        <f t="shared" si="3"/>
        <v>99453.599999999991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18">
        <f t="shared" si="3"/>
        <v>0</v>
      </c>
    </row>
    <row r="30" spans="1:9" ht="15" x14ac:dyDescent="0.25">
      <c r="A30" s="25" t="s">
        <v>42</v>
      </c>
      <c r="B30" s="47" t="s">
        <v>74</v>
      </c>
      <c r="C30" s="53">
        <v>3.7</v>
      </c>
      <c r="D30" s="50" t="s">
        <v>15</v>
      </c>
      <c r="E30" s="18">
        <f t="shared" si="0"/>
        <v>10221.620000000001</v>
      </c>
      <c r="F30" s="18">
        <f t="shared" si="3"/>
        <v>122659.44</v>
      </c>
    </row>
    <row r="31" spans="1:9" ht="15" x14ac:dyDescent="0.25">
      <c r="A31" s="25" t="s">
        <v>43</v>
      </c>
      <c r="B31" s="55" t="s">
        <v>44</v>
      </c>
      <c r="C31" s="53">
        <v>1.01</v>
      </c>
      <c r="D31" s="50" t="s">
        <v>15</v>
      </c>
      <c r="E31" s="18">
        <f t="shared" si="0"/>
        <v>2790.2260000000001</v>
      </c>
      <c r="F31" s="18">
        <f t="shared" si="3"/>
        <v>33482.712</v>
      </c>
    </row>
    <row r="32" spans="1:9" ht="15.75" x14ac:dyDescent="0.25">
      <c r="A32" s="25"/>
      <c r="B32" s="56" t="s">
        <v>46</v>
      </c>
      <c r="C32" s="57">
        <f>C10+C11+C12+C13+C14+C24+C26+C27+C28+C30+C31</f>
        <v>16.8</v>
      </c>
      <c r="D32" s="50"/>
      <c r="E32" s="18">
        <f t="shared" si="0"/>
        <v>46411.68</v>
      </c>
      <c r="F32" s="18">
        <f>F10+F11+F12+F13+F14+F24+F26+F27+F28+F30+F31</f>
        <v>556940.16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rgb="FF92D050"/>
  </sheetPr>
  <dimension ref="A1:I43"/>
  <sheetViews>
    <sheetView workbookViewId="0">
      <selection activeCell="H10" sqref="H10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289</v>
      </c>
      <c r="C4" s="3"/>
      <c r="D4" s="3"/>
    </row>
    <row r="5" spans="1:6" x14ac:dyDescent="0.2">
      <c r="B5" s="3"/>
      <c r="C5" s="3"/>
      <c r="D5" s="3"/>
      <c r="F5" s="1">
        <v>3468.4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2.61</v>
      </c>
      <c r="D10" s="50" t="s">
        <v>15</v>
      </c>
      <c r="E10" s="18">
        <f>C10*3468.4</f>
        <v>9052.5239999999994</v>
      </c>
      <c r="F10" s="18">
        <f>E10*12</f>
        <v>108630.288</v>
      </c>
    </row>
    <row r="11" spans="1:6" ht="15" x14ac:dyDescent="0.25">
      <c r="A11" s="10"/>
      <c r="B11" s="15" t="s">
        <v>76</v>
      </c>
      <c r="C11" s="16">
        <v>0.25</v>
      </c>
      <c r="D11" s="88" t="s">
        <v>20</v>
      </c>
      <c r="E11" s="18">
        <f t="shared" ref="E11:E33" si="0">C11*3468.4</f>
        <v>867.1</v>
      </c>
      <c r="F11" s="18">
        <f>E11*12</f>
        <v>10405.200000000001</v>
      </c>
    </row>
    <row r="12" spans="1:6" ht="39" x14ac:dyDescent="0.25">
      <c r="A12" s="10" t="s">
        <v>16</v>
      </c>
      <c r="B12" s="15" t="s">
        <v>17</v>
      </c>
      <c r="C12" s="16">
        <v>0.8</v>
      </c>
      <c r="D12" s="50" t="s">
        <v>15</v>
      </c>
      <c r="E12" s="18">
        <f t="shared" si="0"/>
        <v>2774.7200000000003</v>
      </c>
      <c r="F12" s="18">
        <f t="shared" ref="F12:F13" si="1">E12*12</f>
        <v>33296.639999999999</v>
      </c>
    </row>
    <row r="13" spans="1:6" ht="39" x14ac:dyDescent="0.25">
      <c r="A13" s="22" t="s">
        <v>18</v>
      </c>
      <c r="B13" s="15" t="s">
        <v>19</v>
      </c>
      <c r="C13" s="23">
        <v>0.15</v>
      </c>
      <c r="D13" s="88" t="s">
        <v>20</v>
      </c>
      <c r="E13" s="18">
        <f t="shared" si="0"/>
        <v>520.26</v>
      </c>
      <c r="F13" s="18">
        <f t="shared" si="1"/>
        <v>6243.12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1.2200000000000002</v>
      </c>
      <c r="D14" s="27"/>
      <c r="E14" s="18">
        <f t="shared" si="0"/>
        <v>4231.4480000000012</v>
      </c>
      <c r="F14" s="18">
        <f>F15+F16+F17+F19+F21+F20</f>
        <v>50777.375999999997</v>
      </c>
    </row>
    <row r="15" spans="1:6" ht="15" x14ac:dyDescent="0.25">
      <c r="A15" s="28"/>
      <c r="B15" s="29" t="s">
        <v>23</v>
      </c>
      <c r="C15" s="30">
        <v>0.09</v>
      </c>
      <c r="D15" s="31" t="s">
        <v>24</v>
      </c>
      <c r="E15" s="18">
        <f t="shared" si="0"/>
        <v>312.15600000000001</v>
      </c>
      <c r="F15" s="20">
        <f>E15*12</f>
        <v>3745.8720000000003</v>
      </c>
    </row>
    <row r="16" spans="1:6" ht="24.75" x14ac:dyDescent="0.25">
      <c r="A16" s="28"/>
      <c r="B16" s="29" t="s">
        <v>25</v>
      </c>
      <c r="C16" s="30">
        <v>0.25</v>
      </c>
      <c r="D16" s="32" t="s">
        <v>20</v>
      </c>
      <c r="E16" s="18">
        <f t="shared" si="0"/>
        <v>867.1</v>
      </c>
      <c r="F16" s="20">
        <f t="shared" ref="F16:F21" si="2">E16*12</f>
        <v>10405.200000000001</v>
      </c>
    </row>
    <row r="17" spans="1:9" ht="15" x14ac:dyDescent="0.25">
      <c r="A17" s="28"/>
      <c r="B17" s="33" t="s">
        <v>26</v>
      </c>
      <c r="C17" s="30">
        <v>0.8</v>
      </c>
      <c r="D17" s="34"/>
      <c r="E17" s="18">
        <f t="shared" si="0"/>
        <v>2774.7200000000003</v>
      </c>
      <c r="F17" s="20">
        <f t="shared" si="2"/>
        <v>33296.639999999999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0.02</v>
      </c>
      <c r="D19" s="40" t="s">
        <v>30</v>
      </c>
      <c r="E19" s="18">
        <f t="shared" si="0"/>
        <v>69.368000000000009</v>
      </c>
      <c r="F19" s="20">
        <f>E19*12</f>
        <v>832.41600000000017</v>
      </c>
    </row>
    <row r="20" spans="1:9" ht="15" x14ac:dyDescent="0.25">
      <c r="A20" s="28"/>
      <c r="B20" s="38" t="s">
        <v>54</v>
      </c>
      <c r="C20" s="41">
        <v>0.05</v>
      </c>
      <c r="D20" s="42" t="s">
        <v>29</v>
      </c>
      <c r="E20" s="18">
        <f t="shared" si="0"/>
        <v>173.42000000000002</v>
      </c>
      <c r="F20" s="20">
        <f t="shared" ref="F20" si="3">E20*12</f>
        <v>2081.04</v>
      </c>
    </row>
    <row r="21" spans="1:9" ht="24.75" x14ac:dyDescent="0.25">
      <c r="A21" s="19"/>
      <c r="B21" s="38" t="s">
        <v>55</v>
      </c>
      <c r="C21" s="41">
        <v>0.01</v>
      </c>
      <c r="D21" s="108" t="s">
        <v>59</v>
      </c>
      <c r="E21" s="18">
        <f t="shared" si="0"/>
        <v>34.684000000000005</v>
      </c>
      <c r="F21" s="20">
        <f t="shared" si="2"/>
        <v>416.20800000000008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2.7</v>
      </c>
      <c r="D24" s="108" t="s">
        <v>59</v>
      </c>
      <c r="E24" s="18">
        <f t="shared" si="0"/>
        <v>9364.68</v>
      </c>
      <c r="F24" s="18">
        <f>E24*12</f>
        <v>112376.16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8"/>
    </row>
    <row r="26" spans="1:9" ht="15" x14ac:dyDescent="0.25">
      <c r="A26" s="82"/>
      <c r="B26" s="47" t="s">
        <v>38</v>
      </c>
      <c r="C26" s="83">
        <v>4.5</v>
      </c>
      <c r="D26" s="108" t="s">
        <v>59</v>
      </c>
      <c r="E26" s="18">
        <f t="shared" si="0"/>
        <v>15607.800000000001</v>
      </c>
      <c r="F26" s="18">
        <f t="shared" ref="F26:F32" si="4">E26*12</f>
        <v>187293.6</v>
      </c>
    </row>
    <row r="27" spans="1:9" ht="15" x14ac:dyDescent="0.25">
      <c r="A27" s="82"/>
      <c r="B27" s="47" t="s">
        <v>77</v>
      </c>
      <c r="C27" s="83">
        <v>2.85</v>
      </c>
      <c r="D27" s="108" t="s">
        <v>59</v>
      </c>
      <c r="E27" s="18">
        <f t="shared" si="0"/>
        <v>9884.94</v>
      </c>
      <c r="F27" s="18">
        <f t="shared" si="4"/>
        <v>118619.28</v>
      </c>
    </row>
    <row r="28" spans="1:9" ht="51.75" x14ac:dyDescent="0.25">
      <c r="A28" s="24" t="s">
        <v>39</v>
      </c>
      <c r="B28" s="80" t="s">
        <v>57</v>
      </c>
      <c r="C28" s="79">
        <v>0.12</v>
      </c>
      <c r="D28" s="27" t="s">
        <v>72</v>
      </c>
      <c r="E28" s="18">
        <f t="shared" si="0"/>
        <v>416.20799999999997</v>
      </c>
      <c r="F28" s="18">
        <f t="shared" si="4"/>
        <v>4994.4959999999992</v>
      </c>
    </row>
    <row r="29" spans="1:9" ht="15" x14ac:dyDescent="0.25">
      <c r="A29" s="25" t="s">
        <v>41</v>
      </c>
      <c r="B29" s="48" t="s">
        <v>73</v>
      </c>
      <c r="C29" s="49">
        <v>2</v>
      </c>
      <c r="D29" s="50" t="s">
        <v>30</v>
      </c>
      <c r="E29" s="18">
        <f t="shared" si="0"/>
        <v>6936.8</v>
      </c>
      <c r="F29" s="18">
        <f t="shared" si="4"/>
        <v>83241.600000000006</v>
      </c>
      <c r="G29" s="62"/>
    </row>
    <row r="30" spans="1:9" ht="34.5" x14ac:dyDescent="0.25">
      <c r="A30" s="25"/>
      <c r="B30" s="52" t="s">
        <v>40</v>
      </c>
      <c r="C30" s="53"/>
      <c r="D30" s="50"/>
      <c r="E30" s="18">
        <f t="shared" si="0"/>
        <v>0</v>
      </c>
      <c r="F30" s="18"/>
    </row>
    <row r="31" spans="1:9" ht="15" x14ac:dyDescent="0.25">
      <c r="A31" s="25" t="s">
        <v>42</v>
      </c>
      <c r="B31" s="47" t="s">
        <v>74</v>
      </c>
      <c r="C31" s="53">
        <v>3.95</v>
      </c>
      <c r="D31" s="50" t="s">
        <v>15</v>
      </c>
      <c r="E31" s="18">
        <f t="shared" si="0"/>
        <v>13700.18</v>
      </c>
      <c r="F31" s="18">
        <f t="shared" si="4"/>
        <v>164402.16</v>
      </c>
    </row>
    <row r="32" spans="1:9" ht="15" x14ac:dyDescent="0.25">
      <c r="A32" s="25" t="s">
        <v>43</v>
      </c>
      <c r="B32" s="55" t="s">
        <v>44</v>
      </c>
      <c r="C32" s="53">
        <v>1.35</v>
      </c>
      <c r="D32" s="50" t="s">
        <v>15</v>
      </c>
      <c r="E32" s="18">
        <f t="shared" si="0"/>
        <v>4682.34</v>
      </c>
      <c r="F32" s="18">
        <f t="shared" si="4"/>
        <v>56188.08</v>
      </c>
    </row>
    <row r="33" spans="1:6" ht="15.75" x14ac:dyDescent="0.25">
      <c r="A33" s="25"/>
      <c r="B33" s="56" t="s">
        <v>46</v>
      </c>
      <c r="C33" s="57">
        <f>C10+C11+C12+C13+C14+C24+C26+C27+C28+C29+C31+C32</f>
        <v>22.5</v>
      </c>
      <c r="D33" s="50"/>
      <c r="E33" s="18">
        <f t="shared" si="0"/>
        <v>78039</v>
      </c>
      <c r="F33" s="18">
        <f>F10+F11+F12+F13+F14+F24+F26+F27+F28+F29+F31+F32</f>
        <v>936468</v>
      </c>
    </row>
    <row r="34" spans="1:6" ht="15.75" x14ac:dyDescent="0.25">
      <c r="A34" s="58"/>
      <c r="B34" s="3"/>
      <c r="C34" s="59"/>
      <c r="D34" s="60"/>
    </row>
    <row r="35" spans="1:6" x14ac:dyDescent="0.2">
      <c r="A35" s="58"/>
      <c r="C35" s="66"/>
      <c r="E35" s="54"/>
    </row>
    <row r="36" spans="1:6" x14ac:dyDescent="0.2">
      <c r="A36" s="58"/>
      <c r="B36" s="2" t="s">
        <v>47</v>
      </c>
      <c r="C36" s="1" t="s">
        <v>58</v>
      </c>
    </row>
    <row r="37" spans="1:6" x14ac:dyDescent="0.2">
      <c r="B37" s="1" t="s">
        <v>48</v>
      </c>
      <c r="D37" s="1" t="s">
        <v>49</v>
      </c>
    </row>
    <row r="39" spans="1:6" x14ac:dyDescent="0.2">
      <c r="B39" s="1" t="s">
        <v>50</v>
      </c>
      <c r="D39" s="1" t="s">
        <v>51</v>
      </c>
    </row>
    <row r="40" spans="1:6" x14ac:dyDescent="0.2">
      <c r="B40" s="1" t="s">
        <v>52</v>
      </c>
      <c r="D40" s="1" t="s">
        <v>51</v>
      </c>
    </row>
    <row r="41" spans="1:6" x14ac:dyDescent="0.2">
      <c r="B41" s="1" t="s">
        <v>52</v>
      </c>
      <c r="D41" s="1" t="s">
        <v>51</v>
      </c>
    </row>
    <row r="42" spans="1:6" x14ac:dyDescent="0.2">
      <c r="B42" s="1" t="s">
        <v>52</v>
      </c>
      <c r="D42" s="1" t="s">
        <v>51</v>
      </c>
    </row>
    <row r="43" spans="1:6" x14ac:dyDescent="0.2">
      <c r="B43" s="1" t="s">
        <v>52</v>
      </c>
      <c r="D43" s="1" t="s">
        <v>51</v>
      </c>
    </row>
  </sheetData>
  <mergeCells count="1">
    <mergeCell ref="A2:D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A92A5-D0B9-4C78-9783-8041082D3834}">
  <sheetPr>
    <tabColor rgb="FF92D050"/>
  </sheetPr>
  <dimension ref="A1:I43"/>
  <sheetViews>
    <sheetView workbookViewId="0">
      <selection activeCell="G11" sqref="G11:H11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290</v>
      </c>
      <c r="C4" s="3"/>
      <c r="D4" s="3"/>
    </row>
    <row r="5" spans="1:6" x14ac:dyDescent="0.2">
      <c r="B5" s="3"/>
      <c r="C5" s="3"/>
      <c r="D5" s="3"/>
      <c r="F5" s="1">
        <v>5123.22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2.58</v>
      </c>
      <c r="D10" s="50" t="s">
        <v>15</v>
      </c>
      <c r="E10" s="18">
        <f>C10*5123.22</f>
        <v>13217.9076</v>
      </c>
      <c r="F10" s="18">
        <f>E10*12</f>
        <v>158614.89120000001</v>
      </c>
    </row>
    <row r="11" spans="1:6" ht="15" x14ac:dyDescent="0.25">
      <c r="A11" s="10"/>
      <c r="B11" s="15" t="s">
        <v>76</v>
      </c>
      <c r="C11" s="16">
        <v>0.2</v>
      </c>
      <c r="D11" s="88" t="s">
        <v>20</v>
      </c>
      <c r="E11" s="18">
        <f t="shared" ref="E11:E33" si="0">C11*5123.22</f>
        <v>1024.644</v>
      </c>
      <c r="F11" s="18">
        <f>E11*12</f>
        <v>12295.727999999999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4610.8980000000001</v>
      </c>
      <c r="F12" s="18">
        <f t="shared" ref="F12:F13" si="1">E12*12</f>
        <v>55330.775999999998</v>
      </c>
    </row>
    <row r="13" spans="1:6" ht="39" x14ac:dyDescent="0.25">
      <c r="A13" s="22" t="s">
        <v>18</v>
      </c>
      <c r="B13" s="15" t="s">
        <v>19</v>
      </c>
      <c r="C13" s="23">
        <v>0.19</v>
      </c>
      <c r="D13" s="88" t="s">
        <v>20</v>
      </c>
      <c r="E13" s="18">
        <f t="shared" si="0"/>
        <v>973.41180000000008</v>
      </c>
      <c r="F13" s="18">
        <f t="shared" si="1"/>
        <v>11680.941600000002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1.2200000000000002</v>
      </c>
      <c r="D14" s="27"/>
      <c r="E14" s="18">
        <f t="shared" si="0"/>
        <v>6250.3284000000012</v>
      </c>
      <c r="F14" s="18">
        <f>F15+F16+F17+F19+F21+F20</f>
        <v>75003.940799999982</v>
      </c>
    </row>
    <row r="15" spans="1:6" ht="15" x14ac:dyDescent="0.25">
      <c r="A15" s="28"/>
      <c r="B15" s="29" t="s">
        <v>23</v>
      </c>
      <c r="C15" s="30">
        <v>0.08</v>
      </c>
      <c r="D15" s="31" t="s">
        <v>24</v>
      </c>
      <c r="E15" s="18">
        <f t="shared" si="0"/>
        <v>409.85760000000005</v>
      </c>
      <c r="F15" s="20">
        <f>E15*12</f>
        <v>4918.2912000000006</v>
      </c>
    </row>
    <row r="16" spans="1:6" ht="24.75" x14ac:dyDescent="0.25">
      <c r="A16" s="28"/>
      <c r="B16" s="29" t="s">
        <v>25</v>
      </c>
      <c r="C16" s="30">
        <v>0.25</v>
      </c>
      <c r="D16" s="32" t="s">
        <v>20</v>
      </c>
      <c r="E16" s="18">
        <f t="shared" si="0"/>
        <v>1280.8050000000001</v>
      </c>
      <c r="F16" s="20">
        <f t="shared" ref="F16:F21" si="2">E16*12</f>
        <v>15369.66</v>
      </c>
    </row>
    <row r="17" spans="1:9" ht="15" x14ac:dyDescent="0.25">
      <c r="A17" s="28"/>
      <c r="B17" s="33" t="s">
        <v>26</v>
      </c>
      <c r="C17" s="30">
        <v>0.8</v>
      </c>
      <c r="D17" s="34"/>
      <c r="E17" s="18">
        <f t="shared" si="0"/>
        <v>4098.576</v>
      </c>
      <c r="F17" s="20">
        <f t="shared" si="2"/>
        <v>49182.911999999997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0.01</v>
      </c>
      <c r="D19" s="40" t="s">
        <v>30</v>
      </c>
      <c r="E19" s="18">
        <f t="shared" si="0"/>
        <v>51.232200000000006</v>
      </c>
      <c r="F19" s="20">
        <f>E19*12</f>
        <v>614.78640000000007</v>
      </c>
    </row>
    <row r="20" spans="1:9" ht="15" x14ac:dyDescent="0.25">
      <c r="A20" s="28"/>
      <c r="B20" s="38" t="s">
        <v>54</v>
      </c>
      <c r="C20" s="41">
        <v>0.06</v>
      </c>
      <c r="D20" s="42" t="s">
        <v>29</v>
      </c>
      <c r="E20" s="18">
        <f t="shared" si="0"/>
        <v>307.39319999999998</v>
      </c>
      <c r="F20" s="20">
        <f t="shared" ref="F20" si="3">E20*12</f>
        <v>3688.7183999999997</v>
      </c>
    </row>
    <row r="21" spans="1:9" ht="24.75" x14ac:dyDescent="0.25">
      <c r="A21" s="19"/>
      <c r="B21" s="38" t="s">
        <v>55</v>
      </c>
      <c r="C21" s="41">
        <v>0.02</v>
      </c>
      <c r="D21" s="108" t="s">
        <v>59</v>
      </c>
      <c r="E21" s="18">
        <f t="shared" si="0"/>
        <v>102.46440000000001</v>
      </c>
      <c r="F21" s="20">
        <f t="shared" si="2"/>
        <v>1229.5728000000001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1.9</v>
      </c>
      <c r="D24" s="108" t="s">
        <v>59</v>
      </c>
      <c r="E24" s="18">
        <f t="shared" si="0"/>
        <v>9734.1180000000004</v>
      </c>
      <c r="F24" s="18">
        <f>E24*12</f>
        <v>116809.416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8">
        <f t="shared" ref="F25:F32" si="4">E25*12</f>
        <v>0</v>
      </c>
    </row>
    <row r="26" spans="1:9" ht="15" x14ac:dyDescent="0.25">
      <c r="A26" s="82"/>
      <c r="B26" s="47" t="s">
        <v>38</v>
      </c>
      <c r="C26" s="83">
        <v>4</v>
      </c>
      <c r="D26" s="108" t="s">
        <v>59</v>
      </c>
      <c r="E26" s="18">
        <f t="shared" si="0"/>
        <v>20492.88</v>
      </c>
      <c r="F26" s="18">
        <f t="shared" si="4"/>
        <v>245914.56</v>
      </c>
    </row>
    <row r="27" spans="1:9" ht="15" x14ac:dyDescent="0.25">
      <c r="A27" s="82"/>
      <c r="B27" s="47" t="s">
        <v>77</v>
      </c>
      <c r="C27" s="83">
        <v>2.5</v>
      </c>
      <c r="D27" s="108" t="s">
        <v>59</v>
      </c>
      <c r="E27" s="18">
        <f t="shared" si="0"/>
        <v>12808.050000000001</v>
      </c>
      <c r="F27" s="18">
        <f t="shared" si="4"/>
        <v>153696.6</v>
      </c>
    </row>
    <row r="28" spans="1:9" ht="51.75" x14ac:dyDescent="0.25">
      <c r="A28" s="24" t="s">
        <v>39</v>
      </c>
      <c r="B28" s="80" t="s">
        <v>57</v>
      </c>
      <c r="C28" s="79">
        <v>0.12</v>
      </c>
      <c r="D28" s="27" t="s">
        <v>72</v>
      </c>
      <c r="E28" s="18">
        <f t="shared" si="0"/>
        <v>614.78639999999996</v>
      </c>
      <c r="F28" s="18">
        <f t="shared" si="4"/>
        <v>7377.4367999999995</v>
      </c>
    </row>
    <row r="29" spans="1:9" ht="15" x14ac:dyDescent="0.25">
      <c r="A29" s="25" t="s">
        <v>41</v>
      </c>
      <c r="B29" s="48" t="s">
        <v>73</v>
      </c>
      <c r="C29" s="49">
        <v>2.17</v>
      </c>
      <c r="D29" s="50" t="s">
        <v>30</v>
      </c>
      <c r="E29" s="18">
        <f t="shared" si="0"/>
        <v>11117.3874</v>
      </c>
      <c r="F29" s="18">
        <f t="shared" si="4"/>
        <v>133408.6488</v>
      </c>
      <c r="G29" s="62"/>
    </row>
    <row r="30" spans="1:9" ht="34.5" x14ac:dyDescent="0.25">
      <c r="A30" s="25"/>
      <c r="B30" s="52" t="s">
        <v>40</v>
      </c>
      <c r="C30" s="53"/>
      <c r="D30" s="50"/>
      <c r="E30" s="18">
        <f t="shared" si="0"/>
        <v>0</v>
      </c>
      <c r="F30" s="18">
        <f t="shared" si="4"/>
        <v>0</v>
      </c>
    </row>
    <row r="31" spans="1:9" ht="15" x14ac:dyDescent="0.25">
      <c r="A31" s="25" t="s">
        <v>42</v>
      </c>
      <c r="B31" s="47" t="s">
        <v>74</v>
      </c>
      <c r="C31" s="53">
        <v>4.9000000000000004</v>
      </c>
      <c r="D31" s="50" t="s">
        <v>15</v>
      </c>
      <c r="E31" s="18">
        <f t="shared" si="0"/>
        <v>25103.778000000002</v>
      </c>
      <c r="F31" s="18">
        <f t="shared" si="4"/>
        <v>301245.33600000001</v>
      </c>
    </row>
    <row r="32" spans="1:9" ht="15" x14ac:dyDescent="0.25">
      <c r="A32" s="25" t="s">
        <v>43</v>
      </c>
      <c r="B32" s="55" t="s">
        <v>44</v>
      </c>
      <c r="C32" s="53">
        <v>1.32</v>
      </c>
      <c r="D32" s="50" t="s">
        <v>15</v>
      </c>
      <c r="E32" s="18">
        <f t="shared" si="0"/>
        <v>6762.6504000000004</v>
      </c>
      <c r="F32" s="18">
        <f t="shared" si="4"/>
        <v>81151.804800000013</v>
      </c>
    </row>
    <row r="33" spans="1:6" ht="15.75" x14ac:dyDescent="0.25">
      <c r="A33" s="25"/>
      <c r="B33" s="56" t="s">
        <v>46</v>
      </c>
      <c r="C33" s="57">
        <f>C32+C31+C29+C28+C27+C26+C24+C14+C13+C12+C11+C10</f>
        <v>22</v>
      </c>
      <c r="D33" s="50"/>
      <c r="E33" s="18">
        <f t="shared" si="0"/>
        <v>112710.84000000001</v>
      </c>
      <c r="F33" s="18">
        <f>F10+F11+F12+F13+F14+F24+F26+F27+F28+F29+F31+F32</f>
        <v>1352530.08</v>
      </c>
    </row>
    <row r="34" spans="1:6" ht="15.75" x14ac:dyDescent="0.25">
      <c r="A34" s="58"/>
      <c r="B34" s="3"/>
      <c r="C34" s="59"/>
      <c r="D34" s="60"/>
    </row>
    <row r="35" spans="1:6" x14ac:dyDescent="0.2">
      <c r="A35" s="58"/>
      <c r="C35" s="66"/>
      <c r="E35" s="54"/>
    </row>
    <row r="36" spans="1:6" x14ac:dyDescent="0.2">
      <c r="A36" s="58"/>
      <c r="B36" s="2" t="s">
        <v>47</v>
      </c>
      <c r="C36" s="1" t="s">
        <v>58</v>
      </c>
    </row>
    <row r="37" spans="1:6" x14ac:dyDescent="0.2">
      <c r="B37" s="1" t="s">
        <v>48</v>
      </c>
      <c r="D37" s="1" t="s">
        <v>49</v>
      </c>
    </row>
    <row r="39" spans="1:6" x14ac:dyDescent="0.2">
      <c r="B39" s="1" t="s">
        <v>50</v>
      </c>
      <c r="D39" s="1" t="s">
        <v>51</v>
      </c>
    </row>
    <row r="40" spans="1:6" x14ac:dyDescent="0.2">
      <c r="B40" s="1" t="s">
        <v>52</v>
      </c>
      <c r="D40" s="1" t="s">
        <v>51</v>
      </c>
    </row>
    <row r="41" spans="1:6" x14ac:dyDescent="0.2">
      <c r="B41" s="1" t="s">
        <v>52</v>
      </c>
      <c r="D41" s="1" t="s">
        <v>51</v>
      </c>
    </row>
    <row r="42" spans="1:6" x14ac:dyDescent="0.2">
      <c r="B42" s="1" t="s">
        <v>52</v>
      </c>
      <c r="D42" s="1" t="s">
        <v>51</v>
      </c>
    </row>
    <row r="43" spans="1:6" x14ac:dyDescent="0.2">
      <c r="B43" s="1" t="s">
        <v>52</v>
      </c>
      <c r="D43" s="1" t="s">
        <v>51</v>
      </c>
    </row>
  </sheetData>
  <mergeCells count="1">
    <mergeCell ref="A2:D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AB60D-0D76-4D1B-8533-94ABC8ECD999}">
  <sheetPr>
    <tabColor rgb="FF92D050"/>
  </sheetPr>
  <dimension ref="A1:I43"/>
  <sheetViews>
    <sheetView workbookViewId="0">
      <selection activeCell="K12" sqref="K12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292</v>
      </c>
      <c r="C4" s="3"/>
      <c r="D4" s="3"/>
    </row>
    <row r="5" spans="1:6" x14ac:dyDescent="0.2">
      <c r="B5" s="3"/>
      <c r="C5" s="3"/>
      <c r="D5" s="3"/>
      <c r="F5" s="1">
        <v>5688.8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3.31</v>
      </c>
      <c r="D10" s="50" t="s">
        <v>15</v>
      </c>
      <c r="E10" s="18">
        <f>C10*5688.8</f>
        <v>18829.928</v>
      </c>
      <c r="F10" s="18">
        <f>E10*12</f>
        <v>225959.136</v>
      </c>
    </row>
    <row r="11" spans="1:6" ht="15" x14ac:dyDescent="0.25">
      <c r="A11" s="10"/>
      <c r="B11" s="15" t="s">
        <v>76</v>
      </c>
      <c r="C11" s="16">
        <v>0.2</v>
      </c>
      <c r="D11" s="88" t="s">
        <v>20</v>
      </c>
      <c r="E11" s="18">
        <f t="shared" ref="E11:E33" si="0">C11*5688.8</f>
        <v>1137.76</v>
      </c>
      <c r="F11" s="18">
        <f>E11*12</f>
        <v>13653.119999999999</v>
      </c>
    </row>
    <row r="12" spans="1:6" ht="39" x14ac:dyDescent="0.25">
      <c r="A12" s="10" t="s">
        <v>16</v>
      </c>
      <c r="B12" s="15" t="s">
        <v>17</v>
      </c>
      <c r="C12" s="16">
        <v>0.8</v>
      </c>
      <c r="D12" s="50" t="s">
        <v>15</v>
      </c>
      <c r="E12" s="18">
        <f t="shared" si="0"/>
        <v>4551.04</v>
      </c>
      <c r="F12" s="18">
        <f t="shared" ref="F12:F13" si="1">E12*12</f>
        <v>54612.479999999996</v>
      </c>
    </row>
    <row r="13" spans="1:6" ht="39" x14ac:dyDescent="0.25">
      <c r="A13" s="22" t="s">
        <v>18</v>
      </c>
      <c r="B13" s="15" t="s">
        <v>19</v>
      </c>
      <c r="C13" s="23">
        <v>0.18</v>
      </c>
      <c r="D13" s="88" t="s">
        <v>20</v>
      </c>
      <c r="E13" s="18">
        <f t="shared" si="0"/>
        <v>1023.984</v>
      </c>
      <c r="F13" s="18">
        <f t="shared" si="1"/>
        <v>12287.808000000001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1.2200000000000002</v>
      </c>
      <c r="D14" s="27"/>
      <c r="E14" s="18">
        <f t="shared" si="0"/>
        <v>6940.3360000000011</v>
      </c>
      <c r="F14" s="18">
        <f>F15+F16+F17+F19+F21+F20</f>
        <v>83284.032000000007</v>
      </c>
    </row>
    <row r="15" spans="1:6" ht="15" x14ac:dyDescent="0.25">
      <c r="A15" s="28"/>
      <c r="B15" s="29" t="s">
        <v>23</v>
      </c>
      <c r="C15" s="30">
        <v>0.09</v>
      </c>
      <c r="D15" s="31" t="s">
        <v>24</v>
      </c>
      <c r="E15" s="18">
        <f t="shared" si="0"/>
        <v>511.99200000000002</v>
      </c>
      <c r="F15" s="20">
        <f>E15*12</f>
        <v>6143.9040000000005</v>
      </c>
    </row>
    <row r="16" spans="1:6" ht="24.75" x14ac:dyDescent="0.25">
      <c r="A16" s="28"/>
      <c r="B16" s="29" t="s">
        <v>25</v>
      </c>
      <c r="C16" s="30">
        <v>0.25</v>
      </c>
      <c r="D16" s="32" t="s">
        <v>20</v>
      </c>
      <c r="E16" s="18">
        <f t="shared" si="0"/>
        <v>1422.2</v>
      </c>
      <c r="F16" s="20">
        <f t="shared" ref="F16:F21" si="2">E16*12</f>
        <v>17066.400000000001</v>
      </c>
    </row>
    <row r="17" spans="1:9" ht="15" x14ac:dyDescent="0.25">
      <c r="A17" s="28"/>
      <c r="B17" s="33" t="s">
        <v>26</v>
      </c>
      <c r="C17" s="30">
        <v>0.8</v>
      </c>
      <c r="D17" s="34"/>
      <c r="E17" s="18">
        <f t="shared" si="0"/>
        <v>4551.04</v>
      </c>
      <c r="F17" s="20">
        <f t="shared" si="2"/>
        <v>54612.479999999996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0.01</v>
      </c>
      <c r="D19" s="40" t="s">
        <v>30</v>
      </c>
      <c r="E19" s="18">
        <f t="shared" si="0"/>
        <v>56.888000000000005</v>
      </c>
      <c r="F19" s="20">
        <f>E19*12</f>
        <v>682.65600000000006</v>
      </c>
    </row>
    <row r="20" spans="1:9" ht="15" x14ac:dyDescent="0.25">
      <c r="A20" s="28"/>
      <c r="B20" s="38" t="s">
        <v>54</v>
      </c>
      <c r="C20" s="41">
        <v>0.05</v>
      </c>
      <c r="D20" s="42" t="s">
        <v>29</v>
      </c>
      <c r="E20" s="18">
        <f t="shared" si="0"/>
        <v>284.44</v>
      </c>
      <c r="F20" s="20">
        <f t="shared" ref="F20" si="3">E20*12</f>
        <v>3413.2799999999997</v>
      </c>
    </row>
    <row r="21" spans="1:9" ht="24.75" x14ac:dyDescent="0.25">
      <c r="A21" s="19"/>
      <c r="B21" s="38" t="s">
        <v>55</v>
      </c>
      <c r="C21" s="41">
        <v>0.02</v>
      </c>
      <c r="D21" s="108" t="s">
        <v>59</v>
      </c>
      <c r="E21" s="18">
        <f t="shared" si="0"/>
        <v>113.77600000000001</v>
      </c>
      <c r="F21" s="20">
        <f t="shared" si="2"/>
        <v>1365.3120000000001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1.65</v>
      </c>
      <c r="D24" s="108" t="s">
        <v>59</v>
      </c>
      <c r="E24" s="18">
        <f t="shared" si="0"/>
        <v>9386.52</v>
      </c>
      <c r="F24" s="18">
        <f>E24*12</f>
        <v>112638.24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8"/>
    </row>
    <row r="26" spans="1:9" ht="15" x14ac:dyDescent="0.25">
      <c r="A26" s="82"/>
      <c r="B26" s="47" t="s">
        <v>38</v>
      </c>
      <c r="C26" s="83">
        <v>3.75</v>
      </c>
      <c r="D26" s="108" t="s">
        <v>59</v>
      </c>
      <c r="E26" s="18">
        <f t="shared" si="0"/>
        <v>21333</v>
      </c>
      <c r="F26" s="18">
        <f t="shared" ref="F26:F32" si="4">E26*12</f>
        <v>255996</v>
      </c>
    </row>
    <row r="27" spans="1:9" ht="15" x14ac:dyDescent="0.25">
      <c r="A27" s="82"/>
      <c r="B27" s="47" t="s">
        <v>77</v>
      </c>
      <c r="C27" s="83">
        <v>2.25</v>
      </c>
      <c r="D27" s="108" t="s">
        <v>59</v>
      </c>
      <c r="E27" s="18">
        <f t="shared" si="0"/>
        <v>12799.800000000001</v>
      </c>
      <c r="F27" s="18">
        <f t="shared" si="4"/>
        <v>153597.6</v>
      </c>
    </row>
    <row r="28" spans="1:9" ht="51.75" x14ac:dyDescent="0.25">
      <c r="A28" s="24" t="s">
        <v>39</v>
      </c>
      <c r="B28" s="80" t="s">
        <v>57</v>
      </c>
      <c r="C28" s="79">
        <v>0.12</v>
      </c>
      <c r="D28" s="27" t="s">
        <v>72</v>
      </c>
      <c r="E28" s="18">
        <f t="shared" si="0"/>
        <v>682.65599999999995</v>
      </c>
      <c r="F28" s="18">
        <f t="shared" si="4"/>
        <v>8191.8719999999994</v>
      </c>
    </row>
    <row r="29" spans="1:9" ht="15" x14ac:dyDescent="0.25">
      <c r="A29" s="25" t="s">
        <v>41</v>
      </c>
      <c r="B29" s="48" t="s">
        <v>73</v>
      </c>
      <c r="C29" s="49">
        <v>2.65</v>
      </c>
      <c r="D29" s="50" t="s">
        <v>30</v>
      </c>
      <c r="E29" s="18">
        <f t="shared" si="0"/>
        <v>15075.32</v>
      </c>
      <c r="F29" s="18">
        <f t="shared" si="4"/>
        <v>180903.84</v>
      </c>
      <c r="G29" s="62"/>
    </row>
    <row r="30" spans="1:9" ht="34.5" x14ac:dyDescent="0.25">
      <c r="A30" s="25"/>
      <c r="B30" s="52" t="s">
        <v>40</v>
      </c>
      <c r="C30" s="53"/>
      <c r="D30" s="50"/>
      <c r="E30" s="18">
        <f t="shared" si="0"/>
        <v>0</v>
      </c>
      <c r="F30" s="18"/>
    </row>
    <row r="31" spans="1:9" ht="15" x14ac:dyDescent="0.25">
      <c r="A31" s="25" t="s">
        <v>42</v>
      </c>
      <c r="B31" s="47" t="s">
        <v>74</v>
      </c>
      <c r="C31" s="53">
        <v>4.55</v>
      </c>
      <c r="D31" s="50" t="s">
        <v>15</v>
      </c>
      <c r="E31" s="18">
        <f t="shared" si="0"/>
        <v>25884.04</v>
      </c>
      <c r="F31" s="18">
        <f t="shared" si="4"/>
        <v>310608.48</v>
      </c>
    </row>
    <row r="32" spans="1:9" ht="15" x14ac:dyDescent="0.25">
      <c r="A32" s="25" t="s">
        <v>43</v>
      </c>
      <c r="B32" s="55" t="s">
        <v>44</v>
      </c>
      <c r="C32" s="53">
        <v>1.32</v>
      </c>
      <c r="D32" s="50" t="s">
        <v>15</v>
      </c>
      <c r="E32" s="18">
        <f t="shared" si="0"/>
        <v>7509.2160000000003</v>
      </c>
      <c r="F32" s="18">
        <f t="shared" si="4"/>
        <v>90110.592000000004</v>
      </c>
    </row>
    <row r="33" spans="1:6" ht="15.75" x14ac:dyDescent="0.25">
      <c r="A33" s="25"/>
      <c r="B33" s="56" t="s">
        <v>46</v>
      </c>
      <c r="C33" s="57">
        <f>C10+C11+C12+C13+C14+C24+C26+C27+C28+C29+C31+C32</f>
        <v>22</v>
      </c>
      <c r="D33" s="50"/>
      <c r="E33" s="18">
        <f t="shared" si="0"/>
        <v>125153.60000000001</v>
      </c>
      <c r="F33" s="18">
        <f>F10+F11+F12+F13+F14+F24+F26+F27+F28+F29+F31+F32</f>
        <v>1501843.2</v>
      </c>
    </row>
    <row r="34" spans="1:6" ht="15.75" x14ac:dyDescent="0.25">
      <c r="A34" s="58"/>
      <c r="B34" s="3"/>
      <c r="C34" s="59"/>
      <c r="D34" s="60"/>
    </row>
    <row r="35" spans="1:6" x14ac:dyDescent="0.2">
      <c r="A35" s="58"/>
      <c r="C35" s="66"/>
      <c r="E35" s="54"/>
    </row>
    <row r="36" spans="1:6" x14ac:dyDescent="0.2">
      <c r="A36" s="58"/>
      <c r="B36" s="2" t="s">
        <v>47</v>
      </c>
      <c r="C36" s="1" t="s">
        <v>58</v>
      </c>
    </row>
    <row r="37" spans="1:6" x14ac:dyDescent="0.2">
      <c r="B37" s="1" t="s">
        <v>48</v>
      </c>
      <c r="D37" s="1" t="s">
        <v>49</v>
      </c>
    </row>
    <row r="39" spans="1:6" x14ac:dyDescent="0.2">
      <c r="B39" s="1" t="s">
        <v>50</v>
      </c>
      <c r="D39" s="1" t="s">
        <v>51</v>
      </c>
    </row>
    <row r="40" spans="1:6" x14ac:dyDescent="0.2">
      <c r="B40" s="1" t="s">
        <v>52</v>
      </c>
      <c r="D40" s="1" t="s">
        <v>51</v>
      </c>
    </row>
    <row r="41" spans="1:6" x14ac:dyDescent="0.2">
      <c r="B41" s="1" t="s">
        <v>52</v>
      </c>
      <c r="D41" s="1" t="s">
        <v>51</v>
      </c>
    </row>
    <row r="42" spans="1:6" x14ac:dyDescent="0.2">
      <c r="B42" s="1" t="s">
        <v>52</v>
      </c>
      <c r="D42" s="1" t="s">
        <v>51</v>
      </c>
    </row>
    <row r="43" spans="1:6" x14ac:dyDescent="0.2">
      <c r="B43" s="1" t="s">
        <v>52</v>
      </c>
      <c r="D43" s="1" t="s">
        <v>51</v>
      </c>
    </row>
  </sheetData>
  <mergeCells count="1">
    <mergeCell ref="A2:D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2FFC6-52BA-4799-8117-5EEF6C6200F0}">
  <sheetPr>
    <tabColor rgb="FF92D050"/>
  </sheetPr>
  <dimension ref="A1:I43"/>
  <sheetViews>
    <sheetView topLeftCell="A19" workbookViewId="0">
      <selection activeCell="G38" sqref="G38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291</v>
      </c>
      <c r="C4" s="3"/>
      <c r="D4" s="3"/>
    </row>
    <row r="5" spans="1:6" x14ac:dyDescent="0.2">
      <c r="B5" s="3"/>
      <c r="C5" s="3"/>
      <c r="D5" s="3"/>
      <c r="F5" s="1">
        <v>5659.4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2.75</v>
      </c>
      <c r="D10" s="50" t="s">
        <v>15</v>
      </c>
      <c r="E10" s="18">
        <f>C10*5659.4</f>
        <v>15563.349999999999</v>
      </c>
      <c r="F10" s="18">
        <f>E10*12</f>
        <v>186760.19999999998</v>
      </c>
    </row>
    <row r="11" spans="1:6" ht="15" x14ac:dyDescent="0.25">
      <c r="A11" s="10"/>
      <c r="B11" s="15" t="s">
        <v>76</v>
      </c>
      <c r="C11" s="16">
        <v>0.12</v>
      </c>
      <c r="D11" s="88" t="s">
        <v>20</v>
      </c>
      <c r="E11" s="18">
        <f t="shared" ref="E11:E33" si="0">C11*5659.4</f>
        <v>679.12799999999993</v>
      </c>
      <c r="F11" s="18">
        <f>E11*12</f>
        <v>8149.5359999999991</v>
      </c>
    </row>
    <row r="12" spans="1:6" ht="39" x14ac:dyDescent="0.25">
      <c r="A12" s="10" t="s">
        <v>16</v>
      </c>
      <c r="B12" s="15" t="s">
        <v>17</v>
      </c>
      <c r="C12" s="16">
        <v>0.6</v>
      </c>
      <c r="D12" s="50" t="s">
        <v>15</v>
      </c>
      <c r="E12" s="18">
        <f t="shared" si="0"/>
        <v>3395.64</v>
      </c>
      <c r="F12" s="18">
        <f t="shared" ref="F12:F13" si="1">E12*12</f>
        <v>40747.68</v>
      </c>
    </row>
    <row r="13" spans="1:6" ht="39" x14ac:dyDescent="0.25">
      <c r="A13" s="22" t="s">
        <v>18</v>
      </c>
      <c r="B13" s="15" t="s">
        <v>19</v>
      </c>
      <c r="C13" s="23">
        <v>0.22</v>
      </c>
      <c r="D13" s="88" t="s">
        <v>20</v>
      </c>
      <c r="E13" s="18">
        <f t="shared" si="0"/>
        <v>1245.068</v>
      </c>
      <c r="F13" s="18">
        <f t="shared" si="1"/>
        <v>14940.815999999999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1.1400000000000001</v>
      </c>
      <c r="D14" s="27"/>
      <c r="E14" s="18">
        <f t="shared" si="0"/>
        <v>6451.7160000000003</v>
      </c>
      <c r="F14" s="18">
        <f>F15+F16+F17+F19+F21+F20</f>
        <v>77420.59199999999</v>
      </c>
    </row>
    <row r="15" spans="1:6" ht="15" x14ac:dyDescent="0.25">
      <c r="A15" s="28"/>
      <c r="B15" s="29" t="s">
        <v>23</v>
      </c>
      <c r="C15" s="30">
        <v>0.1</v>
      </c>
      <c r="D15" s="31" t="s">
        <v>24</v>
      </c>
      <c r="E15" s="18">
        <f t="shared" si="0"/>
        <v>565.93999999999994</v>
      </c>
      <c r="F15" s="20">
        <f>E15*12</f>
        <v>6791.2799999999988</v>
      </c>
    </row>
    <row r="16" spans="1:6" ht="24.75" x14ac:dyDescent="0.25">
      <c r="A16" s="28"/>
      <c r="B16" s="29" t="s">
        <v>25</v>
      </c>
      <c r="C16" s="30">
        <v>0.32</v>
      </c>
      <c r="D16" s="32" t="s">
        <v>20</v>
      </c>
      <c r="E16" s="18">
        <f t="shared" si="0"/>
        <v>1811.0079999999998</v>
      </c>
      <c r="F16" s="20">
        <f t="shared" ref="F16:F21" si="2">E16*12</f>
        <v>21732.095999999998</v>
      </c>
    </row>
    <row r="17" spans="1:9" ht="15" x14ac:dyDescent="0.25">
      <c r="A17" s="28"/>
      <c r="B17" s="33" t="s">
        <v>26</v>
      </c>
      <c r="C17" s="30">
        <v>0.65</v>
      </c>
      <c r="D17" s="34"/>
      <c r="E17" s="18">
        <f t="shared" si="0"/>
        <v>3678.6099999999997</v>
      </c>
      <c r="F17" s="20">
        <f t="shared" si="2"/>
        <v>44143.319999999992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0.01</v>
      </c>
      <c r="D19" s="40" t="s">
        <v>30</v>
      </c>
      <c r="E19" s="18">
        <f t="shared" si="0"/>
        <v>56.593999999999994</v>
      </c>
      <c r="F19" s="20">
        <f>E19*12</f>
        <v>679.12799999999993</v>
      </c>
    </row>
    <row r="20" spans="1:9" ht="15" x14ac:dyDescent="0.25">
      <c r="A20" s="28"/>
      <c r="B20" s="38" t="s">
        <v>54</v>
      </c>
      <c r="C20" s="41">
        <v>0.04</v>
      </c>
      <c r="D20" s="42" t="s">
        <v>29</v>
      </c>
      <c r="E20" s="18">
        <f t="shared" si="0"/>
        <v>226.37599999999998</v>
      </c>
      <c r="F20" s="20">
        <f t="shared" ref="F20" si="3">E20*12</f>
        <v>2716.5119999999997</v>
      </c>
    </row>
    <row r="21" spans="1:9" ht="24.75" x14ac:dyDescent="0.25">
      <c r="A21" s="19"/>
      <c r="B21" s="38" t="s">
        <v>55</v>
      </c>
      <c r="C21" s="41">
        <v>0.02</v>
      </c>
      <c r="D21" s="108" t="s">
        <v>59</v>
      </c>
      <c r="E21" s="18">
        <f t="shared" si="0"/>
        <v>113.18799999999999</v>
      </c>
      <c r="F21" s="20">
        <f t="shared" si="2"/>
        <v>1358.2559999999999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2.8</v>
      </c>
      <c r="D24" s="108" t="s">
        <v>59</v>
      </c>
      <c r="E24" s="18">
        <f t="shared" si="0"/>
        <v>15846.319999999998</v>
      </c>
      <c r="F24" s="18">
        <f>E24*12</f>
        <v>190155.83999999997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8"/>
    </row>
    <row r="26" spans="1:9" ht="15" x14ac:dyDescent="0.25">
      <c r="A26" s="82"/>
      <c r="B26" s="47" t="s">
        <v>38</v>
      </c>
      <c r="C26" s="83">
        <v>3</v>
      </c>
      <c r="D26" s="108" t="s">
        <v>59</v>
      </c>
      <c r="E26" s="18">
        <f t="shared" si="0"/>
        <v>16978.199999999997</v>
      </c>
      <c r="F26" s="18">
        <f t="shared" ref="F26:F32" si="4">E26*12</f>
        <v>203738.39999999997</v>
      </c>
    </row>
    <row r="27" spans="1:9" ht="15" x14ac:dyDescent="0.25">
      <c r="A27" s="82"/>
      <c r="B27" s="47" t="s">
        <v>77</v>
      </c>
      <c r="C27" s="83">
        <v>2.4</v>
      </c>
      <c r="D27" s="108" t="s">
        <v>59</v>
      </c>
      <c r="E27" s="18">
        <f t="shared" si="0"/>
        <v>13582.56</v>
      </c>
      <c r="F27" s="18">
        <f t="shared" si="4"/>
        <v>162990.72</v>
      </c>
    </row>
    <row r="28" spans="1:9" ht="51.75" x14ac:dyDescent="0.25">
      <c r="A28" s="24" t="s">
        <v>39</v>
      </c>
      <c r="B28" s="80" t="s">
        <v>57</v>
      </c>
      <c r="C28" s="79">
        <v>0.12</v>
      </c>
      <c r="D28" s="27" t="s">
        <v>72</v>
      </c>
      <c r="E28" s="18">
        <f t="shared" si="0"/>
        <v>679.12799999999993</v>
      </c>
      <c r="F28" s="18">
        <f t="shared" si="4"/>
        <v>8149.5359999999991</v>
      </c>
    </row>
    <row r="29" spans="1:9" ht="15" x14ac:dyDescent="0.25">
      <c r="A29" s="25" t="s">
        <v>41</v>
      </c>
      <c r="B29" s="48" t="s">
        <v>73</v>
      </c>
      <c r="C29" s="49">
        <v>2.7</v>
      </c>
      <c r="D29" s="50" t="s">
        <v>30</v>
      </c>
      <c r="E29" s="18">
        <f t="shared" si="0"/>
        <v>15280.38</v>
      </c>
      <c r="F29" s="18">
        <f t="shared" si="4"/>
        <v>183364.56</v>
      </c>
      <c r="G29" s="62"/>
    </row>
    <row r="30" spans="1:9" ht="34.5" x14ac:dyDescent="0.25">
      <c r="A30" s="25"/>
      <c r="B30" s="52" t="s">
        <v>40</v>
      </c>
      <c r="C30" s="53"/>
      <c r="D30" s="50"/>
      <c r="E30" s="18">
        <f t="shared" si="0"/>
        <v>0</v>
      </c>
      <c r="F30" s="18"/>
    </row>
    <row r="31" spans="1:9" ht="15" x14ac:dyDescent="0.25">
      <c r="A31" s="25" t="s">
        <v>42</v>
      </c>
      <c r="B31" s="47" t="s">
        <v>74</v>
      </c>
      <c r="C31" s="53">
        <v>4.6399999999999997</v>
      </c>
      <c r="D31" s="50" t="s">
        <v>15</v>
      </c>
      <c r="E31" s="18">
        <f t="shared" si="0"/>
        <v>26259.615999999998</v>
      </c>
      <c r="F31" s="18">
        <f t="shared" si="4"/>
        <v>315115.39199999999</v>
      </c>
    </row>
    <row r="32" spans="1:9" ht="15" x14ac:dyDescent="0.25">
      <c r="A32" s="25" t="s">
        <v>43</v>
      </c>
      <c r="B32" s="55" t="s">
        <v>44</v>
      </c>
      <c r="C32" s="53">
        <v>1.31</v>
      </c>
      <c r="D32" s="50" t="s">
        <v>15</v>
      </c>
      <c r="E32" s="18">
        <f t="shared" si="0"/>
        <v>7413.8139999999994</v>
      </c>
      <c r="F32" s="18">
        <f t="shared" si="4"/>
        <v>88965.767999999996</v>
      </c>
    </row>
    <row r="33" spans="1:6" ht="15.75" x14ac:dyDescent="0.25">
      <c r="A33" s="25"/>
      <c r="B33" s="56" t="s">
        <v>46</v>
      </c>
      <c r="C33" s="57">
        <f>C10+C11+C12+C13+C14+C24+C26+C27+C28+C29+C31+C32</f>
        <v>21.799999999999997</v>
      </c>
      <c r="D33" s="50"/>
      <c r="E33" s="18">
        <f t="shared" si="0"/>
        <v>123374.91999999997</v>
      </c>
      <c r="F33" s="18">
        <f>F10+F11+F12+F13+F14+F24+F26+F27+F28+F29+F31+F32</f>
        <v>1480499.0399999998</v>
      </c>
    </row>
    <row r="34" spans="1:6" ht="15.75" x14ac:dyDescent="0.25">
      <c r="A34" s="58"/>
      <c r="B34" s="3"/>
      <c r="C34" s="59"/>
      <c r="D34" s="60"/>
    </row>
    <row r="35" spans="1:6" x14ac:dyDescent="0.2">
      <c r="A35" s="58"/>
      <c r="C35" s="66"/>
      <c r="E35" s="54"/>
    </row>
    <row r="36" spans="1:6" x14ac:dyDescent="0.2">
      <c r="A36" s="58"/>
      <c r="B36" s="2" t="s">
        <v>47</v>
      </c>
      <c r="C36" s="1" t="s">
        <v>58</v>
      </c>
    </row>
    <row r="37" spans="1:6" x14ac:dyDescent="0.2">
      <c r="B37" s="1" t="s">
        <v>48</v>
      </c>
      <c r="D37" s="1" t="s">
        <v>49</v>
      </c>
    </row>
    <row r="39" spans="1:6" x14ac:dyDescent="0.2">
      <c r="B39" s="1" t="s">
        <v>50</v>
      </c>
      <c r="D39" s="1" t="s">
        <v>51</v>
      </c>
    </row>
    <row r="40" spans="1:6" x14ac:dyDescent="0.2">
      <c r="B40" s="1" t="s">
        <v>52</v>
      </c>
      <c r="D40" s="1" t="s">
        <v>51</v>
      </c>
    </row>
    <row r="41" spans="1:6" x14ac:dyDescent="0.2">
      <c r="B41" s="1" t="s">
        <v>52</v>
      </c>
      <c r="D41" s="1" t="s">
        <v>51</v>
      </c>
    </row>
    <row r="42" spans="1:6" x14ac:dyDescent="0.2">
      <c r="B42" s="1" t="s">
        <v>52</v>
      </c>
      <c r="D42" s="1" t="s">
        <v>51</v>
      </c>
    </row>
    <row r="43" spans="1:6" x14ac:dyDescent="0.2">
      <c r="B43" s="1" t="s">
        <v>52</v>
      </c>
      <c r="D43" s="1" t="s">
        <v>51</v>
      </c>
    </row>
  </sheetData>
  <mergeCells count="1">
    <mergeCell ref="A2:D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E2741-524C-4E8C-83BD-EA68468AD9E1}">
  <sheetPr>
    <tabColor rgb="FF92D050"/>
  </sheetPr>
  <dimension ref="A1:I42"/>
  <sheetViews>
    <sheetView topLeftCell="A4" workbookViewId="0">
      <selection activeCell="B45" sqref="B45:C45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293</v>
      </c>
      <c r="C4" s="3"/>
      <c r="D4" s="3"/>
    </row>
    <row r="5" spans="1:6" x14ac:dyDescent="0.2">
      <c r="B5" s="3"/>
      <c r="C5" s="3"/>
      <c r="D5" s="3"/>
      <c r="F5" s="1">
        <v>5171.28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3.44</v>
      </c>
      <c r="D10" s="50" t="s">
        <v>15</v>
      </c>
      <c r="E10" s="18">
        <f>C10*5171.28</f>
        <v>17789.2032</v>
      </c>
      <c r="F10" s="18">
        <f>E10*12</f>
        <v>213470.43839999998</v>
      </c>
    </row>
    <row r="11" spans="1:6" ht="15" x14ac:dyDescent="0.25">
      <c r="A11" s="10"/>
      <c r="B11" s="15" t="s">
        <v>76</v>
      </c>
      <c r="C11" s="16">
        <v>0.2</v>
      </c>
      <c r="D11" s="88" t="s">
        <v>20</v>
      </c>
      <c r="E11" s="18">
        <f t="shared" ref="E11:E32" si="0">C11*5171.28</f>
        <v>1034.2560000000001</v>
      </c>
      <c r="F11" s="18">
        <f>E11*12</f>
        <v>12411.072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4654.152</v>
      </c>
      <c r="F12" s="18">
        <f t="shared" ref="F12:F13" si="1">E12*12</f>
        <v>55849.824000000001</v>
      </c>
    </row>
    <row r="13" spans="1:6" ht="39" x14ac:dyDescent="0.25">
      <c r="A13" s="22" t="s">
        <v>18</v>
      </c>
      <c r="B13" s="15" t="s">
        <v>19</v>
      </c>
      <c r="C13" s="23">
        <v>0.37</v>
      </c>
      <c r="D13" s="88" t="s">
        <v>20</v>
      </c>
      <c r="E13" s="18">
        <f t="shared" si="0"/>
        <v>1913.3735999999999</v>
      </c>
      <c r="F13" s="18">
        <f t="shared" si="1"/>
        <v>22960.483199999999</v>
      </c>
    </row>
    <row r="14" spans="1:6" ht="15.75" x14ac:dyDescent="0.25">
      <c r="A14" s="25" t="s">
        <v>21</v>
      </c>
      <c r="B14" s="26" t="s">
        <v>22</v>
      </c>
      <c r="C14" s="83">
        <f>C15+C16+C17+C19+C20</f>
        <v>1.32</v>
      </c>
      <c r="D14" s="27"/>
      <c r="E14" s="18">
        <f t="shared" si="0"/>
        <v>6826.0896000000002</v>
      </c>
      <c r="F14" s="18">
        <f>F15+F16+F17+F19+F20</f>
        <v>81913.075199999992</v>
      </c>
    </row>
    <row r="15" spans="1:6" ht="15" x14ac:dyDescent="0.25">
      <c r="A15" s="28"/>
      <c r="B15" s="29" t="s">
        <v>23</v>
      </c>
      <c r="C15" s="30">
        <v>0.08</v>
      </c>
      <c r="D15" s="31" t="s">
        <v>24</v>
      </c>
      <c r="E15" s="18">
        <f t="shared" si="0"/>
        <v>413.70240000000001</v>
      </c>
      <c r="F15" s="20">
        <f>E15*12</f>
        <v>4964.4287999999997</v>
      </c>
    </row>
    <row r="16" spans="1:6" ht="24.75" x14ac:dyDescent="0.25">
      <c r="A16" s="28"/>
      <c r="B16" s="29" t="s">
        <v>25</v>
      </c>
      <c r="C16" s="30">
        <v>0.22</v>
      </c>
      <c r="D16" s="32" t="s">
        <v>20</v>
      </c>
      <c r="E16" s="18">
        <f t="shared" si="0"/>
        <v>1137.6815999999999</v>
      </c>
      <c r="F16" s="20">
        <f t="shared" ref="F16:F17" si="2">E16*12</f>
        <v>13652.179199999999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4654.152</v>
      </c>
      <c r="F17" s="20">
        <f t="shared" si="2"/>
        <v>55849.824000000001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0.02</v>
      </c>
      <c r="D19" s="40" t="s">
        <v>30</v>
      </c>
      <c r="E19" s="18">
        <f t="shared" si="0"/>
        <v>103.4256</v>
      </c>
      <c r="F19" s="20">
        <f>E19*12</f>
        <v>1241.1071999999999</v>
      </c>
    </row>
    <row r="20" spans="1:9" ht="15" x14ac:dyDescent="0.25">
      <c r="A20" s="28"/>
      <c r="B20" s="38" t="s">
        <v>54</v>
      </c>
      <c r="C20" s="41">
        <v>0.1</v>
      </c>
      <c r="D20" s="42" t="s">
        <v>29</v>
      </c>
      <c r="E20" s="18">
        <f t="shared" si="0"/>
        <v>517.12800000000004</v>
      </c>
      <c r="F20" s="20">
        <f t="shared" ref="F20" si="3">E20*12</f>
        <v>6205.5360000000001</v>
      </c>
    </row>
    <row r="21" spans="1:9" ht="39" x14ac:dyDescent="0.25">
      <c r="A21" s="23" t="s">
        <v>32</v>
      </c>
      <c r="B21" s="43" t="s">
        <v>33</v>
      </c>
      <c r="C21" s="81"/>
      <c r="D21" s="81"/>
      <c r="E21" s="18">
        <f t="shared" si="0"/>
        <v>0</v>
      </c>
      <c r="F21" s="14"/>
      <c r="I21" s="1" t="s">
        <v>56</v>
      </c>
    </row>
    <row r="22" spans="1:9" ht="15" x14ac:dyDescent="0.25">
      <c r="A22" s="81"/>
      <c r="B22" s="4" t="s">
        <v>34</v>
      </c>
      <c r="C22" s="81"/>
      <c r="D22" s="4"/>
      <c r="E22" s="18">
        <f t="shared" si="0"/>
        <v>0</v>
      </c>
      <c r="F22" s="14"/>
    </row>
    <row r="23" spans="1:9" ht="26.25" x14ac:dyDescent="0.25">
      <c r="A23" s="25"/>
      <c r="B23" s="44" t="s">
        <v>35</v>
      </c>
      <c r="C23" s="83">
        <v>1.6</v>
      </c>
      <c r="D23" s="108" t="s">
        <v>59</v>
      </c>
      <c r="E23" s="18">
        <f t="shared" si="0"/>
        <v>8274.0480000000007</v>
      </c>
      <c r="F23" s="18">
        <f>E23*12</f>
        <v>99288.576000000001</v>
      </c>
    </row>
    <row r="24" spans="1:9" ht="15" x14ac:dyDescent="0.25">
      <c r="A24" s="81"/>
      <c r="B24" s="46" t="s">
        <v>37</v>
      </c>
      <c r="C24" s="81"/>
      <c r="D24" s="81"/>
      <c r="E24" s="18">
        <f t="shared" si="0"/>
        <v>0</v>
      </c>
      <c r="F24" s="18"/>
    </row>
    <row r="25" spans="1:9" ht="15" x14ac:dyDescent="0.25">
      <c r="A25" s="82"/>
      <c r="B25" s="47" t="s">
        <v>38</v>
      </c>
      <c r="C25" s="83">
        <v>2.7</v>
      </c>
      <c r="D25" s="108" t="s">
        <v>59</v>
      </c>
      <c r="E25" s="18">
        <f t="shared" si="0"/>
        <v>13962.456</v>
      </c>
      <c r="F25" s="18">
        <f t="shared" ref="F25:F31" si="4">E25*12</f>
        <v>167549.47200000001</v>
      </c>
    </row>
    <row r="26" spans="1:9" ht="15" x14ac:dyDescent="0.25">
      <c r="A26" s="82"/>
      <c r="B26" s="47" t="s">
        <v>77</v>
      </c>
      <c r="C26" s="83">
        <v>2.4</v>
      </c>
      <c r="D26" s="108" t="s">
        <v>59</v>
      </c>
      <c r="E26" s="18">
        <f t="shared" si="0"/>
        <v>12411.071999999998</v>
      </c>
      <c r="F26" s="18">
        <f t="shared" si="4"/>
        <v>148932.86399999997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620.55359999999996</v>
      </c>
      <c r="F27" s="18">
        <f t="shared" si="4"/>
        <v>7446.6431999999995</v>
      </c>
    </row>
    <row r="28" spans="1:9" ht="15" x14ac:dyDescent="0.25">
      <c r="A28" s="25" t="s">
        <v>41</v>
      </c>
      <c r="B28" s="48" t="s">
        <v>73</v>
      </c>
      <c r="C28" s="49">
        <v>3</v>
      </c>
      <c r="D28" s="50" t="s">
        <v>30</v>
      </c>
      <c r="E28" s="18">
        <f t="shared" si="0"/>
        <v>15513.84</v>
      </c>
      <c r="F28" s="18">
        <f t="shared" si="4"/>
        <v>186166.08000000002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18"/>
    </row>
    <row r="30" spans="1:9" ht="15" x14ac:dyDescent="0.25">
      <c r="A30" s="25" t="s">
        <v>42</v>
      </c>
      <c r="B30" s="47" t="s">
        <v>74</v>
      </c>
      <c r="C30" s="53">
        <v>4.25</v>
      </c>
      <c r="D30" s="50" t="s">
        <v>15</v>
      </c>
      <c r="E30" s="18">
        <f t="shared" si="0"/>
        <v>21977.94</v>
      </c>
      <c r="F30" s="18">
        <f t="shared" si="4"/>
        <v>263735.27999999997</v>
      </c>
    </row>
    <row r="31" spans="1:9" ht="15" x14ac:dyDescent="0.25">
      <c r="A31" s="25" t="s">
        <v>43</v>
      </c>
      <c r="B31" s="55" t="s">
        <v>44</v>
      </c>
      <c r="C31" s="53">
        <v>1.3</v>
      </c>
      <c r="D31" s="50" t="s">
        <v>15</v>
      </c>
      <c r="E31" s="18">
        <f t="shared" si="0"/>
        <v>6722.6639999999998</v>
      </c>
      <c r="F31" s="18">
        <f t="shared" si="4"/>
        <v>80671.967999999993</v>
      </c>
    </row>
    <row r="32" spans="1:9" ht="15.75" x14ac:dyDescent="0.25">
      <c r="A32" s="25"/>
      <c r="B32" s="56" t="s">
        <v>46</v>
      </c>
      <c r="C32" s="57">
        <f>C10+C11+C12+C13+C14+C23+C25+C26+C27+C28+C30+C31</f>
        <v>21.6</v>
      </c>
      <c r="D32" s="50"/>
      <c r="E32" s="18">
        <f t="shared" si="0"/>
        <v>111699.648</v>
      </c>
      <c r="F32" s="18">
        <f>F10+F11+F12+F13+F14+F23+F25+F26+F27+F28+F30+F31</f>
        <v>1340395.7760000001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B8D68-55D8-486B-A289-FC8BB67A58E7}">
  <sheetPr>
    <tabColor rgb="FF92D050"/>
  </sheetPr>
  <dimension ref="A1:I45"/>
  <sheetViews>
    <sheetView workbookViewId="0">
      <selection activeCell="J32" sqref="J32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294</v>
      </c>
      <c r="C4" s="3"/>
      <c r="D4" s="3"/>
    </row>
    <row r="5" spans="1:6" x14ac:dyDescent="0.2">
      <c r="B5" s="3"/>
      <c r="C5" s="3"/>
      <c r="D5" s="3"/>
      <c r="F5" s="1">
        <v>5924.8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3.27</v>
      </c>
      <c r="D10" s="50" t="s">
        <v>15</v>
      </c>
      <c r="E10" s="18">
        <f>C10*5924.8</f>
        <v>19374.096000000001</v>
      </c>
      <c r="F10" s="18">
        <f>E10*12</f>
        <v>232489.152</v>
      </c>
    </row>
    <row r="11" spans="1:6" ht="15" x14ac:dyDescent="0.25">
      <c r="A11" s="10"/>
      <c r="B11" s="15" t="s">
        <v>76</v>
      </c>
      <c r="C11" s="16">
        <v>0.17</v>
      </c>
      <c r="D11" s="88" t="s">
        <v>20</v>
      </c>
      <c r="E11" s="18">
        <f t="shared" ref="E11:E32" si="0">C11*5924.8</f>
        <v>1007.2160000000001</v>
      </c>
      <c r="F11" s="18">
        <f>E11*12</f>
        <v>12086.592000000001</v>
      </c>
    </row>
    <row r="12" spans="1:6" ht="39" x14ac:dyDescent="0.25">
      <c r="A12" s="10" t="s">
        <v>16</v>
      </c>
      <c r="B12" s="15" t="s">
        <v>17</v>
      </c>
      <c r="C12" s="16">
        <v>0.7</v>
      </c>
      <c r="D12" s="50" t="s">
        <v>15</v>
      </c>
      <c r="E12" s="18">
        <f t="shared" si="0"/>
        <v>4147.3599999999997</v>
      </c>
      <c r="F12" s="18">
        <f t="shared" ref="F12:F13" si="1">E12*12</f>
        <v>49768.319999999992</v>
      </c>
    </row>
    <row r="13" spans="1:6" ht="39" x14ac:dyDescent="0.25">
      <c r="A13" s="22" t="s">
        <v>18</v>
      </c>
      <c r="B13" s="15" t="s">
        <v>19</v>
      </c>
      <c r="C13" s="23">
        <v>0.23</v>
      </c>
      <c r="D13" s="88" t="s">
        <v>20</v>
      </c>
      <c r="E13" s="18">
        <f t="shared" si="0"/>
        <v>1362.7040000000002</v>
      </c>
      <c r="F13" s="18">
        <f t="shared" si="1"/>
        <v>16352.448000000002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1.26</v>
      </c>
      <c r="D14" s="27"/>
      <c r="E14" s="18">
        <f t="shared" si="0"/>
        <v>7465.2480000000005</v>
      </c>
      <c r="F14" s="18">
        <f>F15+F16+F17+F19+F21+F20</f>
        <v>89582.976000000024</v>
      </c>
    </row>
    <row r="15" spans="1:6" ht="15" x14ac:dyDescent="0.25">
      <c r="A15" s="28"/>
      <c r="B15" s="29" t="s">
        <v>23</v>
      </c>
      <c r="C15" s="30">
        <v>0.1</v>
      </c>
      <c r="D15" s="31" t="s">
        <v>24</v>
      </c>
      <c r="E15" s="18">
        <f t="shared" si="0"/>
        <v>592.48</v>
      </c>
      <c r="F15" s="20">
        <f>E15*12</f>
        <v>7109.76</v>
      </c>
    </row>
    <row r="16" spans="1:6" ht="24.75" x14ac:dyDescent="0.25">
      <c r="A16" s="28"/>
      <c r="B16" s="29" t="s">
        <v>25</v>
      </c>
      <c r="C16" s="30">
        <v>0.27</v>
      </c>
      <c r="D16" s="32" t="s">
        <v>20</v>
      </c>
      <c r="E16" s="18">
        <f t="shared" si="0"/>
        <v>1599.6960000000001</v>
      </c>
      <c r="F16" s="20">
        <f t="shared" ref="F16:F21" si="2">E16*12</f>
        <v>19196.352000000003</v>
      </c>
    </row>
    <row r="17" spans="1:9" ht="15" x14ac:dyDescent="0.25">
      <c r="A17" s="28"/>
      <c r="B17" s="33" t="s">
        <v>26</v>
      </c>
      <c r="C17" s="30">
        <v>0.8</v>
      </c>
      <c r="D17" s="34"/>
      <c r="E17" s="18">
        <f t="shared" si="0"/>
        <v>4739.84</v>
      </c>
      <c r="F17" s="20">
        <f t="shared" si="2"/>
        <v>56878.080000000002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0.02</v>
      </c>
      <c r="D19" s="40" t="s">
        <v>30</v>
      </c>
      <c r="E19" s="18">
        <f t="shared" si="0"/>
        <v>118.49600000000001</v>
      </c>
      <c r="F19" s="20">
        <f>E19*12</f>
        <v>1421.9520000000002</v>
      </c>
    </row>
    <row r="20" spans="1:9" ht="15" x14ac:dyDescent="0.25">
      <c r="A20" s="28"/>
      <c r="B20" s="38" t="s">
        <v>54</v>
      </c>
      <c r="C20" s="41">
        <v>0.05</v>
      </c>
      <c r="D20" s="42" t="s">
        <v>29</v>
      </c>
      <c r="E20" s="18">
        <f t="shared" si="0"/>
        <v>296.24</v>
      </c>
      <c r="F20" s="20">
        <f t="shared" ref="F20" si="3">E20*12</f>
        <v>3554.88</v>
      </c>
    </row>
    <row r="21" spans="1:9" ht="24.75" x14ac:dyDescent="0.25">
      <c r="A21" s="19"/>
      <c r="B21" s="38" t="s">
        <v>55</v>
      </c>
      <c r="C21" s="41">
        <v>0.02</v>
      </c>
      <c r="D21" s="108" t="s">
        <v>59</v>
      </c>
      <c r="E21" s="18">
        <f t="shared" si="0"/>
        <v>118.49600000000001</v>
      </c>
      <c r="F21" s="20">
        <f t="shared" si="2"/>
        <v>1421.9520000000002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2.4500000000000002</v>
      </c>
      <c r="D24" s="108" t="s">
        <v>59</v>
      </c>
      <c r="E24" s="18">
        <f t="shared" si="0"/>
        <v>14515.760000000002</v>
      </c>
      <c r="F24" s="18">
        <f>E24*12</f>
        <v>174189.12000000002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8"/>
    </row>
    <row r="26" spans="1:9" ht="15" x14ac:dyDescent="0.25">
      <c r="A26" s="82"/>
      <c r="B26" s="47" t="s">
        <v>38</v>
      </c>
      <c r="C26" s="83">
        <v>0</v>
      </c>
      <c r="D26" s="83"/>
      <c r="E26" s="18">
        <f t="shared" si="0"/>
        <v>0</v>
      </c>
      <c r="F26" s="18">
        <f t="shared" ref="F26:F31" si="4">E26*12</f>
        <v>0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710.976</v>
      </c>
      <c r="F27" s="18">
        <f t="shared" si="4"/>
        <v>8531.7119999999995</v>
      </c>
    </row>
    <row r="28" spans="1:9" ht="15" x14ac:dyDescent="0.25">
      <c r="A28" s="25" t="s">
        <v>41</v>
      </c>
      <c r="B28" s="48" t="s">
        <v>73</v>
      </c>
      <c r="C28" s="49">
        <v>2.1</v>
      </c>
      <c r="D28" s="50" t="s">
        <v>30</v>
      </c>
      <c r="E28" s="18">
        <f t="shared" si="0"/>
        <v>12442.080000000002</v>
      </c>
      <c r="F28" s="18">
        <f t="shared" si="4"/>
        <v>149304.96000000002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18"/>
    </row>
    <row r="30" spans="1:9" ht="15" x14ac:dyDescent="0.25">
      <c r="A30" s="25" t="s">
        <v>42</v>
      </c>
      <c r="B30" s="47" t="s">
        <v>74</v>
      </c>
      <c r="C30" s="53">
        <v>3.7</v>
      </c>
      <c r="D30" s="50" t="s">
        <v>15</v>
      </c>
      <c r="E30" s="18">
        <f t="shared" si="0"/>
        <v>21921.760000000002</v>
      </c>
      <c r="F30" s="18">
        <f t="shared" si="4"/>
        <v>263061.12</v>
      </c>
    </row>
    <row r="31" spans="1:9" ht="15" x14ac:dyDescent="0.25">
      <c r="A31" s="25" t="s">
        <v>43</v>
      </c>
      <c r="B31" s="55" t="s">
        <v>44</v>
      </c>
      <c r="C31" s="53">
        <v>0.89</v>
      </c>
      <c r="D31" s="50" t="s">
        <v>15</v>
      </c>
      <c r="E31" s="18">
        <f t="shared" si="0"/>
        <v>5273.0720000000001</v>
      </c>
      <c r="F31" s="18">
        <f t="shared" si="4"/>
        <v>63276.864000000001</v>
      </c>
    </row>
    <row r="32" spans="1:9" ht="15.75" x14ac:dyDescent="0.25">
      <c r="A32" s="25"/>
      <c r="B32" s="56" t="s">
        <v>46</v>
      </c>
      <c r="C32" s="57">
        <f>C10+C11+C12+C13+C14+C24+C26+C27+C28+C30+C31</f>
        <v>14.89</v>
      </c>
      <c r="D32" s="50"/>
      <c r="E32" s="18">
        <f t="shared" si="0"/>
        <v>88220.272000000012</v>
      </c>
      <c r="F32" s="18">
        <f>F10+F11+F12+F13+F14+F24+F26+F27+F28+F30+F31</f>
        <v>1058643.264</v>
      </c>
    </row>
    <row r="33" spans="1:5" ht="15.75" x14ac:dyDescent="0.25">
      <c r="A33" s="58"/>
      <c r="B33" s="3" t="s">
        <v>68</v>
      </c>
      <c r="C33" s="59">
        <v>4.3899999999999997</v>
      </c>
      <c r="D33" s="60"/>
    </row>
    <row r="34" spans="1:5" ht="15.75" x14ac:dyDescent="0.25">
      <c r="A34" s="58"/>
      <c r="B34" s="3"/>
      <c r="C34" s="59"/>
      <c r="D34" s="60"/>
    </row>
    <row r="35" spans="1:5" ht="15.75" x14ac:dyDescent="0.25">
      <c r="A35" s="58"/>
      <c r="B35" s="3" t="s">
        <v>67</v>
      </c>
      <c r="C35" s="59">
        <f>C32-C33</f>
        <v>10.5</v>
      </c>
      <c r="D35" s="60"/>
    </row>
    <row r="36" spans="1:5" ht="15.75" x14ac:dyDescent="0.25">
      <c r="A36" s="58"/>
      <c r="B36" s="3"/>
      <c r="C36" s="59"/>
      <c r="D36" s="60"/>
    </row>
    <row r="37" spans="1:5" x14ac:dyDescent="0.2">
      <c r="A37" s="58"/>
      <c r="C37" s="66"/>
      <c r="E37" s="54"/>
    </row>
    <row r="38" spans="1:5" x14ac:dyDescent="0.2">
      <c r="A38" s="58"/>
      <c r="B38" s="2" t="s">
        <v>47</v>
      </c>
      <c r="C38" s="1" t="s">
        <v>58</v>
      </c>
    </row>
    <row r="39" spans="1:5" x14ac:dyDescent="0.2">
      <c r="B39" s="1" t="s">
        <v>48</v>
      </c>
      <c r="D39" s="1" t="s">
        <v>49</v>
      </c>
    </row>
    <row r="41" spans="1:5" x14ac:dyDescent="0.2">
      <c r="B41" s="1" t="s">
        <v>50</v>
      </c>
      <c r="D41" s="1" t="s">
        <v>51</v>
      </c>
    </row>
    <row r="42" spans="1:5" x14ac:dyDescent="0.2">
      <c r="B42" s="1" t="s">
        <v>52</v>
      </c>
      <c r="D42" s="1" t="s">
        <v>51</v>
      </c>
    </row>
    <row r="43" spans="1:5" x14ac:dyDescent="0.2">
      <c r="B43" s="1" t="s">
        <v>52</v>
      </c>
      <c r="D43" s="1" t="s">
        <v>51</v>
      </c>
    </row>
    <row r="44" spans="1:5" x14ac:dyDescent="0.2">
      <c r="B44" s="1" t="s">
        <v>52</v>
      </c>
      <c r="D44" s="1" t="s">
        <v>51</v>
      </c>
    </row>
    <row r="45" spans="1:5" x14ac:dyDescent="0.2">
      <c r="B45" s="1" t="s">
        <v>52</v>
      </c>
      <c r="D45" s="1" t="s">
        <v>51</v>
      </c>
    </row>
  </sheetData>
  <mergeCells count="1">
    <mergeCell ref="A2:D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DD3D0-812A-44FD-9047-03178EC346DF}">
  <sheetPr>
    <tabColor rgb="FF92D050"/>
  </sheetPr>
  <dimension ref="A1:I42"/>
  <sheetViews>
    <sheetView workbookViewId="0">
      <selection activeCell="I31" sqref="I31:I32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295</v>
      </c>
      <c r="C4" s="3"/>
      <c r="D4" s="3"/>
    </row>
    <row r="5" spans="1:6" x14ac:dyDescent="0.2">
      <c r="B5" s="3"/>
      <c r="C5" s="3"/>
      <c r="D5" s="3"/>
      <c r="F5" s="1">
        <v>5060.8500000000004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3.17</v>
      </c>
      <c r="D10" s="50" t="s">
        <v>15</v>
      </c>
      <c r="E10" s="18">
        <f>C10*5060.85</f>
        <v>16042.8945</v>
      </c>
      <c r="F10" s="18">
        <f>E10*12</f>
        <v>192514.734</v>
      </c>
    </row>
    <row r="11" spans="1:6" ht="15" x14ac:dyDescent="0.25">
      <c r="A11" s="10"/>
      <c r="B11" s="15" t="s">
        <v>76</v>
      </c>
      <c r="C11" s="16">
        <v>0.25</v>
      </c>
      <c r="D11" s="88" t="s">
        <v>20</v>
      </c>
      <c r="E11" s="18">
        <f t="shared" ref="E11:E32" si="0">C11*5060.85</f>
        <v>1265.2125000000001</v>
      </c>
      <c r="F11" s="18">
        <f>E11*12</f>
        <v>15182.550000000001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4554.7650000000003</v>
      </c>
      <c r="F12" s="18">
        <f t="shared" ref="F12:F13" si="1">E12*12</f>
        <v>54657.180000000008</v>
      </c>
    </row>
    <row r="13" spans="1:6" ht="39" x14ac:dyDescent="0.25">
      <c r="A13" s="22" t="s">
        <v>18</v>
      </c>
      <c r="B13" s="15" t="s">
        <v>19</v>
      </c>
      <c r="C13" s="23">
        <v>0.14000000000000001</v>
      </c>
      <c r="D13" s="88" t="s">
        <v>20</v>
      </c>
      <c r="E13" s="18">
        <f t="shared" si="0"/>
        <v>708.51900000000012</v>
      </c>
      <c r="F13" s="18">
        <f t="shared" si="1"/>
        <v>8502.228000000001</v>
      </c>
    </row>
    <row r="14" spans="1:6" ht="15.75" x14ac:dyDescent="0.25">
      <c r="A14" s="25" t="s">
        <v>21</v>
      </c>
      <c r="B14" s="26" t="s">
        <v>22</v>
      </c>
      <c r="C14" s="83">
        <f>C15+C16+C17+C19+C20</f>
        <v>1.32</v>
      </c>
      <c r="D14" s="27"/>
      <c r="E14" s="18">
        <f t="shared" si="0"/>
        <v>6680.322000000001</v>
      </c>
      <c r="F14" s="18">
        <f>F15+F16+F17+F19+F20</f>
        <v>80163.864000000016</v>
      </c>
    </row>
    <row r="15" spans="1:6" ht="15" x14ac:dyDescent="0.25">
      <c r="A15" s="28"/>
      <c r="B15" s="29" t="s">
        <v>23</v>
      </c>
      <c r="C15" s="89">
        <v>0.08</v>
      </c>
      <c r="D15" s="113" t="s">
        <v>24</v>
      </c>
      <c r="E15" s="18">
        <f t="shared" si="0"/>
        <v>404.86800000000005</v>
      </c>
      <c r="F15" s="96">
        <f>E15*12</f>
        <v>4858.4160000000011</v>
      </c>
    </row>
    <row r="16" spans="1:6" ht="24.75" x14ac:dyDescent="0.25">
      <c r="A16" s="28"/>
      <c r="B16" s="29" t="s">
        <v>25</v>
      </c>
      <c r="C16" s="89">
        <v>0.25</v>
      </c>
      <c r="D16" s="112" t="s">
        <v>20</v>
      </c>
      <c r="E16" s="18">
        <f t="shared" si="0"/>
        <v>1265.2125000000001</v>
      </c>
      <c r="F16" s="96">
        <f t="shared" ref="F16:F17" si="2">E16*12</f>
        <v>15182.550000000001</v>
      </c>
    </row>
    <row r="17" spans="1:9" ht="15" x14ac:dyDescent="0.25">
      <c r="A17" s="28"/>
      <c r="B17" s="33" t="s">
        <v>26</v>
      </c>
      <c r="C17" s="89">
        <v>0.9</v>
      </c>
      <c r="D17" s="110"/>
      <c r="E17" s="18">
        <f t="shared" si="0"/>
        <v>4554.7650000000003</v>
      </c>
      <c r="F17" s="96">
        <f t="shared" si="2"/>
        <v>54657.180000000008</v>
      </c>
    </row>
    <row r="18" spans="1:9" ht="41.1" customHeight="1" x14ac:dyDescent="0.25">
      <c r="A18" s="25"/>
      <c r="B18" s="35" t="s">
        <v>27</v>
      </c>
      <c r="C18" s="90"/>
      <c r="D18" s="114" t="s">
        <v>28</v>
      </c>
      <c r="E18" s="18">
        <f t="shared" si="0"/>
        <v>0</v>
      </c>
      <c r="F18" s="85"/>
    </row>
    <row r="19" spans="1:9" ht="15" x14ac:dyDescent="0.25">
      <c r="A19" s="28"/>
      <c r="B19" s="38" t="s">
        <v>53</v>
      </c>
      <c r="C19" s="86">
        <v>0.02</v>
      </c>
      <c r="D19" s="115" t="s">
        <v>30</v>
      </c>
      <c r="E19" s="18">
        <f t="shared" si="0"/>
        <v>101.21700000000001</v>
      </c>
      <c r="F19" s="96">
        <f>E19*12</f>
        <v>1214.6040000000003</v>
      </c>
    </row>
    <row r="20" spans="1:9" ht="15" x14ac:dyDescent="0.25">
      <c r="A20" s="28"/>
      <c r="B20" s="38" t="s">
        <v>54</v>
      </c>
      <c r="C20" s="92">
        <v>7.0000000000000007E-2</v>
      </c>
      <c r="D20" s="108" t="s">
        <v>29</v>
      </c>
      <c r="E20" s="18">
        <f t="shared" si="0"/>
        <v>354.25950000000006</v>
      </c>
      <c r="F20" s="96">
        <f t="shared" ref="F20" si="3">E20*12</f>
        <v>4251.1140000000005</v>
      </c>
    </row>
    <row r="21" spans="1:9" ht="39" x14ac:dyDescent="0.25">
      <c r="A21" s="23" t="s">
        <v>32</v>
      </c>
      <c r="B21" s="43" t="s">
        <v>33</v>
      </c>
      <c r="C21" s="81"/>
      <c r="D21" s="81"/>
      <c r="E21" s="18">
        <f t="shared" si="0"/>
        <v>0</v>
      </c>
      <c r="F21" s="14"/>
      <c r="I21" s="1" t="s">
        <v>56</v>
      </c>
    </row>
    <row r="22" spans="1:9" ht="15" x14ac:dyDescent="0.25">
      <c r="A22" s="81"/>
      <c r="B22" s="4" t="s">
        <v>34</v>
      </c>
      <c r="C22" s="81"/>
      <c r="D22" s="4"/>
      <c r="E22" s="18">
        <f t="shared" si="0"/>
        <v>0</v>
      </c>
      <c r="F22" s="14"/>
    </row>
    <row r="23" spans="1:9" ht="26.25" x14ac:dyDescent="0.25">
      <c r="A23" s="25"/>
      <c r="B23" s="44" t="s">
        <v>35</v>
      </c>
      <c r="C23" s="83">
        <v>1.55</v>
      </c>
      <c r="D23" s="108" t="s">
        <v>59</v>
      </c>
      <c r="E23" s="18">
        <f t="shared" si="0"/>
        <v>7844.317500000001</v>
      </c>
      <c r="F23" s="18">
        <f>E23*12</f>
        <v>94131.810000000012</v>
      </c>
    </row>
    <row r="24" spans="1:9" ht="15" x14ac:dyDescent="0.25">
      <c r="A24" s="81"/>
      <c r="B24" s="46" t="s">
        <v>37</v>
      </c>
      <c r="C24" s="81"/>
      <c r="D24" s="81"/>
      <c r="E24" s="18">
        <f t="shared" si="0"/>
        <v>0</v>
      </c>
      <c r="F24" s="18"/>
    </row>
    <row r="25" spans="1:9" ht="15" x14ac:dyDescent="0.25">
      <c r="A25" s="82"/>
      <c r="B25" s="47" t="s">
        <v>38</v>
      </c>
      <c r="C25" s="83">
        <v>2.8</v>
      </c>
      <c r="D25" s="108" t="s">
        <v>59</v>
      </c>
      <c r="E25" s="18">
        <f t="shared" si="0"/>
        <v>14170.380000000001</v>
      </c>
      <c r="F25" s="18">
        <f t="shared" ref="F25:F31" si="4">E25*12</f>
        <v>170044.56</v>
      </c>
    </row>
    <row r="26" spans="1:9" ht="15" x14ac:dyDescent="0.25">
      <c r="A26" s="82"/>
      <c r="B26" s="47" t="s">
        <v>77</v>
      </c>
      <c r="C26" s="83">
        <v>2.85</v>
      </c>
      <c r="D26" s="108" t="s">
        <v>59</v>
      </c>
      <c r="E26" s="18">
        <f t="shared" si="0"/>
        <v>14423.422500000001</v>
      </c>
      <c r="F26" s="18">
        <f t="shared" si="4"/>
        <v>173081.07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607.30200000000002</v>
      </c>
      <c r="F27" s="18">
        <f t="shared" si="4"/>
        <v>7287.6239999999998</v>
      </c>
    </row>
    <row r="28" spans="1:9" ht="15" x14ac:dyDescent="0.25">
      <c r="A28" s="25" t="s">
        <v>41</v>
      </c>
      <c r="B28" s="48" t="s">
        <v>73</v>
      </c>
      <c r="C28" s="49">
        <v>2.7</v>
      </c>
      <c r="D28" s="50" t="s">
        <v>30</v>
      </c>
      <c r="E28" s="18">
        <f t="shared" si="0"/>
        <v>13664.295000000002</v>
      </c>
      <c r="F28" s="18">
        <f t="shared" si="4"/>
        <v>163971.54000000004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18"/>
    </row>
    <row r="30" spans="1:9" ht="15" x14ac:dyDescent="0.25">
      <c r="A30" s="25" t="s">
        <v>42</v>
      </c>
      <c r="B30" s="47" t="s">
        <v>74</v>
      </c>
      <c r="C30" s="53">
        <v>4.5</v>
      </c>
      <c r="D30" s="50" t="s">
        <v>15</v>
      </c>
      <c r="E30" s="18">
        <f t="shared" si="0"/>
        <v>22773.825000000001</v>
      </c>
      <c r="F30" s="18">
        <f t="shared" si="4"/>
        <v>273285.90000000002</v>
      </c>
    </row>
    <row r="31" spans="1:9" ht="15" x14ac:dyDescent="0.25">
      <c r="A31" s="25" t="s">
        <v>43</v>
      </c>
      <c r="B31" s="55" t="s">
        <v>44</v>
      </c>
      <c r="C31" s="53">
        <v>1.3</v>
      </c>
      <c r="D31" s="50" t="s">
        <v>15</v>
      </c>
      <c r="E31" s="18">
        <f t="shared" si="0"/>
        <v>6579.1050000000005</v>
      </c>
      <c r="F31" s="18">
        <f t="shared" si="4"/>
        <v>78949.260000000009</v>
      </c>
    </row>
    <row r="32" spans="1:9" ht="15.75" x14ac:dyDescent="0.25">
      <c r="A32" s="25"/>
      <c r="B32" s="56" t="s">
        <v>46</v>
      </c>
      <c r="C32" s="57">
        <f>C10+C11+C12+C13+C14+C23+C25+C26+C27+C28+C30+C31</f>
        <v>21.599999999999998</v>
      </c>
      <c r="D32" s="50"/>
      <c r="E32" s="18">
        <f t="shared" si="0"/>
        <v>109314.36</v>
      </c>
      <c r="F32" s="18">
        <f>F10+F11+F12+F13+F14+F23+F25+F26+F27+F28+F30+F31</f>
        <v>1311772.32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42B64-77E9-4FC1-844F-3E4BD6A62EC6}">
  <sheetPr>
    <tabColor rgb="FF92D050"/>
  </sheetPr>
  <dimension ref="A1:L41"/>
  <sheetViews>
    <sheetView workbookViewId="0">
      <selection activeCell="I12" sqref="I12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13.42578125" style="1" bestFit="1" customWidth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9" width="9" style="1"/>
    <col min="10" max="10" width="10.5703125" style="1" customWidth="1"/>
    <col min="11" max="11" width="14" style="1" customWidth="1"/>
    <col min="12" max="16384" width="9" style="1"/>
  </cols>
  <sheetData>
    <row r="1" spans="1:12" x14ac:dyDescent="0.2">
      <c r="D1" s="2" t="s">
        <v>2</v>
      </c>
    </row>
    <row r="2" spans="1:12" x14ac:dyDescent="0.2">
      <c r="A2" s="245" t="s">
        <v>3</v>
      </c>
      <c r="B2" s="245"/>
      <c r="C2" s="245"/>
      <c r="D2" s="245"/>
    </row>
    <row r="3" spans="1:12" x14ac:dyDescent="0.2">
      <c r="A3" s="245"/>
      <c r="B3" s="245"/>
      <c r="C3" s="245"/>
      <c r="D3" s="245"/>
      <c r="F3" s="121">
        <v>2474.5</v>
      </c>
    </row>
    <row r="4" spans="1:12" x14ac:dyDescent="0.2">
      <c r="B4" s="3" t="s">
        <v>296</v>
      </c>
      <c r="C4" s="3"/>
      <c r="D4" s="3"/>
      <c r="F4" s="121">
        <v>357.6</v>
      </c>
    </row>
    <row r="5" spans="1:12" x14ac:dyDescent="0.2">
      <c r="B5" s="3"/>
      <c r="C5" s="3"/>
      <c r="D5" s="3"/>
      <c r="F5" s="1">
        <v>2832.1</v>
      </c>
    </row>
    <row r="6" spans="1:12" ht="15" x14ac:dyDescent="0.25">
      <c r="A6" s="4"/>
      <c r="B6" s="4"/>
      <c r="C6" s="4"/>
      <c r="D6" s="4"/>
      <c r="E6" s="5" t="s">
        <v>4</v>
      </c>
      <c r="F6" s="5" t="s">
        <v>4</v>
      </c>
    </row>
    <row r="7" spans="1:12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12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12" ht="25.5" x14ac:dyDescent="0.2">
      <c r="A9" s="10" t="s">
        <v>12</v>
      </c>
      <c r="B9" s="11" t="s">
        <v>13</v>
      </c>
      <c r="C9" s="12"/>
      <c r="D9" s="17"/>
      <c r="E9" s="14"/>
      <c r="F9" s="14"/>
      <c r="L9" s="1">
        <v>12</v>
      </c>
    </row>
    <row r="10" spans="1:12" ht="39" x14ac:dyDescent="0.25">
      <c r="A10" s="10"/>
      <c r="B10" s="15" t="s">
        <v>14</v>
      </c>
      <c r="C10" s="16">
        <v>1.07</v>
      </c>
      <c r="D10" s="50" t="s">
        <v>15</v>
      </c>
      <c r="E10" s="18">
        <f>C10*2832.1</f>
        <v>3030.3470000000002</v>
      </c>
      <c r="F10" s="18">
        <f>E10*12</f>
        <v>36364.164000000004</v>
      </c>
      <c r="H10" s="16"/>
      <c r="I10" s="50"/>
      <c r="J10" s="18"/>
      <c r="K10" s="18"/>
    </row>
    <row r="11" spans="1:12" ht="39" x14ac:dyDescent="0.25">
      <c r="A11" s="10" t="s">
        <v>16</v>
      </c>
      <c r="B11" s="15" t="s">
        <v>17</v>
      </c>
      <c r="C11" s="16">
        <v>0.72</v>
      </c>
      <c r="D11" s="50" t="s">
        <v>15</v>
      </c>
      <c r="E11" s="18">
        <f t="shared" ref="E11" si="0">C11*2832.1</f>
        <v>2039.1119999999999</v>
      </c>
      <c r="F11" s="18">
        <f t="shared" ref="F11:F12" si="1">E11*12</f>
        <v>24469.343999999997</v>
      </c>
      <c r="H11" s="16"/>
      <c r="I11" s="50"/>
      <c r="J11" s="18"/>
      <c r="K11" s="18"/>
    </row>
    <row r="12" spans="1:12" ht="39" x14ac:dyDescent="0.25">
      <c r="A12" s="22" t="s">
        <v>18</v>
      </c>
      <c r="B12" s="15" t="s">
        <v>19</v>
      </c>
      <c r="C12" s="23">
        <v>0.8</v>
      </c>
      <c r="D12" s="88" t="s">
        <v>20</v>
      </c>
      <c r="E12" s="18">
        <v>2104.75</v>
      </c>
      <c r="F12" s="18">
        <f t="shared" si="1"/>
        <v>25257</v>
      </c>
      <c r="H12" s="23"/>
      <c r="I12" s="88"/>
      <c r="J12" s="18"/>
      <c r="K12" s="18"/>
    </row>
    <row r="13" spans="1:12" ht="15.75" x14ac:dyDescent="0.25">
      <c r="A13" s="25" t="s">
        <v>21</v>
      </c>
      <c r="B13" s="26" t="s">
        <v>22</v>
      </c>
      <c r="C13" s="83">
        <f>C16+C18+C19+C15</f>
        <v>0.99</v>
      </c>
      <c r="D13" s="88"/>
      <c r="E13" s="18">
        <f>E14+E15+E16+E19+E18</f>
        <v>2471.2110000000002</v>
      </c>
      <c r="F13" s="18">
        <f>F14+F15+F16+F19+F18</f>
        <v>29654.531999999999</v>
      </c>
      <c r="H13" s="83"/>
      <c r="I13" s="88"/>
      <c r="J13" s="18"/>
      <c r="K13" s="18"/>
    </row>
    <row r="14" spans="1:12" x14ac:dyDescent="0.2">
      <c r="A14" s="28"/>
      <c r="B14" s="29" t="s">
        <v>23</v>
      </c>
      <c r="C14" s="89">
        <v>0</v>
      </c>
      <c r="D14" s="113" t="s">
        <v>24</v>
      </c>
      <c r="E14" s="96">
        <f>C14*2832.1</f>
        <v>0</v>
      </c>
      <c r="F14" s="96">
        <f>E14*12</f>
        <v>0</v>
      </c>
      <c r="H14" s="89"/>
      <c r="I14" s="113"/>
      <c r="J14" s="96"/>
      <c r="K14" s="96"/>
    </row>
    <row r="15" spans="1:12" x14ac:dyDescent="0.2">
      <c r="A15" s="28"/>
      <c r="B15" s="29" t="s">
        <v>83</v>
      </c>
      <c r="C15" s="89">
        <v>0.38</v>
      </c>
      <c r="D15" s="112" t="s">
        <v>15</v>
      </c>
      <c r="E15" s="96">
        <f>C15*F3</f>
        <v>940.31000000000006</v>
      </c>
      <c r="F15" s="96">
        <f>E15*L9</f>
        <v>11283.720000000001</v>
      </c>
      <c r="H15" s="89"/>
      <c r="I15" s="112"/>
      <c r="J15" s="96"/>
      <c r="K15" s="96"/>
    </row>
    <row r="16" spans="1:12" x14ac:dyDescent="0.2">
      <c r="A16" s="28"/>
      <c r="B16" s="33" t="s">
        <v>26</v>
      </c>
      <c r="C16" s="89">
        <v>0.4</v>
      </c>
      <c r="D16" s="110"/>
      <c r="E16" s="96">
        <f>C16*2474.5</f>
        <v>989.80000000000007</v>
      </c>
      <c r="F16" s="96">
        <f t="shared" ref="F16:F19" si="2">E16*12</f>
        <v>11877.6</v>
      </c>
      <c r="H16" s="89"/>
      <c r="I16" s="110"/>
      <c r="J16" s="96"/>
      <c r="K16" s="96"/>
    </row>
    <row r="17" spans="1:11" ht="41.1" customHeight="1" x14ac:dyDescent="0.2">
      <c r="A17" s="25"/>
      <c r="B17" s="35" t="s">
        <v>27</v>
      </c>
      <c r="C17" s="90"/>
      <c r="D17" s="114" t="s">
        <v>28</v>
      </c>
      <c r="E17" s="96">
        <f t="shared" ref="E17:E18" si="3">C17*2832.1</f>
        <v>0</v>
      </c>
      <c r="F17" s="85"/>
      <c r="H17" s="90"/>
      <c r="I17" s="114"/>
      <c r="J17" s="96"/>
      <c r="K17" s="85"/>
    </row>
    <row r="18" spans="1:11" x14ac:dyDescent="0.2">
      <c r="A18" s="28"/>
      <c r="B18" s="94" t="s">
        <v>61</v>
      </c>
      <c r="C18" s="92">
        <v>0.06</v>
      </c>
      <c r="D18" s="108" t="s">
        <v>29</v>
      </c>
      <c r="E18" s="96">
        <f t="shared" si="3"/>
        <v>169.92599999999999</v>
      </c>
      <c r="F18" s="96">
        <f t="shared" ref="F18" si="4">E18*12</f>
        <v>2039.1119999999999</v>
      </c>
      <c r="H18" s="92"/>
      <c r="I18" s="108"/>
      <c r="J18" s="96"/>
      <c r="K18" s="96"/>
    </row>
    <row r="19" spans="1:11" ht="24" x14ac:dyDescent="0.2">
      <c r="A19" s="19"/>
      <c r="B19" s="94" t="s">
        <v>62</v>
      </c>
      <c r="C19" s="92">
        <v>0.15</v>
      </c>
      <c r="D19" s="108" t="s">
        <v>59</v>
      </c>
      <c r="E19" s="96">
        <f>C19*2474.5</f>
        <v>371.17500000000001</v>
      </c>
      <c r="F19" s="96">
        <f t="shared" si="2"/>
        <v>4454.1000000000004</v>
      </c>
      <c r="H19" s="92"/>
      <c r="I19" s="108"/>
      <c r="J19" s="96"/>
      <c r="K19" s="96"/>
    </row>
    <row r="20" spans="1:11" ht="38.25" x14ac:dyDescent="0.2">
      <c r="A20" s="23" t="s">
        <v>32</v>
      </c>
      <c r="B20" s="43" t="s">
        <v>33</v>
      </c>
      <c r="C20" s="81"/>
      <c r="D20" s="81"/>
      <c r="E20" s="14"/>
      <c r="F20" s="14"/>
      <c r="H20" s="81"/>
      <c r="I20" s="81"/>
      <c r="J20" s="14"/>
      <c r="K20" s="14"/>
    </row>
    <row r="21" spans="1:11" x14ac:dyDescent="0.2">
      <c r="A21" s="81"/>
      <c r="B21" s="4" t="s">
        <v>34</v>
      </c>
      <c r="C21" s="81"/>
      <c r="D21" s="4"/>
      <c r="E21" s="14"/>
      <c r="F21" s="14"/>
      <c r="H21" s="81"/>
      <c r="I21" s="4"/>
      <c r="J21" s="14"/>
      <c r="K21" s="14"/>
    </row>
    <row r="22" spans="1:11" ht="26.25" x14ac:dyDescent="0.25">
      <c r="A22" s="25"/>
      <c r="B22" s="44" t="s">
        <v>35</v>
      </c>
      <c r="C22" s="83">
        <v>3.25</v>
      </c>
      <c r="D22" s="108" t="s">
        <v>59</v>
      </c>
      <c r="E22" s="18">
        <f>C22*2832.1</f>
        <v>9204.3249999999989</v>
      </c>
      <c r="F22" s="18">
        <f>E22*12</f>
        <v>110451.9</v>
      </c>
      <c r="H22" s="83"/>
      <c r="I22" s="108"/>
      <c r="J22" s="18"/>
      <c r="K22" s="18"/>
    </row>
    <row r="23" spans="1:11" ht="15" x14ac:dyDescent="0.25">
      <c r="A23" s="81"/>
      <c r="B23" s="46" t="s">
        <v>37</v>
      </c>
      <c r="C23" s="81"/>
      <c r="D23" s="81"/>
      <c r="E23" s="18"/>
      <c r="F23" s="18"/>
      <c r="H23" s="81"/>
      <c r="I23" s="81"/>
      <c r="J23" s="18"/>
      <c r="K23" s="18"/>
    </row>
    <row r="24" spans="1:11" ht="15" x14ac:dyDescent="0.25">
      <c r="A24" s="82"/>
      <c r="B24" s="47" t="s">
        <v>38</v>
      </c>
      <c r="C24" s="83">
        <v>8.1999999999999993</v>
      </c>
      <c r="D24" s="108" t="s">
        <v>59</v>
      </c>
      <c r="E24" s="18">
        <f>C24*F3</f>
        <v>20290.899999999998</v>
      </c>
      <c r="F24" s="18">
        <v>248520.23</v>
      </c>
      <c r="H24" s="83"/>
      <c r="I24" s="108"/>
      <c r="J24" s="18"/>
      <c r="K24" s="18"/>
    </row>
    <row r="25" spans="1:11" ht="15" x14ac:dyDescent="0.25">
      <c r="A25" s="25" t="s">
        <v>41</v>
      </c>
      <c r="B25" s="48" t="s">
        <v>73</v>
      </c>
      <c r="C25" s="49">
        <v>1</v>
      </c>
      <c r="D25" s="50" t="s">
        <v>30</v>
      </c>
      <c r="E25" s="18">
        <f>C25*2474.5</f>
        <v>2474.5</v>
      </c>
      <c r="F25" s="18">
        <f t="shared" ref="F25:F28" si="5">E25*12</f>
        <v>29694</v>
      </c>
      <c r="G25" s="62"/>
      <c r="H25" s="49"/>
      <c r="I25" s="50"/>
      <c r="J25" s="18"/>
      <c r="K25" s="18"/>
    </row>
    <row r="26" spans="1:11" ht="30" customHeight="1" x14ac:dyDescent="0.25">
      <c r="A26" s="25"/>
      <c r="B26" s="120" t="s">
        <v>84</v>
      </c>
      <c r="C26" s="53">
        <v>0.4</v>
      </c>
      <c r="D26" s="50"/>
      <c r="E26" s="18">
        <f>C26*F3</f>
        <v>989.80000000000007</v>
      </c>
      <c r="F26" s="18">
        <f>E26*L9</f>
        <v>11877.6</v>
      </c>
      <c r="G26" s="119" t="s">
        <v>82</v>
      </c>
      <c r="H26" s="53"/>
      <c r="I26" s="50"/>
      <c r="J26" s="18"/>
      <c r="K26" s="18"/>
    </row>
    <row r="27" spans="1:11" ht="15" x14ac:dyDescent="0.25">
      <c r="A27" s="25" t="s">
        <v>42</v>
      </c>
      <c r="B27" s="47" t="s">
        <v>74</v>
      </c>
      <c r="C27" s="53">
        <v>4.25</v>
      </c>
      <c r="D27" s="50" t="s">
        <v>15</v>
      </c>
      <c r="E27" s="18">
        <f t="shared" ref="E27" si="6">C27*2832.1</f>
        <v>12036.424999999999</v>
      </c>
      <c r="F27" s="18">
        <f t="shared" si="5"/>
        <v>144437.09999999998</v>
      </c>
      <c r="H27" s="53"/>
      <c r="I27" s="50"/>
      <c r="J27" s="18"/>
      <c r="K27" s="18"/>
    </row>
    <row r="28" spans="1:11" ht="15" x14ac:dyDescent="0.25">
      <c r="A28" s="25" t="s">
        <v>43</v>
      </c>
      <c r="B28" s="55" t="s">
        <v>44</v>
      </c>
      <c r="C28" s="53">
        <v>1.32</v>
      </c>
      <c r="D28" s="50" t="s">
        <v>15</v>
      </c>
      <c r="E28" s="18">
        <f>C28*2832.1</f>
        <v>3738.3719999999998</v>
      </c>
      <c r="F28" s="18">
        <f t="shared" si="5"/>
        <v>44860.464</v>
      </c>
      <c r="H28" s="53"/>
      <c r="I28" s="50"/>
      <c r="J28" s="18"/>
      <c r="K28" s="18"/>
    </row>
    <row r="29" spans="1:11" ht="15.75" x14ac:dyDescent="0.25">
      <c r="A29" s="25"/>
      <c r="B29" s="56" t="s">
        <v>46</v>
      </c>
      <c r="C29" s="57">
        <f>C10+C11+C12+C13+C22+C24+C25+C27+C28+C26</f>
        <v>22</v>
      </c>
      <c r="D29" s="50"/>
      <c r="E29" s="18">
        <f>E10+E11+E12+E13+E22+E24+E25+E28+E27</f>
        <v>57389.941999999995</v>
      </c>
      <c r="F29" s="18">
        <f>F10+F11+F12+F13+F22+F24+F25+F27+F28+F26</f>
        <v>705586.33400000003</v>
      </c>
      <c r="G29" s="1">
        <v>21.6</v>
      </c>
      <c r="H29" s="57"/>
      <c r="I29" s="50"/>
      <c r="J29" s="18"/>
      <c r="K29" s="18"/>
    </row>
    <row r="30" spans="1:11" ht="15.75" x14ac:dyDescent="0.25">
      <c r="A30" s="58"/>
      <c r="B30" s="3"/>
      <c r="C30" s="59"/>
      <c r="D30" s="60"/>
      <c r="H30" s="59"/>
      <c r="I30" s="60"/>
    </row>
    <row r="31" spans="1:11" x14ac:dyDescent="0.2">
      <c r="A31" s="58"/>
      <c r="B31" s="87" t="s">
        <v>63</v>
      </c>
      <c r="C31" s="104">
        <v>10.68</v>
      </c>
      <c r="D31" s="60"/>
      <c r="H31" s="121"/>
      <c r="I31" s="60"/>
    </row>
    <row r="32" spans="1:11" ht="15.75" x14ac:dyDescent="0.25">
      <c r="A32" s="58"/>
      <c r="B32" s="3"/>
      <c r="C32" s="59"/>
      <c r="D32" s="60"/>
      <c r="H32" s="121"/>
      <c r="I32" s="60"/>
    </row>
    <row r="33" spans="1:10" ht="15" x14ac:dyDescent="0.25">
      <c r="A33" s="58"/>
      <c r="B33" s="102" t="s">
        <v>64</v>
      </c>
      <c r="C33" s="103">
        <f>C29+C31</f>
        <v>32.68</v>
      </c>
      <c r="E33" s="54"/>
      <c r="H33" s="103"/>
      <c r="J33" s="54"/>
    </row>
    <row r="34" spans="1:10" x14ac:dyDescent="0.2">
      <c r="A34" s="58"/>
      <c r="B34" s="2" t="s">
        <v>47</v>
      </c>
      <c r="C34" s="1" t="s">
        <v>58</v>
      </c>
      <c r="H34" s="1" t="s">
        <v>58</v>
      </c>
    </row>
    <row r="35" spans="1:10" x14ac:dyDescent="0.2">
      <c r="B35" s="1" t="s">
        <v>48</v>
      </c>
      <c r="D35" s="1" t="s">
        <v>49</v>
      </c>
    </row>
    <row r="37" spans="1:10" x14ac:dyDescent="0.2">
      <c r="B37" s="1" t="s">
        <v>50</v>
      </c>
      <c r="D37" s="1" t="s">
        <v>51</v>
      </c>
    </row>
    <row r="38" spans="1:10" x14ac:dyDescent="0.2">
      <c r="B38" s="1" t="s">
        <v>52</v>
      </c>
      <c r="D38" s="1" t="s">
        <v>51</v>
      </c>
    </row>
    <row r="39" spans="1:10" x14ac:dyDescent="0.2">
      <c r="B39" s="1" t="s">
        <v>52</v>
      </c>
      <c r="D39" s="1" t="s">
        <v>51</v>
      </c>
    </row>
    <row r="40" spans="1:10" x14ac:dyDescent="0.2">
      <c r="B40" s="1" t="s">
        <v>52</v>
      </c>
      <c r="D40" s="1" t="s">
        <v>51</v>
      </c>
    </row>
    <row r="41" spans="1:10" x14ac:dyDescent="0.2">
      <c r="B41" s="1" t="s">
        <v>52</v>
      </c>
      <c r="D41" s="1" t="s">
        <v>51</v>
      </c>
    </row>
  </sheetData>
  <mergeCells count="1">
    <mergeCell ref="A2:D3"/>
  </mergeCells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E92FB-68A0-4301-8CCD-1723196B7F47}">
  <sheetPr>
    <tabColor theme="6" tint="0.39997558519241921"/>
  </sheetPr>
  <dimension ref="A1:I41"/>
  <sheetViews>
    <sheetView workbookViewId="0">
      <selection activeCell="H7" sqref="H7:H8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297</v>
      </c>
      <c r="C4" s="3"/>
      <c r="D4" s="3"/>
    </row>
    <row r="5" spans="1:6" x14ac:dyDescent="0.2">
      <c r="B5" s="3"/>
      <c r="C5" s="3"/>
      <c r="D5" s="3"/>
      <c r="F5" s="1">
        <v>902.3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2.71</v>
      </c>
      <c r="D10" s="50" t="s">
        <v>15</v>
      </c>
      <c r="E10" s="18">
        <f>C10*902.3</f>
        <v>2445.2329999999997</v>
      </c>
      <c r="F10" s="18">
        <f>E10*12</f>
        <v>29342.795999999995</v>
      </c>
    </row>
    <row r="11" spans="1:6" ht="15" x14ac:dyDescent="0.25">
      <c r="A11" s="10"/>
      <c r="B11" s="15" t="s">
        <v>76</v>
      </c>
      <c r="C11" s="16">
        <v>0</v>
      </c>
      <c r="D11" s="50"/>
      <c r="E11" s="18">
        <f t="shared" ref="E11:E29" si="0">C11*902.3</f>
        <v>0</v>
      </c>
      <c r="F11" s="18">
        <f>E11*12</f>
        <v>0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812.06999999999994</v>
      </c>
      <c r="F12" s="18">
        <f t="shared" ref="F12:F13" si="1">E12*12</f>
        <v>9744.84</v>
      </c>
    </row>
    <row r="13" spans="1:6" ht="39" x14ac:dyDescent="0.25">
      <c r="A13" s="22" t="s">
        <v>18</v>
      </c>
      <c r="B13" s="15" t="s">
        <v>19</v>
      </c>
      <c r="C13" s="23">
        <v>0.59</v>
      </c>
      <c r="D13" s="111" t="s">
        <v>20</v>
      </c>
      <c r="E13" s="18">
        <f t="shared" si="0"/>
        <v>532.35699999999997</v>
      </c>
      <c r="F13" s="18">
        <f t="shared" si="1"/>
        <v>6388.2839999999997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1.0900000000000001</v>
      </c>
      <c r="D14" s="27"/>
      <c r="E14" s="18">
        <f t="shared" si="0"/>
        <v>983.50700000000006</v>
      </c>
      <c r="F14" s="18">
        <f>F15+F16+F17+F19+F21+F20</f>
        <v>11802.084000000001</v>
      </c>
    </row>
    <row r="15" spans="1:6" ht="15" x14ac:dyDescent="0.25">
      <c r="A15" s="28"/>
      <c r="B15" s="29" t="s">
        <v>23</v>
      </c>
      <c r="C15" s="30">
        <v>0</v>
      </c>
      <c r="D15" s="31" t="s">
        <v>24</v>
      </c>
      <c r="E15" s="18">
        <f t="shared" si="0"/>
        <v>0</v>
      </c>
      <c r="F15" s="20">
        <f>E15*12</f>
        <v>0</v>
      </c>
    </row>
    <row r="16" spans="1:6" ht="24.75" x14ac:dyDescent="0.25">
      <c r="A16" s="28"/>
      <c r="B16" s="29" t="s">
        <v>25</v>
      </c>
      <c r="C16" s="30">
        <v>0</v>
      </c>
      <c r="D16" s="32" t="s">
        <v>20</v>
      </c>
      <c r="E16" s="18">
        <f t="shared" si="0"/>
        <v>0</v>
      </c>
      <c r="F16" s="20">
        <f t="shared" ref="F16:F21" si="2">E16*12</f>
        <v>0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812.06999999999994</v>
      </c>
      <c r="F17" s="20">
        <f t="shared" si="2"/>
        <v>9744.84</v>
      </c>
    </row>
    <row r="18" spans="1:9" ht="41.1" customHeight="1" x14ac:dyDescent="0.25">
      <c r="A18" s="25"/>
      <c r="B18" s="35" t="s">
        <v>27</v>
      </c>
      <c r="C18" s="36">
        <v>0</v>
      </c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</v>
      </c>
      <c r="D19" s="40" t="s">
        <v>30</v>
      </c>
      <c r="E19" s="18">
        <f t="shared" si="0"/>
        <v>0</v>
      </c>
      <c r="F19" s="20">
        <f>E19*12</f>
        <v>0</v>
      </c>
    </row>
    <row r="20" spans="1:9" ht="15" x14ac:dyDescent="0.25">
      <c r="A20" s="28"/>
      <c r="B20" s="38" t="s">
        <v>54</v>
      </c>
      <c r="C20" s="41">
        <v>0.08</v>
      </c>
      <c r="D20" s="42" t="s">
        <v>29</v>
      </c>
      <c r="E20" s="18">
        <f t="shared" si="0"/>
        <v>72.183999999999997</v>
      </c>
      <c r="F20" s="20">
        <f t="shared" ref="F20" si="3">E20*12</f>
        <v>866.20799999999997</v>
      </c>
    </row>
    <row r="21" spans="1:9" ht="24.75" x14ac:dyDescent="0.25">
      <c r="A21" s="19"/>
      <c r="B21" s="38" t="s">
        <v>55</v>
      </c>
      <c r="C21" s="41">
        <v>0.11</v>
      </c>
      <c r="D21" s="108" t="s">
        <v>59</v>
      </c>
      <c r="E21" s="18">
        <f t="shared" si="0"/>
        <v>99.253</v>
      </c>
      <c r="F21" s="20">
        <f t="shared" si="2"/>
        <v>1191.0360000000001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4.95</v>
      </c>
      <c r="D24" s="108" t="s">
        <v>59</v>
      </c>
      <c r="E24" s="18">
        <f t="shared" si="0"/>
        <v>4466.3850000000002</v>
      </c>
      <c r="F24" s="18">
        <f>E24*12</f>
        <v>53596.62</v>
      </c>
    </row>
    <row r="25" spans="1:9" ht="15" x14ac:dyDescent="0.25">
      <c r="A25" s="25" t="s">
        <v>39</v>
      </c>
      <c r="B25" s="48" t="s">
        <v>73</v>
      </c>
      <c r="C25" s="49">
        <v>2.1</v>
      </c>
      <c r="D25" s="50" t="s">
        <v>30</v>
      </c>
      <c r="E25" s="18">
        <f t="shared" si="0"/>
        <v>1894.83</v>
      </c>
      <c r="F25" s="18">
        <f t="shared" ref="F25:F28" si="4">E25*12</f>
        <v>22737.96</v>
      </c>
      <c r="G25" s="62"/>
    </row>
    <row r="26" spans="1:9" ht="34.5" x14ac:dyDescent="0.25">
      <c r="A26" s="25"/>
      <c r="B26" s="52" t="s">
        <v>40</v>
      </c>
      <c r="C26" s="53"/>
      <c r="D26" s="50"/>
      <c r="E26" s="18">
        <f t="shared" si="0"/>
        <v>0</v>
      </c>
      <c r="F26" s="18"/>
    </row>
    <row r="27" spans="1:9" ht="15" x14ac:dyDescent="0.25">
      <c r="A27" s="25" t="s">
        <v>41</v>
      </c>
      <c r="B27" s="47" t="s">
        <v>74</v>
      </c>
      <c r="C27" s="53">
        <v>3.45</v>
      </c>
      <c r="D27" s="50" t="s">
        <v>15</v>
      </c>
      <c r="E27" s="18">
        <f t="shared" si="0"/>
        <v>3112.9349999999999</v>
      </c>
      <c r="F27" s="18">
        <f t="shared" si="4"/>
        <v>37355.22</v>
      </c>
    </row>
    <row r="28" spans="1:9" ht="15" x14ac:dyDescent="0.25">
      <c r="A28" s="25" t="s">
        <v>42</v>
      </c>
      <c r="B28" s="55" t="s">
        <v>44</v>
      </c>
      <c r="C28" s="53">
        <v>1.01</v>
      </c>
      <c r="D28" s="50" t="s">
        <v>15</v>
      </c>
      <c r="E28" s="18">
        <f t="shared" si="0"/>
        <v>911.32299999999998</v>
      </c>
      <c r="F28" s="18">
        <f t="shared" si="4"/>
        <v>10935.876</v>
      </c>
    </row>
    <row r="29" spans="1:9" ht="15.75" x14ac:dyDescent="0.25">
      <c r="A29" s="25"/>
      <c r="B29" s="56" t="s">
        <v>46</v>
      </c>
      <c r="C29" s="57">
        <f>C10+C11+C12+C13+C14+C24+C25+C27+C28</f>
        <v>16.8</v>
      </c>
      <c r="D29" s="50"/>
      <c r="E29" s="18">
        <f t="shared" si="0"/>
        <v>15158.64</v>
      </c>
      <c r="F29" s="18">
        <f>F10+F11+F12+F13+F14+F24+F25+F27+F28</f>
        <v>181903.68</v>
      </c>
    </row>
    <row r="30" spans="1:9" ht="15.75" x14ac:dyDescent="0.25">
      <c r="A30" s="58"/>
      <c r="B30" s="3"/>
      <c r="C30" s="59"/>
      <c r="D30" s="60"/>
    </row>
    <row r="31" spans="1:9" ht="15.75" x14ac:dyDescent="0.25">
      <c r="A31" s="58"/>
      <c r="B31" s="3"/>
      <c r="C31" s="59"/>
      <c r="D31" s="60"/>
    </row>
    <row r="32" spans="1:9" ht="15.75" x14ac:dyDescent="0.25">
      <c r="A32" s="58"/>
      <c r="B32" s="3"/>
      <c r="C32" s="59"/>
      <c r="D32" s="60"/>
    </row>
    <row r="33" spans="1:5" x14ac:dyDescent="0.2">
      <c r="A33" s="58"/>
      <c r="C33" s="66"/>
      <c r="E33" s="54"/>
    </row>
    <row r="34" spans="1:5" x14ac:dyDescent="0.2">
      <c r="A34" s="58"/>
      <c r="B34" s="2" t="s">
        <v>47</v>
      </c>
      <c r="C34" s="1" t="s">
        <v>58</v>
      </c>
    </row>
    <row r="35" spans="1:5" x14ac:dyDescent="0.2">
      <c r="B35" s="1" t="s">
        <v>48</v>
      </c>
      <c r="D35" s="1" t="s">
        <v>49</v>
      </c>
    </row>
    <row r="37" spans="1:5" x14ac:dyDescent="0.2">
      <c r="B37" s="1" t="s">
        <v>50</v>
      </c>
      <c r="D37" s="1" t="s">
        <v>51</v>
      </c>
    </row>
    <row r="38" spans="1:5" x14ac:dyDescent="0.2">
      <c r="B38" s="1" t="s">
        <v>52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I40"/>
  <sheetViews>
    <sheetView topLeftCell="A25" workbookViewId="0">
      <selection activeCell="J12" sqref="J12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23.140625" style="1" customWidth="1"/>
    <col min="7" max="7" width="9" style="1"/>
    <col min="8" max="8" width="10.42578125" style="1" customWidth="1"/>
    <col min="9" max="16384" width="9" style="1"/>
  </cols>
  <sheetData>
    <row r="1" spans="1:7" x14ac:dyDescent="0.2">
      <c r="D1" s="2" t="s">
        <v>2</v>
      </c>
    </row>
    <row r="2" spans="1:7" x14ac:dyDescent="0.2">
      <c r="A2" s="245" t="s">
        <v>3</v>
      </c>
      <c r="B2" s="245"/>
      <c r="C2" s="245"/>
      <c r="D2" s="245"/>
    </row>
    <row r="3" spans="1:7" x14ac:dyDescent="0.2">
      <c r="A3" s="245"/>
      <c r="B3" s="245"/>
      <c r="C3" s="245"/>
      <c r="D3" s="245"/>
    </row>
    <row r="4" spans="1:7" x14ac:dyDescent="0.2">
      <c r="B4" s="3" t="s">
        <v>263</v>
      </c>
      <c r="C4" s="3"/>
      <c r="D4" s="3"/>
    </row>
    <row r="5" spans="1:7" x14ac:dyDescent="0.2">
      <c r="B5" s="3"/>
      <c r="C5" s="3"/>
      <c r="D5" s="3"/>
      <c r="F5" s="1">
        <v>6348.83</v>
      </c>
    </row>
    <row r="6" spans="1:7" ht="15" x14ac:dyDescent="0.25">
      <c r="A6" s="4"/>
      <c r="B6" s="4"/>
      <c r="C6" s="4"/>
      <c r="D6" s="4"/>
      <c r="E6" s="5" t="s">
        <v>4</v>
      </c>
      <c r="F6" s="5" t="s">
        <v>4</v>
      </c>
    </row>
    <row r="7" spans="1:7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7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7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7" ht="39" x14ac:dyDescent="0.25">
      <c r="A10" s="10"/>
      <c r="B10" s="15" t="s">
        <v>14</v>
      </c>
      <c r="C10" s="16">
        <v>3.25</v>
      </c>
      <c r="D10" s="50" t="s">
        <v>15</v>
      </c>
      <c r="E10" s="18">
        <f>C10*6348.83</f>
        <v>20633.697499999998</v>
      </c>
      <c r="F10" s="18">
        <f>E10*12</f>
        <v>247604.37</v>
      </c>
      <c r="G10" s="1">
        <v>3.13</v>
      </c>
    </row>
    <row r="11" spans="1:7" ht="15" x14ac:dyDescent="0.25">
      <c r="A11" s="10"/>
      <c r="B11" s="15" t="s">
        <v>76</v>
      </c>
      <c r="C11" s="16">
        <v>0.28000000000000003</v>
      </c>
      <c r="D11" s="88" t="s">
        <v>20</v>
      </c>
      <c r="E11" s="18">
        <f t="shared" ref="E11:E30" si="0">C11*6348.83</f>
        <v>1777.6724000000002</v>
      </c>
      <c r="F11" s="18">
        <f>E11*12</f>
        <v>21332.068800000001</v>
      </c>
      <c r="G11" s="1">
        <v>0.23</v>
      </c>
    </row>
    <row r="12" spans="1:7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5713.9470000000001</v>
      </c>
      <c r="F12" s="18">
        <f t="shared" ref="F12:F13" si="1">E12*12</f>
        <v>68567.364000000001</v>
      </c>
    </row>
    <row r="13" spans="1:7" ht="39" x14ac:dyDescent="0.25">
      <c r="A13" s="22" t="s">
        <v>18</v>
      </c>
      <c r="B13" s="15" t="s">
        <v>19</v>
      </c>
      <c r="C13" s="23">
        <v>0.49</v>
      </c>
      <c r="D13" s="88" t="s">
        <v>20</v>
      </c>
      <c r="E13" s="18">
        <f t="shared" si="0"/>
        <v>3110.9267</v>
      </c>
      <c r="F13" s="18">
        <f t="shared" si="1"/>
        <v>37331.1204</v>
      </c>
    </row>
    <row r="14" spans="1:7" ht="15.75" x14ac:dyDescent="0.25">
      <c r="A14" s="25" t="s">
        <v>21</v>
      </c>
      <c r="B14" s="26" t="s">
        <v>22</v>
      </c>
      <c r="C14" s="83">
        <f>C15+C16+C17+C19+C20+C21</f>
        <v>1.42</v>
      </c>
      <c r="D14" s="27"/>
      <c r="E14" s="18">
        <f t="shared" si="0"/>
        <v>9015.3385999999991</v>
      </c>
      <c r="F14" s="18">
        <f>F15+F16+F17+F19+F20+F21</f>
        <v>108184.0632</v>
      </c>
    </row>
    <row r="15" spans="1:7" ht="15" x14ac:dyDescent="0.25">
      <c r="A15" s="28"/>
      <c r="B15" s="29" t="s">
        <v>23</v>
      </c>
      <c r="C15" s="30">
        <v>0.04</v>
      </c>
      <c r="D15" s="31" t="s">
        <v>24</v>
      </c>
      <c r="E15" s="18">
        <f t="shared" si="0"/>
        <v>253.95320000000001</v>
      </c>
      <c r="F15" s="20">
        <f>E15*12</f>
        <v>3047.4384</v>
      </c>
    </row>
    <row r="16" spans="1:7" ht="24.75" x14ac:dyDescent="0.25">
      <c r="A16" s="28"/>
      <c r="B16" s="29" t="s">
        <v>25</v>
      </c>
      <c r="C16" s="30">
        <v>0.26</v>
      </c>
      <c r="D16" s="32" t="s">
        <v>20</v>
      </c>
      <c r="E16" s="18">
        <f t="shared" si="0"/>
        <v>1650.6958</v>
      </c>
      <c r="F16" s="20">
        <f t="shared" ref="F16:F21" si="2">E16*12</f>
        <v>19808.349600000001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5713.9470000000001</v>
      </c>
      <c r="F17" s="20">
        <f t="shared" si="2"/>
        <v>68567.364000000001</v>
      </c>
      <c r="G17" s="1">
        <v>0.65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0.03</v>
      </c>
      <c r="D19" s="40" t="s">
        <v>30</v>
      </c>
      <c r="E19" s="18">
        <f t="shared" si="0"/>
        <v>190.4649</v>
      </c>
      <c r="F19" s="20">
        <f>E19*12</f>
        <v>2285.5788000000002</v>
      </c>
    </row>
    <row r="20" spans="1:9" ht="15" x14ac:dyDescent="0.25">
      <c r="A20" s="19"/>
      <c r="B20" s="38" t="s">
        <v>54</v>
      </c>
      <c r="C20" s="41">
        <v>0.13</v>
      </c>
      <c r="D20" s="42" t="s">
        <v>29</v>
      </c>
      <c r="E20" s="18">
        <f t="shared" si="0"/>
        <v>825.34789999999998</v>
      </c>
      <c r="F20" s="20">
        <f t="shared" si="2"/>
        <v>9904.1748000000007</v>
      </c>
    </row>
    <row r="21" spans="1:9" ht="24.75" x14ac:dyDescent="0.25">
      <c r="A21" s="28"/>
      <c r="B21" s="38" t="s">
        <v>55</v>
      </c>
      <c r="C21" s="41">
        <v>0.06</v>
      </c>
      <c r="D21" s="42" t="s">
        <v>59</v>
      </c>
      <c r="E21" s="18">
        <f t="shared" si="0"/>
        <v>380.9298</v>
      </c>
      <c r="F21" s="20">
        <f t="shared" si="2"/>
        <v>4571.1576000000005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5.5" customHeight="1" x14ac:dyDescent="0.25">
      <c r="A24" s="25"/>
      <c r="B24" s="44" t="s">
        <v>35</v>
      </c>
      <c r="C24" s="83">
        <v>2.8</v>
      </c>
      <c r="D24" s="42" t="s">
        <v>59</v>
      </c>
      <c r="E24" s="18">
        <f t="shared" si="0"/>
        <v>17776.723999999998</v>
      </c>
      <c r="F24" s="18">
        <f>E24*12</f>
        <v>213320.68799999997</v>
      </c>
    </row>
    <row r="25" spans="1:9" ht="51.75" x14ac:dyDescent="0.25">
      <c r="A25" s="24" t="s">
        <v>39</v>
      </c>
      <c r="B25" s="80" t="s">
        <v>57</v>
      </c>
      <c r="C25" s="79">
        <v>0.12</v>
      </c>
      <c r="D25" s="27" t="s">
        <v>72</v>
      </c>
      <c r="E25" s="18">
        <f t="shared" si="0"/>
        <v>761.8596</v>
      </c>
      <c r="F25" s="18">
        <f t="shared" ref="F25:F26" si="3">E25*12</f>
        <v>9142.3152000000009</v>
      </c>
    </row>
    <row r="26" spans="1:9" ht="15" x14ac:dyDescent="0.25">
      <c r="A26" s="25" t="s">
        <v>41</v>
      </c>
      <c r="B26" s="48" t="s">
        <v>73</v>
      </c>
      <c r="C26" s="49">
        <v>2.5</v>
      </c>
      <c r="D26" s="50" t="s">
        <v>30</v>
      </c>
      <c r="E26" s="18">
        <f t="shared" si="0"/>
        <v>15872.075000000001</v>
      </c>
      <c r="F26" s="51">
        <f t="shared" si="3"/>
        <v>190464.90000000002</v>
      </c>
      <c r="G26" s="62"/>
    </row>
    <row r="27" spans="1:9" ht="34.5" x14ac:dyDescent="0.25">
      <c r="A27" s="25"/>
      <c r="B27" s="52" t="s">
        <v>40</v>
      </c>
      <c r="C27" s="53"/>
      <c r="D27" s="50"/>
      <c r="E27" s="18">
        <f t="shared" si="0"/>
        <v>0</v>
      </c>
      <c r="F27" s="51"/>
    </row>
    <row r="28" spans="1:9" ht="15" x14ac:dyDescent="0.25">
      <c r="A28" s="25" t="s">
        <v>42</v>
      </c>
      <c r="B28" s="47" t="s">
        <v>74</v>
      </c>
      <c r="C28" s="53">
        <v>4.5</v>
      </c>
      <c r="D28" s="50" t="s">
        <v>15</v>
      </c>
      <c r="E28" s="18">
        <f t="shared" si="0"/>
        <v>28569.735000000001</v>
      </c>
      <c r="F28" s="18">
        <f>E28*12</f>
        <v>342836.82</v>
      </c>
      <c r="G28" s="1">
        <v>4.3</v>
      </c>
    </row>
    <row r="29" spans="1:9" ht="15" x14ac:dyDescent="0.25">
      <c r="A29" s="25" t="s">
        <v>43</v>
      </c>
      <c r="B29" s="55" t="s">
        <v>44</v>
      </c>
      <c r="C29" s="53">
        <v>1.04</v>
      </c>
      <c r="D29" s="50" t="s">
        <v>15</v>
      </c>
      <c r="E29" s="18">
        <f t="shared" si="0"/>
        <v>6602.7831999999999</v>
      </c>
      <c r="F29" s="18">
        <f t="shared" ref="F29" si="4">E29*12</f>
        <v>79233.398400000005</v>
      </c>
      <c r="G29" s="1">
        <v>0.99</v>
      </c>
    </row>
    <row r="30" spans="1:9" ht="15.75" x14ac:dyDescent="0.25">
      <c r="A30" s="25"/>
      <c r="B30" s="56" t="s">
        <v>46</v>
      </c>
      <c r="C30" s="57">
        <f>C10+C11+C12+C13+C14+C24+C25+C26+C28+C29</f>
        <v>17.299999999999997</v>
      </c>
      <c r="D30" s="50"/>
      <c r="E30" s="18">
        <f t="shared" si="0"/>
        <v>109834.75899999998</v>
      </c>
      <c r="F30" s="18">
        <f>E30*A31</f>
        <v>1318017.1079999998</v>
      </c>
      <c r="G30" s="1">
        <f>G10+G11+G17+G28+G29</f>
        <v>9.2999999999999989</v>
      </c>
    </row>
    <row r="31" spans="1:9" ht="15.75" x14ac:dyDescent="0.25">
      <c r="A31" s="58">
        <v>12</v>
      </c>
      <c r="B31" s="3"/>
      <c r="C31" s="59"/>
      <c r="D31" s="60"/>
    </row>
    <row r="32" spans="1:9" x14ac:dyDescent="0.2">
      <c r="A32" s="58"/>
      <c r="C32" s="66"/>
      <c r="E32" s="54"/>
    </row>
    <row r="33" spans="1:4" x14ac:dyDescent="0.2">
      <c r="A33" s="58"/>
      <c r="B33" s="2" t="s">
        <v>47</v>
      </c>
      <c r="C33" s="1" t="s">
        <v>58</v>
      </c>
    </row>
    <row r="34" spans="1:4" x14ac:dyDescent="0.2">
      <c r="B34" s="1" t="s">
        <v>48</v>
      </c>
      <c r="D34" s="1" t="s">
        <v>49</v>
      </c>
    </row>
    <row r="36" spans="1:4" x14ac:dyDescent="0.2">
      <c r="B36" s="1" t="s">
        <v>50</v>
      </c>
      <c r="D36" s="1" t="s">
        <v>51</v>
      </c>
    </row>
    <row r="37" spans="1:4" x14ac:dyDescent="0.2">
      <c r="B37" s="1" t="s">
        <v>52</v>
      </c>
      <c r="D37" s="1" t="s">
        <v>51</v>
      </c>
    </row>
    <row r="38" spans="1:4" x14ac:dyDescent="0.2">
      <c r="B38" s="1" t="s">
        <v>52</v>
      </c>
      <c r="D38" s="1" t="s">
        <v>51</v>
      </c>
    </row>
    <row r="39" spans="1:4" x14ac:dyDescent="0.2">
      <c r="B39" s="1" t="s">
        <v>52</v>
      </c>
      <c r="D39" s="1" t="s">
        <v>51</v>
      </c>
    </row>
    <row r="40" spans="1:4" x14ac:dyDescent="0.2">
      <c r="B40" s="1" t="s">
        <v>52</v>
      </c>
      <c r="D40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1F7D-2AF4-4502-9847-73B6F136B876}">
  <sheetPr>
    <tabColor theme="6" tint="0.39997558519241921"/>
  </sheetPr>
  <dimension ref="A1:I53"/>
  <sheetViews>
    <sheetView topLeftCell="A22" workbookViewId="0">
      <selection activeCell="J27" sqref="J27:J28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298</v>
      </c>
      <c r="C4" s="3"/>
      <c r="D4" s="3"/>
    </row>
    <row r="5" spans="1:6" x14ac:dyDescent="0.2">
      <c r="B5" s="3"/>
      <c r="C5" s="3"/>
      <c r="D5" s="3"/>
      <c r="F5" s="1">
        <v>2962.4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2.65</v>
      </c>
      <c r="D10" s="50" t="s">
        <v>15</v>
      </c>
      <c r="E10" s="18">
        <f>C10*2962.4</f>
        <v>7850.36</v>
      </c>
      <c r="F10" s="18">
        <f>E10*12</f>
        <v>94204.319999999992</v>
      </c>
    </row>
    <row r="11" spans="1:6" ht="15" x14ac:dyDescent="0.25">
      <c r="A11" s="10"/>
      <c r="B11" s="15" t="s">
        <v>76</v>
      </c>
      <c r="C11" s="16">
        <v>0.25</v>
      </c>
      <c r="D11" s="88" t="s">
        <v>20</v>
      </c>
      <c r="E11" s="18">
        <f t="shared" ref="E11:E29" si="0">C11*2962.4</f>
        <v>740.6</v>
      </c>
      <c r="F11" s="18">
        <f>E11*12</f>
        <v>8887.2000000000007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2666.1600000000003</v>
      </c>
      <c r="F12" s="18">
        <f t="shared" ref="F12:F13" si="1">E12*12</f>
        <v>31993.920000000006</v>
      </c>
    </row>
    <row r="13" spans="1:6" ht="39" x14ac:dyDescent="0.25">
      <c r="A13" s="22" t="s">
        <v>18</v>
      </c>
      <c r="B13" s="15" t="s">
        <v>19</v>
      </c>
      <c r="C13" s="23">
        <v>0.34</v>
      </c>
      <c r="D13" s="88" t="s">
        <v>20</v>
      </c>
      <c r="E13" s="18">
        <f t="shared" si="0"/>
        <v>1007.2160000000001</v>
      </c>
      <c r="F13" s="18">
        <f t="shared" si="1"/>
        <v>12086.592000000001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0.84000000000000008</v>
      </c>
      <c r="D14" s="27"/>
      <c r="E14" s="18">
        <f t="shared" si="0"/>
        <v>2488.4160000000002</v>
      </c>
      <c r="F14" s="18">
        <f>F15+F16+F17+F19+F21+F20</f>
        <v>29860.991999999998</v>
      </c>
    </row>
    <row r="15" spans="1:6" ht="15" x14ac:dyDescent="0.25">
      <c r="A15" s="28"/>
      <c r="B15" s="29" t="s">
        <v>23</v>
      </c>
      <c r="C15" s="30">
        <v>0</v>
      </c>
      <c r="D15" s="31" t="s">
        <v>24</v>
      </c>
      <c r="E15" s="18">
        <f t="shared" si="0"/>
        <v>0</v>
      </c>
      <c r="F15" s="20">
        <f>E15*12</f>
        <v>0</v>
      </c>
    </row>
    <row r="16" spans="1:6" ht="24.75" x14ac:dyDescent="0.25">
      <c r="A16" s="28"/>
      <c r="B16" s="29" t="s">
        <v>25</v>
      </c>
      <c r="C16" s="30">
        <v>0</v>
      </c>
      <c r="D16" s="32" t="s">
        <v>20</v>
      </c>
      <c r="E16" s="18">
        <f t="shared" si="0"/>
        <v>0</v>
      </c>
      <c r="F16" s="20">
        <f t="shared" ref="F16:F21" si="2">E16*12</f>
        <v>0</v>
      </c>
    </row>
    <row r="17" spans="1:9" ht="15" x14ac:dyDescent="0.25">
      <c r="A17" s="28"/>
      <c r="B17" s="33" t="s">
        <v>26</v>
      </c>
      <c r="C17" s="30">
        <v>0.6</v>
      </c>
      <c r="D17" s="34"/>
      <c r="E17" s="18">
        <f t="shared" si="0"/>
        <v>1777.44</v>
      </c>
      <c r="F17" s="20">
        <f t="shared" si="2"/>
        <v>21329.279999999999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0.01</v>
      </c>
      <c r="D19" s="40" t="s">
        <v>30</v>
      </c>
      <c r="E19" s="18">
        <f t="shared" si="0"/>
        <v>29.624000000000002</v>
      </c>
      <c r="F19" s="20">
        <f>E19*12</f>
        <v>355.48800000000006</v>
      </c>
    </row>
    <row r="20" spans="1:9" ht="15" x14ac:dyDescent="0.25">
      <c r="A20" s="28"/>
      <c r="B20" s="38" t="s">
        <v>54</v>
      </c>
      <c r="C20" s="41">
        <v>0.2</v>
      </c>
      <c r="D20" s="42" t="s">
        <v>29</v>
      </c>
      <c r="E20" s="18">
        <f t="shared" si="0"/>
        <v>592.48</v>
      </c>
      <c r="F20" s="20">
        <f t="shared" ref="F20" si="3">E20*12</f>
        <v>7109.76</v>
      </c>
    </row>
    <row r="21" spans="1:9" ht="24.75" x14ac:dyDescent="0.25">
      <c r="A21" s="19"/>
      <c r="B21" s="38" t="s">
        <v>55</v>
      </c>
      <c r="C21" s="41">
        <v>0.03</v>
      </c>
      <c r="D21" s="108" t="s">
        <v>59</v>
      </c>
      <c r="E21" s="18">
        <f t="shared" si="0"/>
        <v>88.872</v>
      </c>
      <c r="F21" s="20">
        <f t="shared" si="2"/>
        <v>1066.4639999999999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2.75</v>
      </c>
      <c r="D24" s="109" t="s">
        <v>36</v>
      </c>
      <c r="E24" s="18">
        <f t="shared" si="0"/>
        <v>8146.6</v>
      </c>
      <c r="F24" s="18">
        <f>E24*12</f>
        <v>97759.200000000012</v>
      </c>
    </row>
    <row r="25" spans="1:9" ht="15" x14ac:dyDescent="0.25">
      <c r="A25" s="25" t="s">
        <v>39</v>
      </c>
      <c r="B25" s="48" t="s">
        <v>73</v>
      </c>
      <c r="C25" s="49">
        <v>4</v>
      </c>
      <c r="D25" s="50" t="s">
        <v>30</v>
      </c>
      <c r="E25" s="18">
        <f t="shared" si="0"/>
        <v>11849.6</v>
      </c>
      <c r="F25" s="18">
        <f t="shared" ref="F25:F28" si="4">E25*12</f>
        <v>142195.20000000001</v>
      </c>
      <c r="G25" s="62"/>
    </row>
    <row r="26" spans="1:9" ht="34.5" x14ac:dyDescent="0.25">
      <c r="A26" s="25"/>
      <c r="B26" s="52" t="s">
        <v>40</v>
      </c>
      <c r="C26" s="53"/>
      <c r="D26" s="50"/>
      <c r="E26" s="18">
        <f t="shared" si="0"/>
        <v>0</v>
      </c>
      <c r="F26" s="18"/>
    </row>
    <row r="27" spans="1:9" ht="15" x14ac:dyDescent="0.25">
      <c r="A27" s="25" t="s">
        <v>41</v>
      </c>
      <c r="B27" s="47" t="s">
        <v>74</v>
      </c>
      <c r="C27" s="53">
        <v>4.0599999999999996</v>
      </c>
      <c r="D27" s="50" t="s">
        <v>15</v>
      </c>
      <c r="E27" s="18">
        <f t="shared" si="0"/>
        <v>12027.343999999999</v>
      </c>
      <c r="F27" s="18">
        <f t="shared" si="4"/>
        <v>144328.128</v>
      </c>
    </row>
    <row r="28" spans="1:9" ht="15" x14ac:dyDescent="0.25">
      <c r="A28" s="25" t="s">
        <v>42</v>
      </c>
      <c r="B28" s="55" t="s">
        <v>44</v>
      </c>
      <c r="C28" s="53">
        <v>1.01</v>
      </c>
      <c r="D28" s="50" t="s">
        <v>15</v>
      </c>
      <c r="E28" s="18">
        <f t="shared" si="0"/>
        <v>2992.0240000000003</v>
      </c>
      <c r="F28" s="18">
        <f t="shared" si="4"/>
        <v>35904.288</v>
      </c>
    </row>
    <row r="29" spans="1:9" ht="15.75" x14ac:dyDescent="0.25">
      <c r="A29" s="25"/>
      <c r="B29" s="56" t="s">
        <v>46</v>
      </c>
      <c r="C29" s="57">
        <f>C10+C11+C12+C13+C14+C24+C25+C27+C28</f>
        <v>16.8</v>
      </c>
      <c r="D29" s="50"/>
      <c r="E29" s="18">
        <f t="shared" si="0"/>
        <v>49768.320000000007</v>
      </c>
      <c r="F29" s="18">
        <f>F10+F11+F12+F13+F14+F24+F25+F27+F28</f>
        <v>597219.84000000008</v>
      </c>
    </row>
    <row r="30" spans="1:9" ht="15.75" x14ac:dyDescent="0.25">
      <c r="A30" s="58"/>
      <c r="B30" s="3"/>
      <c r="C30" s="59"/>
      <c r="D30" s="60"/>
    </row>
    <row r="31" spans="1:9" ht="15.75" x14ac:dyDescent="0.25">
      <c r="A31" s="58"/>
      <c r="B31" s="3"/>
      <c r="C31" s="59"/>
      <c r="D31" s="60"/>
    </row>
    <row r="32" spans="1:9" ht="15.75" x14ac:dyDescent="0.25">
      <c r="A32" s="58"/>
      <c r="B32" s="3"/>
      <c r="C32" s="59"/>
      <c r="D32" s="60"/>
    </row>
    <row r="33" spans="1:5" x14ac:dyDescent="0.2">
      <c r="A33" s="58"/>
      <c r="C33" s="66"/>
      <c r="E33" s="54"/>
    </row>
    <row r="34" spans="1:5" x14ac:dyDescent="0.2">
      <c r="A34" s="58"/>
      <c r="B34" s="2" t="s">
        <v>47</v>
      </c>
      <c r="C34" s="1" t="s">
        <v>58</v>
      </c>
    </row>
    <row r="35" spans="1:5" x14ac:dyDescent="0.2">
      <c r="B35" s="1" t="s">
        <v>48</v>
      </c>
      <c r="D35" s="1" t="s">
        <v>49</v>
      </c>
    </row>
    <row r="37" spans="1:5" x14ac:dyDescent="0.2">
      <c r="B37" s="1" t="s">
        <v>50</v>
      </c>
      <c r="D37" s="1" t="s">
        <v>51</v>
      </c>
    </row>
    <row r="38" spans="1:5" x14ac:dyDescent="0.2">
      <c r="B38" s="1" t="s">
        <v>52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</sheetData>
  <mergeCells count="1">
    <mergeCell ref="A2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B4466-752A-4B45-9283-1184F8017AD6}">
  <sheetPr>
    <tabColor theme="6" tint="0.39997558519241921"/>
  </sheetPr>
  <dimension ref="A1:I41"/>
  <sheetViews>
    <sheetView topLeftCell="A22" workbookViewId="0">
      <selection activeCell="J12" sqref="J12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299</v>
      </c>
      <c r="C4" s="3"/>
      <c r="D4" s="3"/>
    </row>
    <row r="5" spans="1:6" x14ac:dyDescent="0.2">
      <c r="B5" s="3"/>
      <c r="C5" s="3"/>
      <c r="D5" s="3"/>
      <c r="F5" s="1">
        <v>2890.53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3.09</v>
      </c>
      <c r="D10" s="88" t="s">
        <v>15</v>
      </c>
      <c r="E10" s="18">
        <f>C10*2890.63</f>
        <v>8932.0467000000008</v>
      </c>
      <c r="F10" s="18">
        <f>E10*12</f>
        <v>107184.56040000002</v>
      </c>
    </row>
    <row r="11" spans="1:6" ht="15" x14ac:dyDescent="0.25">
      <c r="A11" s="10"/>
      <c r="B11" s="15" t="s">
        <v>76</v>
      </c>
      <c r="C11" s="16">
        <v>0.25</v>
      </c>
      <c r="D11" s="88" t="s">
        <v>20</v>
      </c>
      <c r="E11" s="18">
        <f t="shared" ref="E11:E29" si="0">C11*2890.63</f>
        <v>722.65750000000003</v>
      </c>
      <c r="F11" s="18">
        <f>E11*12</f>
        <v>8671.89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88" t="s">
        <v>15</v>
      </c>
      <c r="E12" s="18">
        <f t="shared" si="0"/>
        <v>2601.567</v>
      </c>
      <c r="F12" s="18">
        <f t="shared" ref="F12:F13" si="1">E12*12</f>
        <v>31218.804</v>
      </c>
    </row>
    <row r="13" spans="1:6" ht="39" x14ac:dyDescent="0.25">
      <c r="A13" s="22" t="s">
        <v>18</v>
      </c>
      <c r="B13" s="15" t="s">
        <v>19</v>
      </c>
      <c r="C13" s="23">
        <v>0.4</v>
      </c>
      <c r="D13" s="88" t="s">
        <v>20</v>
      </c>
      <c r="E13" s="18">
        <f t="shared" si="0"/>
        <v>1156.2520000000002</v>
      </c>
      <c r="F13" s="18">
        <f t="shared" si="1"/>
        <v>13875.024000000001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1.5200000000000002</v>
      </c>
      <c r="D14" s="27"/>
      <c r="E14" s="18">
        <f t="shared" si="0"/>
        <v>4393.7576000000008</v>
      </c>
      <c r="F14" s="18">
        <f>F15+F16+F17+F19+F21+F20</f>
        <v>52725.091200000003</v>
      </c>
    </row>
    <row r="15" spans="1:6" ht="15" x14ac:dyDescent="0.25">
      <c r="A15" s="28"/>
      <c r="B15" s="29" t="s">
        <v>23</v>
      </c>
      <c r="C15" s="30">
        <v>0.14000000000000001</v>
      </c>
      <c r="D15" s="31" t="s">
        <v>24</v>
      </c>
      <c r="E15" s="18">
        <f t="shared" si="0"/>
        <v>404.68820000000005</v>
      </c>
      <c r="F15" s="20">
        <f>E15*12</f>
        <v>4856.2584000000006</v>
      </c>
    </row>
    <row r="16" spans="1:6" ht="24.75" x14ac:dyDescent="0.25">
      <c r="A16" s="28"/>
      <c r="B16" s="29" t="s">
        <v>25</v>
      </c>
      <c r="C16" s="30">
        <v>0.45</v>
      </c>
      <c r="D16" s="32" t="s">
        <v>20</v>
      </c>
      <c r="E16" s="18">
        <f t="shared" si="0"/>
        <v>1300.7835</v>
      </c>
      <c r="F16" s="20">
        <f t="shared" ref="F16:F21" si="2">E16*12</f>
        <v>15609.402</v>
      </c>
    </row>
    <row r="17" spans="1:9" ht="15" x14ac:dyDescent="0.25">
      <c r="A17" s="28"/>
      <c r="B17" s="33" t="s">
        <v>26</v>
      </c>
      <c r="C17" s="30">
        <v>0.8</v>
      </c>
      <c r="D17" s="34"/>
      <c r="E17" s="18">
        <f t="shared" si="0"/>
        <v>2312.5040000000004</v>
      </c>
      <c r="F17" s="20">
        <f t="shared" si="2"/>
        <v>27750.048000000003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0.02</v>
      </c>
      <c r="D19" s="40" t="s">
        <v>30</v>
      </c>
      <c r="E19" s="18">
        <f t="shared" si="0"/>
        <v>57.812600000000003</v>
      </c>
      <c r="F19" s="20">
        <f>E19*12</f>
        <v>693.75120000000004</v>
      </c>
    </row>
    <row r="20" spans="1:9" ht="15" x14ac:dyDescent="0.25">
      <c r="A20" s="28"/>
      <c r="B20" s="38" t="s">
        <v>54</v>
      </c>
      <c r="C20" s="41">
        <v>0.08</v>
      </c>
      <c r="D20" s="42" t="s">
        <v>29</v>
      </c>
      <c r="E20" s="18">
        <f t="shared" si="0"/>
        <v>231.25040000000001</v>
      </c>
      <c r="F20" s="20">
        <f t="shared" ref="F20" si="3">E20*12</f>
        <v>2775.0048000000002</v>
      </c>
    </row>
    <row r="21" spans="1:9" ht="24.75" x14ac:dyDescent="0.25">
      <c r="A21" s="19"/>
      <c r="B21" s="38" t="s">
        <v>55</v>
      </c>
      <c r="C21" s="41">
        <v>0.03</v>
      </c>
      <c r="D21" s="42" t="s">
        <v>29</v>
      </c>
      <c r="E21" s="18">
        <f t="shared" si="0"/>
        <v>86.718900000000005</v>
      </c>
      <c r="F21" s="20">
        <f t="shared" si="2"/>
        <v>1040.6268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2.8</v>
      </c>
      <c r="D24" s="45"/>
      <c r="E24" s="18">
        <f t="shared" si="0"/>
        <v>8093.7640000000001</v>
      </c>
      <c r="F24" s="18">
        <f>E24*12</f>
        <v>97125.168000000005</v>
      </c>
    </row>
    <row r="25" spans="1:9" ht="15" x14ac:dyDescent="0.25">
      <c r="A25" s="25" t="s">
        <v>39</v>
      </c>
      <c r="B25" s="48" t="s">
        <v>73</v>
      </c>
      <c r="C25" s="49">
        <v>3.1</v>
      </c>
      <c r="D25" s="50" t="s">
        <v>30</v>
      </c>
      <c r="E25" s="18">
        <f t="shared" si="0"/>
        <v>8960.9530000000013</v>
      </c>
      <c r="F25" s="18">
        <f t="shared" ref="F25:F28" si="4">E25*12</f>
        <v>107531.43600000002</v>
      </c>
      <c r="G25" s="62"/>
    </row>
    <row r="26" spans="1:9" ht="34.5" x14ac:dyDescent="0.25">
      <c r="A26" s="25"/>
      <c r="B26" s="52" t="s">
        <v>40</v>
      </c>
      <c r="C26" s="53"/>
      <c r="D26" s="50"/>
      <c r="E26" s="18">
        <f t="shared" si="0"/>
        <v>0</v>
      </c>
      <c r="F26" s="18"/>
    </row>
    <row r="27" spans="1:9" ht="15" x14ac:dyDescent="0.25">
      <c r="A27" s="25" t="s">
        <v>41</v>
      </c>
      <c r="B27" s="47" t="s">
        <v>74</v>
      </c>
      <c r="C27" s="53">
        <v>4.2</v>
      </c>
      <c r="D27" s="50" t="s">
        <v>15</v>
      </c>
      <c r="E27" s="18">
        <f t="shared" si="0"/>
        <v>12140.646000000001</v>
      </c>
      <c r="F27" s="18">
        <f t="shared" si="4"/>
        <v>145687.75200000001</v>
      </c>
    </row>
    <row r="28" spans="1:9" ht="15" x14ac:dyDescent="0.25">
      <c r="A28" s="25" t="s">
        <v>42</v>
      </c>
      <c r="B28" s="55" t="s">
        <v>44</v>
      </c>
      <c r="C28" s="53">
        <v>1.04</v>
      </c>
      <c r="D28" s="50" t="s">
        <v>15</v>
      </c>
      <c r="E28" s="18">
        <f t="shared" si="0"/>
        <v>3006.2552000000001</v>
      </c>
      <c r="F28" s="18">
        <f t="shared" si="4"/>
        <v>36075.062400000003</v>
      </c>
    </row>
    <row r="29" spans="1:9" ht="15.75" x14ac:dyDescent="0.25">
      <c r="A29" s="25"/>
      <c r="B29" s="56" t="s">
        <v>46</v>
      </c>
      <c r="C29" s="57">
        <f>C10+C11+C12+C13+C14+C24+C25+C27+C28</f>
        <v>17.3</v>
      </c>
      <c r="D29" s="50"/>
      <c r="E29" s="18">
        <f t="shared" si="0"/>
        <v>50007.899000000005</v>
      </c>
      <c r="F29" s="18">
        <f>F10+F11+F12+F13+F14+F24+F25+F27+F28</f>
        <v>600094.78800000006</v>
      </c>
    </row>
    <row r="30" spans="1:9" ht="15.75" x14ac:dyDescent="0.25">
      <c r="A30" s="58"/>
      <c r="B30" s="3"/>
      <c r="C30" s="59"/>
      <c r="D30" s="60"/>
    </row>
    <row r="31" spans="1:9" ht="15.75" x14ac:dyDescent="0.25">
      <c r="A31" s="58"/>
      <c r="B31" s="3"/>
      <c r="C31" s="59"/>
      <c r="D31" s="60"/>
    </row>
    <row r="32" spans="1:9" ht="15.75" x14ac:dyDescent="0.25">
      <c r="A32" s="58"/>
      <c r="B32" s="3"/>
      <c r="C32" s="59"/>
      <c r="D32" s="60"/>
    </row>
    <row r="33" spans="1:5" x14ac:dyDescent="0.2">
      <c r="A33" s="58"/>
      <c r="C33" s="66"/>
      <c r="E33" s="54"/>
    </row>
    <row r="34" spans="1:5" x14ac:dyDescent="0.2">
      <c r="A34" s="58"/>
      <c r="B34" s="2" t="s">
        <v>47</v>
      </c>
      <c r="C34" s="1" t="s">
        <v>58</v>
      </c>
    </row>
    <row r="35" spans="1:5" x14ac:dyDescent="0.2">
      <c r="B35" s="1" t="s">
        <v>48</v>
      </c>
      <c r="D35" s="1" t="s">
        <v>49</v>
      </c>
    </row>
    <row r="37" spans="1:5" x14ac:dyDescent="0.2">
      <c r="B37" s="1" t="s">
        <v>50</v>
      </c>
      <c r="D37" s="1" t="s">
        <v>51</v>
      </c>
    </row>
    <row r="38" spans="1:5" x14ac:dyDescent="0.2">
      <c r="B38" s="1" t="s">
        <v>52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DF0F3-9F7F-4F29-9AA3-549AE0882A9C}">
  <sheetPr>
    <tabColor theme="6" tint="-0.249977111117893"/>
  </sheetPr>
  <dimension ref="A1:I41"/>
  <sheetViews>
    <sheetView topLeftCell="A22" workbookViewId="0">
      <selection activeCell="K12" sqref="K12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300</v>
      </c>
      <c r="C4" s="3"/>
      <c r="D4" s="3"/>
    </row>
    <row r="5" spans="1:6" x14ac:dyDescent="0.2">
      <c r="B5" s="3"/>
      <c r="C5" s="3"/>
      <c r="D5" s="3"/>
      <c r="F5" s="1">
        <v>727.23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1.1299999999999999</v>
      </c>
      <c r="D10" s="50" t="s">
        <v>15</v>
      </c>
      <c r="E10" s="18">
        <f>C10*727.23</f>
        <v>821.76989999999989</v>
      </c>
      <c r="F10" s="18">
        <f>E10*12</f>
        <v>9861.2387999999992</v>
      </c>
    </row>
    <row r="11" spans="1:6" ht="15" x14ac:dyDescent="0.25">
      <c r="A11" s="10"/>
      <c r="B11" s="15" t="s">
        <v>76</v>
      </c>
      <c r="C11" s="16">
        <v>0</v>
      </c>
      <c r="D11" s="50"/>
      <c r="E11" s="18">
        <f t="shared" ref="E11:E29" si="0">C11*727.23</f>
        <v>0</v>
      </c>
      <c r="F11" s="18">
        <f>E11*12</f>
        <v>0</v>
      </c>
    </row>
    <row r="12" spans="1:6" ht="39" x14ac:dyDescent="0.25">
      <c r="A12" s="10" t="s">
        <v>16</v>
      </c>
      <c r="B12" s="15" t="s">
        <v>17</v>
      </c>
      <c r="C12" s="16">
        <v>0.6</v>
      </c>
      <c r="D12" s="50" t="s">
        <v>15</v>
      </c>
      <c r="E12" s="18">
        <f t="shared" si="0"/>
        <v>436.33800000000002</v>
      </c>
      <c r="F12" s="18">
        <f t="shared" ref="F12:F13" si="1">E12*12</f>
        <v>5236.0560000000005</v>
      </c>
    </row>
    <row r="13" spans="1:6" ht="39" x14ac:dyDescent="0.25">
      <c r="A13" s="22" t="s">
        <v>18</v>
      </c>
      <c r="B13" s="15" t="s">
        <v>19</v>
      </c>
      <c r="C13" s="23">
        <v>0</v>
      </c>
      <c r="D13" s="50"/>
      <c r="E13" s="18">
        <f t="shared" si="0"/>
        <v>0</v>
      </c>
      <c r="F13" s="18">
        <f t="shared" si="1"/>
        <v>0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0.51000000000000012</v>
      </c>
      <c r="D14" s="27"/>
      <c r="E14" s="18">
        <f t="shared" si="0"/>
        <v>370.8873000000001</v>
      </c>
      <c r="F14" s="18">
        <f>F15+F16+F17+F19+F21+F20</f>
        <v>4450.6476000000002</v>
      </c>
    </row>
    <row r="15" spans="1:6" ht="15" x14ac:dyDescent="0.25">
      <c r="A15" s="28"/>
      <c r="B15" s="29" t="s">
        <v>23</v>
      </c>
      <c r="C15" s="30">
        <v>0.1</v>
      </c>
      <c r="D15" s="31" t="s">
        <v>24</v>
      </c>
      <c r="E15" s="18">
        <f t="shared" si="0"/>
        <v>72.722999999999999</v>
      </c>
      <c r="F15" s="20">
        <f>E15*12</f>
        <v>872.67599999999993</v>
      </c>
    </row>
    <row r="16" spans="1:6" ht="24.75" x14ac:dyDescent="0.25">
      <c r="A16" s="28"/>
      <c r="B16" s="29" t="s">
        <v>25</v>
      </c>
      <c r="C16" s="30">
        <v>0</v>
      </c>
      <c r="D16" s="32" t="s">
        <v>20</v>
      </c>
      <c r="E16" s="18">
        <f t="shared" si="0"/>
        <v>0</v>
      </c>
      <c r="F16" s="20">
        <f t="shared" ref="F16:F21" si="2">E16*12</f>
        <v>0</v>
      </c>
    </row>
    <row r="17" spans="1:9" ht="15" x14ac:dyDescent="0.25">
      <c r="A17" s="28"/>
      <c r="B17" s="33" t="s">
        <v>26</v>
      </c>
      <c r="C17" s="30">
        <v>0.34</v>
      </c>
      <c r="D17" s="34"/>
      <c r="E17" s="18">
        <f t="shared" si="0"/>
        <v>247.25820000000002</v>
      </c>
      <c r="F17" s="20">
        <f t="shared" si="2"/>
        <v>2967.0984000000003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</v>
      </c>
      <c r="D19" s="40" t="s">
        <v>30</v>
      </c>
      <c r="E19" s="18">
        <f t="shared" si="0"/>
        <v>0</v>
      </c>
      <c r="F19" s="20">
        <f>E19*12</f>
        <v>0</v>
      </c>
    </row>
    <row r="20" spans="1:9" ht="15" x14ac:dyDescent="0.25">
      <c r="A20" s="28"/>
      <c r="B20" s="38" t="s">
        <v>54</v>
      </c>
      <c r="C20" s="41">
        <v>0.04</v>
      </c>
      <c r="D20" s="42" t="s">
        <v>29</v>
      </c>
      <c r="E20" s="18">
        <f t="shared" si="0"/>
        <v>29.089200000000002</v>
      </c>
      <c r="F20" s="20">
        <f t="shared" ref="F20" si="3">E20*12</f>
        <v>349.07040000000001</v>
      </c>
    </row>
    <row r="21" spans="1:9" ht="24.75" x14ac:dyDescent="0.25">
      <c r="A21" s="19"/>
      <c r="B21" s="38" t="s">
        <v>55</v>
      </c>
      <c r="C21" s="41">
        <v>0.03</v>
      </c>
      <c r="D21" s="108" t="s">
        <v>59</v>
      </c>
      <c r="E21" s="18">
        <f t="shared" si="0"/>
        <v>21.8169</v>
      </c>
      <c r="F21" s="20">
        <f t="shared" si="2"/>
        <v>261.80279999999999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4.3899999999999997</v>
      </c>
      <c r="D24" s="108" t="s">
        <v>59</v>
      </c>
      <c r="E24" s="18">
        <f t="shared" si="0"/>
        <v>3192.5396999999998</v>
      </c>
      <c r="F24" s="18">
        <f>E24*12</f>
        <v>38310.4764</v>
      </c>
    </row>
    <row r="25" spans="1:9" ht="15" x14ac:dyDescent="0.25">
      <c r="A25" s="25" t="s">
        <v>39</v>
      </c>
      <c r="B25" s="48" t="s">
        <v>73</v>
      </c>
      <c r="C25" s="49">
        <v>0</v>
      </c>
      <c r="D25" s="50" t="s">
        <v>30</v>
      </c>
      <c r="E25" s="18">
        <f t="shared" si="0"/>
        <v>0</v>
      </c>
      <c r="F25" s="18">
        <f t="shared" ref="F25:F28" si="4">E25*12</f>
        <v>0</v>
      </c>
      <c r="G25" s="62"/>
    </row>
    <row r="26" spans="1:9" ht="34.5" x14ac:dyDescent="0.25">
      <c r="A26" s="25"/>
      <c r="B26" s="52" t="s">
        <v>40</v>
      </c>
      <c r="C26" s="53"/>
      <c r="D26" s="50"/>
      <c r="E26" s="18">
        <f t="shared" si="0"/>
        <v>0</v>
      </c>
      <c r="F26" s="18"/>
    </row>
    <row r="27" spans="1:9" ht="15" x14ac:dyDescent="0.25">
      <c r="A27" s="25" t="s">
        <v>41</v>
      </c>
      <c r="B27" s="47" t="s">
        <v>79</v>
      </c>
      <c r="C27" s="53">
        <v>0.8</v>
      </c>
      <c r="D27" s="50" t="s">
        <v>15</v>
      </c>
      <c r="E27" s="18">
        <f t="shared" si="0"/>
        <v>581.78399999999999</v>
      </c>
      <c r="F27" s="18">
        <f t="shared" si="4"/>
        <v>6981.4079999999994</v>
      </c>
    </row>
    <row r="28" spans="1:9" ht="15" x14ac:dyDescent="0.25">
      <c r="A28" s="25" t="s">
        <v>42</v>
      </c>
      <c r="B28" s="55" t="s">
        <v>44</v>
      </c>
      <c r="C28" s="53">
        <v>0.47</v>
      </c>
      <c r="D28" s="50" t="s">
        <v>15</v>
      </c>
      <c r="E28" s="18">
        <f t="shared" si="0"/>
        <v>341.79809999999998</v>
      </c>
      <c r="F28" s="18">
        <f t="shared" si="4"/>
        <v>4101.5771999999997</v>
      </c>
    </row>
    <row r="29" spans="1:9" ht="15.75" x14ac:dyDescent="0.25">
      <c r="A29" s="25"/>
      <c r="B29" s="56" t="s">
        <v>46</v>
      </c>
      <c r="C29" s="57">
        <f>C10+C11+C12+C13+C14+C24+C25+C27+C28</f>
        <v>7.8999999999999995</v>
      </c>
      <c r="D29" s="50"/>
      <c r="E29" s="18">
        <f t="shared" si="0"/>
        <v>5745.1170000000002</v>
      </c>
      <c r="F29" s="18">
        <f>F10+F11+F12+F13+F14+F24+F25+F27+F28</f>
        <v>68941.403999999995</v>
      </c>
    </row>
    <row r="30" spans="1:9" ht="15.75" x14ac:dyDescent="0.25">
      <c r="A30" s="58"/>
      <c r="B30" s="3"/>
      <c r="C30" s="59"/>
      <c r="D30" s="60"/>
    </row>
    <row r="31" spans="1:9" ht="15.75" x14ac:dyDescent="0.25">
      <c r="A31" s="58"/>
      <c r="B31" s="3"/>
      <c r="C31" s="59"/>
      <c r="D31" s="60"/>
    </row>
    <row r="32" spans="1:9" ht="15.75" x14ac:dyDescent="0.25">
      <c r="A32" s="58"/>
      <c r="B32" s="3"/>
      <c r="C32" s="59"/>
      <c r="D32" s="60"/>
    </row>
    <row r="33" spans="1:5" x14ac:dyDescent="0.2">
      <c r="A33" s="58"/>
      <c r="C33" s="66"/>
      <c r="E33" s="54"/>
    </row>
    <row r="34" spans="1:5" x14ac:dyDescent="0.2">
      <c r="A34" s="58"/>
      <c r="B34" s="2" t="s">
        <v>47</v>
      </c>
      <c r="C34" s="1" t="s">
        <v>58</v>
      </c>
    </row>
    <row r="35" spans="1:5" x14ac:dyDescent="0.2">
      <c r="B35" s="1" t="s">
        <v>48</v>
      </c>
      <c r="D35" s="1" t="s">
        <v>49</v>
      </c>
    </row>
    <row r="37" spans="1:5" x14ac:dyDescent="0.2">
      <c r="B37" s="1" t="s">
        <v>50</v>
      </c>
      <c r="D37" s="1" t="s">
        <v>51</v>
      </c>
    </row>
    <row r="38" spans="1:5" x14ac:dyDescent="0.2">
      <c r="B38" s="1" t="s">
        <v>52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003DF-C6D7-4BCD-B989-DBBB7DB5B969}">
  <sheetPr>
    <tabColor theme="6" tint="-0.249977111117893"/>
  </sheetPr>
  <dimension ref="A1:I41"/>
  <sheetViews>
    <sheetView workbookViewId="0">
      <selection activeCell="L33" sqref="L33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301</v>
      </c>
      <c r="C4" s="3"/>
      <c r="D4" s="3"/>
    </row>
    <row r="5" spans="1:6" x14ac:dyDescent="0.2">
      <c r="B5" s="3"/>
      <c r="C5" s="3"/>
      <c r="D5" s="3"/>
      <c r="F5" s="1">
        <v>4437.5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3.88</v>
      </c>
      <c r="D10" s="50" t="s">
        <v>15</v>
      </c>
      <c r="E10" s="18">
        <f>C10*4437.5</f>
        <v>17217.5</v>
      </c>
      <c r="F10" s="18">
        <f>E10*12</f>
        <v>206610</v>
      </c>
    </row>
    <row r="11" spans="1:6" ht="15" x14ac:dyDescent="0.25">
      <c r="A11" s="10"/>
      <c r="B11" s="15" t="s">
        <v>76</v>
      </c>
      <c r="C11" s="16">
        <v>0.25</v>
      </c>
      <c r="D11" s="32" t="s">
        <v>20</v>
      </c>
      <c r="E11" s="18">
        <f t="shared" ref="E11:E29" si="0">C11*4437.5</f>
        <v>1109.375</v>
      </c>
      <c r="F11" s="18">
        <f>E11*12</f>
        <v>13312.5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3993.75</v>
      </c>
      <c r="F12" s="18">
        <f t="shared" ref="F12:F13" si="1">E12*12</f>
        <v>47925</v>
      </c>
    </row>
    <row r="13" spans="1:6" ht="39" x14ac:dyDescent="0.25">
      <c r="A13" s="22" t="s">
        <v>18</v>
      </c>
      <c r="B13" s="15" t="s">
        <v>19</v>
      </c>
      <c r="C13" s="23">
        <v>0.34</v>
      </c>
      <c r="D13" s="32" t="s">
        <v>20</v>
      </c>
      <c r="E13" s="18">
        <f t="shared" si="0"/>
        <v>1508.75</v>
      </c>
      <c r="F13" s="18">
        <f t="shared" si="1"/>
        <v>18105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1.5400000000000003</v>
      </c>
      <c r="D14" s="27"/>
      <c r="E14" s="18">
        <f t="shared" si="0"/>
        <v>6833.7500000000009</v>
      </c>
      <c r="F14" s="18">
        <f>F15+F16+F17+F19+F21+F20</f>
        <v>82005</v>
      </c>
    </row>
    <row r="15" spans="1:6" ht="15" x14ac:dyDescent="0.25">
      <c r="A15" s="28"/>
      <c r="B15" s="29" t="s">
        <v>23</v>
      </c>
      <c r="C15" s="30">
        <v>7.0000000000000007E-2</v>
      </c>
      <c r="D15" s="31" t="s">
        <v>24</v>
      </c>
      <c r="E15" s="18">
        <f t="shared" si="0"/>
        <v>310.62500000000006</v>
      </c>
      <c r="F15" s="20">
        <f>E15*12</f>
        <v>3727.5000000000009</v>
      </c>
    </row>
    <row r="16" spans="1:6" ht="24.75" x14ac:dyDescent="0.25">
      <c r="A16" s="28"/>
      <c r="B16" s="29" t="s">
        <v>25</v>
      </c>
      <c r="C16" s="30">
        <v>0.56000000000000005</v>
      </c>
      <c r="D16" s="32" t="s">
        <v>20</v>
      </c>
      <c r="E16" s="18">
        <f t="shared" si="0"/>
        <v>2485.0000000000005</v>
      </c>
      <c r="F16" s="20">
        <f t="shared" ref="F16:F21" si="2">E16*12</f>
        <v>29820.000000000007</v>
      </c>
    </row>
    <row r="17" spans="1:9" ht="15" x14ac:dyDescent="0.25">
      <c r="A17" s="28"/>
      <c r="B17" s="33" t="s">
        <v>26</v>
      </c>
      <c r="C17" s="30">
        <v>0.8</v>
      </c>
      <c r="D17" s="34"/>
      <c r="E17" s="18">
        <f t="shared" si="0"/>
        <v>3550</v>
      </c>
      <c r="F17" s="20">
        <f t="shared" si="2"/>
        <v>42600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0.01</v>
      </c>
      <c r="D19" s="40" t="s">
        <v>30</v>
      </c>
      <c r="E19" s="18">
        <f t="shared" si="0"/>
        <v>44.375</v>
      </c>
      <c r="F19" s="20">
        <f>E19*12</f>
        <v>532.5</v>
      </c>
    </row>
    <row r="20" spans="1:9" ht="15" x14ac:dyDescent="0.25">
      <c r="A20" s="28"/>
      <c r="B20" s="38" t="s">
        <v>54</v>
      </c>
      <c r="C20" s="41">
        <v>0.08</v>
      </c>
      <c r="D20" s="42" t="s">
        <v>29</v>
      </c>
      <c r="E20" s="18">
        <f t="shared" si="0"/>
        <v>355</v>
      </c>
      <c r="F20" s="20">
        <f t="shared" ref="F20" si="3">E20*12</f>
        <v>4260</v>
      </c>
    </row>
    <row r="21" spans="1:9" ht="24.75" x14ac:dyDescent="0.25">
      <c r="A21" s="19"/>
      <c r="B21" s="38" t="s">
        <v>55</v>
      </c>
      <c r="C21" s="41">
        <v>0.02</v>
      </c>
      <c r="D21" s="108" t="s">
        <v>59</v>
      </c>
      <c r="E21" s="18">
        <f t="shared" si="0"/>
        <v>88.75</v>
      </c>
      <c r="F21" s="20">
        <f t="shared" si="2"/>
        <v>1065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2.35</v>
      </c>
      <c r="D24" s="109" t="s">
        <v>36</v>
      </c>
      <c r="E24" s="18">
        <f t="shared" si="0"/>
        <v>10428.125</v>
      </c>
      <c r="F24" s="18">
        <f>E24*12</f>
        <v>125137.5</v>
      </c>
    </row>
    <row r="25" spans="1:9" ht="15" x14ac:dyDescent="0.25">
      <c r="A25" s="25" t="s">
        <v>39</v>
      </c>
      <c r="B25" s="48" t="s">
        <v>73</v>
      </c>
      <c r="C25" s="49">
        <v>3</v>
      </c>
      <c r="D25" s="50" t="s">
        <v>30</v>
      </c>
      <c r="E25" s="18">
        <f t="shared" si="0"/>
        <v>13312.5</v>
      </c>
      <c r="F25" s="18">
        <f t="shared" ref="F25:F28" si="4">E25*12</f>
        <v>159750</v>
      </c>
      <c r="G25" s="62"/>
    </row>
    <row r="26" spans="1:9" ht="34.5" x14ac:dyDescent="0.25">
      <c r="A26" s="25"/>
      <c r="B26" s="52" t="s">
        <v>40</v>
      </c>
      <c r="C26" s="53"/>
      <c r="D26" s="50"/>
      <c r="E26" s="18">
        <f t="shared" si="0"/>
        <v>0</v>
      </c>
      <c r="F26" s="18"/>
    </row>
    <row r="27" spans="1:9" ht="15" x14ac:dyDescent="0.25">
      <c r="A27" s="25" t="s">
        <v>41</v>
      </c>
      <c r="B27" s="47" t="s">
        <v>74</v>
      </c>
      <c r="C27" s="53">
        <v>4</v>
      </c>
      <c r="D27" s="50" t="s">
        <v>15</v>
      </c>
      <c r="E27" s="18">
        <f t="shared" si="0"/>
        <v>17750</v>
      </c>
      <c r="F27" s="18">
        <f t="shared" si="4"/>
        <v>213000</v>
      </c>
    </row>
    <row r="28" spans="1:9" ht="15" x14ac:dyDescent="0.25">
      <c r="A28" s="25" t="s">
        <v>42</v>
      </c>
      <c r="B28" s="55" t="s">
        <v>44</v>
      </c>
      <c r="C28" s="53">
        <v>1.04</v>
      </c>
      <c r="D28" s="50" t="s">
        <v>15</v>
      </c>
      <c r="E28" s="18">
        <f t="shared" si="0"/>
        <v>4615</v>
      </c>
      <c r="F28" s="18">
        <f t="shared" si="4"/>
        <v>55380</v>
      </c>
    </row>
    <row r="29" spans="1:9" ht="15.75" x14ac:dyDescent="0.25">
      <c r="A29" s="25"/>
      <c r="B29" s="56" t="s">
        <v>46</v>
      </c>
      <c r="C29" s="57">
        <f>C10+C11+C12+C13+C14+C24+C25+C27+C28</f>
        <v>17.299999999999997</v>
      </c>
      <c r="D29" s="50"/>
      <c r="E29" s="18">
        <f t="shared" si="0"/>
        <v>76768.749999999985</v>
      </c>
      <c r="F29" s="18">
        <f>F10+F11+F12+F13+F14+F24+F25+F27+F28</f>
        <v>921225</v>
      </c>
    </row>
    <row r="30" spans="1:9" ht="15.75" x14ac:dyDescent="0.25">
      <c r="A30" s="58"/>
      <c r="B30" s="3"/>
      <c r="C30" s="59"/>
      <c r="D30" s="60"/>
    </row>
    <row r="31" spans="1:9" ht="15.75" x14ac:dyDescent="0.25">
      <c r="A31" s="58"/>
      <c r="B31" s="3"/>
      <c r="C31" s="59"/>
      <c r="D31" s="60"/>
    </row>
    <row r="32" spans="1:9" ht="15.75" x14ac:dyDescent="0.25">
      <c r="A32" s="58"/>
      <c r="B32" s="3"/>
      <c r="C32" s="59"/>
      <c r="D32" s="60"/>
    </row>
    <row r="33" spans="1:5" x14ac:dyDescent="0.2">
      <c r="A33" s="58"/>
      <c r="C33" s="66"/>
      <c r="E33" s="54"/>
    </row>
    <row r="34" spans="1:5" x14ac:dyDescent="0.2">
      <c r="A34" s="58"/>
      <c r="B34" s="2" t="s">
        <v>47</v>
      </c>
      <c r="C34" s="1" t="s">
        <v>58</v>
      </c>
    </row>
    <row r="35" spans="1:5" x14ac:dyDescent="0.2">
      <c r="B35" s="1" t="s">
        <v>48</v>
      </c>
      <c r="D35" s="1" t="s">
        <v>49</v>
      </c>
    </row>
    <row r="37" spans="1:5" x14ac:dyDescent="0.2">
      <c r="B37" s="1" t="s">
        <v>50</v>
      </c>
      <c r="D37" s="1" t="s">
        <v>51</v>
      </c>
    </row>
    <row r="38" spans="1:5" x14ac:dyDescent="0.2">
      <c r="B38" s="1" t="s">
        <v>52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</sheetData>
  <mergeCells count="1">
    <mergeCell ref="A2:D3"/>
  </mergeCells>
  <pageMargins left="0.7" right="0.7" top="0.75" bottom="0.75" header="0.3" footer="0.3"/>
  <pageSetup paperSize="9" orientation="landscape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4484F-D5D4-4C99-827E-C25D75E05CCA}">
  <sheetPr>
    <tabColor theme="6" tint="0.39997558519241921"/>
  </sheetPr>
  <dimension ref="A1:I41"/>
  <sheetViews>
    <sheetView workbookViewId="0">
      <selection activeCell="H7" sqref="H7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302</v>
      </c>
      <c r="C4" s="3"/>
      <c r="D4" s="3"/>
    </row>
    <row r="5" spans="1:6" x14ac:dyDescent="0.2">
      <c r="B5" s="3"/>
      <c r="C5" s="3"/>
      <c r="D5" s="3"/>
      <c r="F5" s="1">
        <v>2591.4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3.18</v>
      </c>
      <c r="D10" s="50" t="s">
        <v>15</v>
      </c>
      <c r="E10" s="18">
        <f>C10*2591.4</f>
        <v>8240.652</v>
      </c>
      <c r="F10" s="18">
        <f>E10*12</f>
        <v>98887.823999999993</v>
      </c>
    </row>
    <row r="11" spans="1:6" ht="15" x14ac:dyDescent="0.25">
      <c r="A11" s="10"/>
      <c r="B11" s="15" t="s">
        <v>76</v>
      </c>
      <c r="C11" s="16">
        <v>0.25</v>
      </c>
      <c r="D11" s="112" t="s">
        <v>20</v>
      </c>
      <c r="E11" s="18">
        <f t="shared" ref="E11:E13" si="0">C11*2591.4</f>
        <v>647.85</v>
      </c>
      <c r="F11" s="18">
        <f>E11*12</f>
        <v>7774.2000000000007</v>
      </c>
    </row>
    <row r="12" spans="1:6" ht="39" x14ac:dyDescent="0.25">
      <c r="A12" s="10" t="s">
        <v>16</v>
      </c>
      <c r="B12" s="15" t="s">
        <v>17</v>
      </c>
      <c r="C12" s="16">
        <v>0.94</v>
      </c>
      <c r="D12" s="50" t="s">
        <v>15</v>
      </c>
      <c r="E12" s="18">
        <f t="shared" si="0"/>
        <v>2435.9160000000002</v>
      </c>
      <c r="F12" s="18">
        <f t="shared" ref="F12:F13" si="1">E12*12</f>
        <v>29230.992000000002</v>
      </c>
    </row>
    <row r="13" spans="1:6" ht="39" x14ac:dyDescent="0.25">
      <c r="A13" s="22" t="s">
        <v>18</v>
      </c>
      <c r="B13" s="15" t="s">
        <v>19</v>
      </c>
      <c r="C13" s="23">
        <v>0.36</v>
      </c>
      <c r="D13" s="112" t="s">
        <v>20</v>
      </c>
      <c r="E13" s="18">
        <f t="shared" si="0"/>
        <v>932.904</v>
      </c>
      <c r="F13" s="18">
        <f t="shared" si="1"/>
        <v>11194.848</v>
      </c>
    </row>
    <row r="14" spans="1:6" ht="15.75" x14ac:dyDescent="0.25">
      <c r="A14" s="25" t="s">
        <v>21</v>
      </c>
      <c r="B14" s="26" t="s">
        <v>22</v>
      </c>
      <c r="C14" s="83">
        <f>C15+C16+C17+C19+C20</f>
        <v>1.0900000000000001</v>
      </c>
      <c r="D14" s="27"/>
      <c r="E14" s="18">
        <f>E15+E16+E17+E19+E20</f>
        <v>2824.6259999999997</v>
      </c>
      <c r="F14" s="18">
        <f>F15+F16+F17+F19+F20</f>
        <v>33895.512000000002</v>
      </c>
    </row>
    <row r="15" spans="1:6" x14ac:dyDescent="0.2">
      <c r="A15" s="28"/>
      <c r="B15" s="29" t="s">
        <v>23</v>
      </c>
      <c r="C15" s="89">
        <v>0.11</v>
      </c>
      <c r="D15" s="95" t="s">
        <v>24</v>
      </c>
      <c r="E15" s="96">
        <f>C15*2591.4</f>
        <v>285.05400000000003</v>
      </c>
      <c r="F15" s="96">
        <f>E15*12</f>
        <v>3420.6480000000001</v>
      </c>
    </row>
    <row r="16" spans="1:6" ht="24" x14ac:dyDescent="0.2">
      <c r="A16" s="28"/>
      <c r="B16" s="29" t="s">
        <v>25</v>
      </c>
      <c r="C16" s="89">
        <v>0.2</v>
      </c>
      <c r="D16" s="97" t="s">
        <v>20</v>
      </c>
      <c r="E16" s="96">
        <f t="shared" ref="E16:E20" si="2">C16*2591.4</f>
        <v>518.28000000000009</v>
      </c>
      <c r="F16" s="96">
        <f t="shared" ref="F16:F17" si="3">E16*12</f>
        <v>6219.3600000000006</v>
      </c>
    </row>
    <row r="17" spans="1:9" x14ac:dyDescent="0.2">
      <c r="A17" s="28"/>
      <c r="B17" s="33" t="s">
        <v>26</v>
      </c>
      <c r="C17" s="89">
        <v>0.72</v>
      </c>
      <c r="D17" s="98"/>
      <c r="E17" s="96">
        <f t="shared" si="2"/>
        <v>1865.808</v>
      </c>
      <c r="F17" s="96">
        <f t="shared" si="3"/>
        <v>22389.696</v>
      </c>
    </row>
    <row r="18" spans="1:9" ht="41.1" customHeight="1" x14ac:dyDescent="0.2">
      <c r="A18" s="25"/>
      <c r="B18" s="35" t="s">
        <v>27</v>
      </c>
      <c r="C18" s="90"/>
      <c r="D18" s="99" t="s">
        <v>28</v>
      </c>
      <c r="E18" s="96">
        <f t="shared" si="2"/>
        <v>0</v>
      </c>
      <c r="F18" s="85"/>
    </row>
    <row r="19" spans="1:9" x14ac:dyDescent="0.2">
      <c r="A19" s="28"/>
      <c r="B19" s="38" t="s">
        <v>53</v>
      </c>
      <c r="C19" s="86">
        <v>0.02</v>
      </c>
      <c r="D19" s="100" t="s">
        <v>30</v>
      </c>
      <c r="E19" s="96">
        <f t="shared" si="2"/>
        <v>51.828000000000003</v>
      </c>
      <c r="F19" s="96">
        <f>E19*12</f>
        <v>621.93600000000004</v>
      </c>
    </row>
    <row r="20" spans="1:9" x14ac:dyDescent="0.2">
      <c r="A20" s="28"/>
      <c r="B20" s="38" t="s">
        <v>54</v>
      </c>
      <c r="C20" s="92">
        <v>0.04</v>
      </c>
      <c r="D20" s="101" t="s">
        <v>29</v>
      </c>
      <c r="E20" s="96">
        <f t="shared" si="2"/>
        <v>103.65600000000001</v>
      </c>
      <c r="F20" s="96">
        <f t="shared" ref="F20" si="4">E20*12</f>
        <v>1243.8720000000001</v>
      </c>
    </row>
    <row r="21" spans="1:9" ht="38.25" x14ac:dyDescent="0.2">
      <c r="A21" s="23" t="s">
        <v>32</v>
      </c>
      <c r="B21" s="43" t="s">
        <v>33</v>
      </c>
      <c r="C21" s="81"/>
      <c r="D21" s="81"/>
      <c r="E21" s="14"/>
      <c r="F21" s="14"/>
      <c r="I21" s="1" t="s">
        <v>56</v>
      </c>
    </row>
    <row r="22" spans="1:9" x14ac:dyDescent="0.2">
      <c r="A22" s="81"/>
      <c r="B22" s="4" t="s">
        <v>34</v>
      </c>
      <c r="C22" s="81"/>
      <c r="D22" s="4"/>
      <c r="E22" s="14"/>
      <c r="F22" s="14"/>
    </row>
    <row r="23" spans="1:9" ht="26.25" x14ac:dyDescent="0.25">
      <c r="A23" s="25"/>
      <c r="B23" s="44" t="s">
        <v>35</v>
      </c>
      <c r="C23" s="83">
        <v>2.85</v>
      </c>
      <c r="D23" s="109" t="s">
        <v>36</v>
      </c>
      <c r="E23" s="18">
        <f>C23*2591.4</f>
        <v>7385.4900000000007</v>
      </c>
      <c r="F23" s="18">
        <f>E23*12</f>
        <v>88625.88</v>
      </c>
    </row>
    <row r="24" spans="1:9" ht="15" x14ac:dyDescent="0.25">
      <c r="A24" s="81"/>
      <c r="B24" s="46" t="s">
        <v>37</v>
      </c>
      <c r="C24" s="81"/>
      <c r="D24" s="81"/>
      <c r="E24" s="18">
        <f t="shared" ref="E24:E30" si="5">C24*2591.4</f>
        <v>0</v>
      </c>
      <c r="F24" s="18"/>
    </row>
    <row r="25" spans="1:9" ht="15" x14ac:dyDescent="0.25">
      <c r="A25" s="82"/>
      <c r="B25" s="47" t="s">
        <v>38</v>
      </c>
      <c r="C25" s="83">
        <v>2.9</v>
      </c>
      <c r="D25" s="109" t="s">
        <v>36</v>
      </c>
      <c r="E25" s="18">
        <f t="shared" si="5"/>
        <v>7515.06</v>
      </c>
      <c r="F25" s="18">
        <f t="shared" ref="F25:F30" si="6">E25*12</f>
        <v>90180.72</v>
      </c>
    </row>
    <row r="26" spans="1:9" ht="51.75" x14ac:dyDescent="0.25">
      <c r="A26" s="24" t="s">
        <v>39</v>
      </c>
      <c r="B26" s="80" t="s">
        <v>57</v>
      </c>
      <c r="C26" s="79">
        <v>0.12</v>
      </c>
      <c r="D26" s="27" t="s">
        <v>72</v>
      </c>
      <c r="E26" s="18">
        <f t="shared" si="5"/>
        <v>310.96800000000002</v>
      </c>
      <c r="F26" s="18">
        <f t="shared" si="6"/>
        <v>3731.616</v>
      </c>
    </row>
    <row r="27" spans="1:9" ht="15" x14ac:dyDescent="0.25">
      <c r="A27" s="25" t="s">
        <v>41</v>
      </c>
      <c r="B27" s="48" t="s">
        <v>73</v>
      </c>
      <c r="C27" s="49">
        <v>3.3</v>
      </c>
      <c r="D27" s="50" t="s">
        <v>30</v>
      </c>
      <c r="E27" s="18">
        <f t="shared" si="5"/>
        <v>8551.619999999999</v>
      </c>
      <c r="F27" s="18">
        <f t="shared" si="6"/>
        <v>102619.43999999999</v>
      </c>
      <c r="G27" s="62"/>
    </row>
    <row r="28" spans="1:9" ht="34.5" x14ac:dyDescent="0.25">
      <c r="A28" s="25"/>
      <c r="B28" s="52" t="s">
        <v>40</v>
      </c>
      <c r="C28" s="53"/>
      <c r="D28" s="50"/>
      <c r="E28" s="18"/>
      <c r="F28" s="18"/>
    </row>
    <row r="29" spans="1:9" ht="15" x14ac:dyDescent="0.25">
      <c r="A29" s="25" t="s">
        <v>42</v>
      </c>
      <c r="B29" s="47" t="s">
        <v>74</v>
      </c>
      <c r="C29" s="53">
        <v>4.75</v>
      </c>
      <c r="D29" s="50" t="s">
        <v>15</v>
      </c>
      <c r="E29" s="18">
        <f t="shared" si="5"/>
        <v>12309.15</v>
      </c>
      <c r="F29" s="18">
        <f t="shared" si="6"/>
        <v>147709.79999999999</v>
      </c>
    </row>
    <row r="30" spans="1:9" ht="15" x14ac:dyDescent="0.25">
      <c r="A30" s="25" t="s">
        <v>43</v>
      </c>
      <c r="B30" s="55" t="s">
        <v>44</v>
      </c>
      <c r="C30" s="53">
        <v>1.26</v>
      </c>
      <c r="D30" s="50" t="s">
        <v>15</v>
      </c>
      <c r="E30" s="18">
        <f t="shared" si="5"/>
        <v>3265.1640000000002</v>
      </c>
      <c r="F30" s="18">
        <f t="shared" si="6"/>
        <v>39181.968000000001</v>
      </c>
    </row>
    <row r="31" spans="1:9" ht="15.75" x14ac:dyDescent="0.25">
      <c r="A31" s="25"/>
      <c r="B31" s="56" t="s">
        <v>46</v>
      </c>
      <c r="C31" s="57">
        <f>C10+C11+C12+C13+C14+C23+C25+C26+C27+C29+C30</f>
        <v>21</v>
      </c>
      <c r="D31" s="50"/>
      <c r="E31" s="18">
        <f>E10+E11+E12+E13+E14+E23+E25+E26+E27+E30+E29</f>
        <v>54419.4</v>
      </c>
      <c r="F31" s="18">
        <f>F10+F11+F12+F13+F14+F23+F25+F26+F27+F29+F30</f>
        <v>653032.79999999993</v>
      </c>
    </row>
    <row r="32" spans="1:9" ht="15.75" x14ac:dyDescent="0.25">
      <c r="A32" s="58"/>
      <c r="B32" s="3"/>
      <c r="C32" s="59"/>
      <c r="D32" s="60"/>
    </row>
    <row r="33" spans="1:5" x14ac:dyDescent="0.2">
      <c r="A33" s="58"/>
      <c r="C33" s="66"/>
      <c r="E33" s="54"/>
    </row>
    <row r="34" spans="1:5" x14ac:dyDescent="0.2">
      <c r="A34" s="58"/>
      <c r="B34" s="2" t="s">
        <v>47</v>
      </c>
      <c r="C34" s="1" t="s">
        <v>58</v>
      </c>
    </row>
    <row r="35" spans="1:5" x14ac:dyDescent="0.2">
      <c r="B35" s="1" t="s">
        <v>48</v>
      </c>
      <c r="D35" s="1" t="s">
        <v>49</v>
      </c>
    </row>
    <row r="37" spans="1:5" x14ac:dyDescent="0.2">
      <c r="B37" s="1" t="s">
        <v>50</v>
      </c>
      <c r="D37" s="1" t="s">
        <v>51</v>
      </c>
    </row>
    <row r="38" spans="1:5" x14ac:dyDescent="0.2">
      <c r="B38" s="1" t="s">
        <v>52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B2EE8-C4D3-491E-8BFC-A1443359D1CB}">
  <sheetPr>
    <tabColor rgb="FF92D050"/>
  </sheetPr>
  <dimension ref="A1:I42"/>
  <sheetViews>
    <sheetView workbookViewId="0">
      <selection activeCell="I10" sqref="I10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304</v>
      </c>
      <c r="C4" s="3"/>
      <c r="D4" s="3"/>
    </row>
    <row r="5" spans="1:6" x14ac:dyDescent="0.2">
      <c r="B5" s="3"/>
      <c r="C5" s="3"/>
      <c r="D5" s="3"/>
      <c r="F5" s="1">
        <v>2635.58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2.7</v>
      </c>
      <c r="D10" s="50" t="s">
        <v>15</v>
      </c>
      <c r="E10" s="18">
        <f>C10*2635.58</f>
        <v>7116.0660000000007</v>
      </c>
      <c r="F10" s="18">
        <f>E10*12</f>
        <v>85392.792000000016</v>
      </c>
    </row>
    <row r="11" spans="1:6" ht="15" x14ac:dyDescent="0.25">
      <c r="A11" s="10"/>
      <c r="B11" s="15" t="s">
        <v>76</v>
      </c>
      <c r="C11" s="16">
        <v>0.3</v>
      </c>
      <c r="D11" s="112" t="s">
        <v>20</v>
      </c>
      <c r="E11" s="18">
        <f t="shared" ref="E11:E32" si="0">C11*2635.58</f>
        <v>790.67399999999998</v>
      </c>
      <c r="F11" s="18">
        <f>E11*12</f>
        <v>9488.0879999999997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2372.0219999999999</v>
      </c>
      <c r="F12" s="18">
        <f t="shared" ref="F12:F13" si="1">E12*12</f>
        <v>28464.263999999999</v>
      </c>
    </row>
    <row r="13" spans="1:6" ht="39" x14ac:dyDescent="0.25">
      <c r="A13" s="22" t="s">
        <v>18</v>
      </c>
      <c r="B13" s="15" t="s">
        <v>19</v>
      </c>
      <c r="C13" s="23">
        <v>0.14000000000000001</v>
      </c>
      <c r="D13" s="112" t="s">
        <v>20</v>
      </c>
      <c r="E13" s="18">
        <f t="shared" si="0"/>
        <v>368.9812</v>
      </c>
      <c r="F13" s="18">
        <f t="shared" si="1"/>
        <v>4427.7744000000002</v>
      </c>
    </row>
    <row r="14" spans="1:6" ht="15.75" x14ac:dyDescent="0.25">
      <c r="A14" s="25" t="s">
        <v>21</v>
      </c>
      <c r="B14" s="26" t="s">
        <v>22</v>
      </c>
      <c r="C14" s="83">
        <f>C15+C16+C17+C19+C20</f>
        <v>1.32</v>
      </c>
      <c r="D14" s="27"/>
      <c r="E14" s="18">
        <f t="shared" si="0"/>
        <v>3478.9656</v>
      </c>
      <c r="F14" s="18">
        <f>F15+F16+F17+F19+F20</f>
        <v>41747.587199999994</v>
      </c>
    </row>
    <row r="15" spans="1:6" ht="15" x14ac:dyDescent="0.25">
      <c r="A15" s="28"/>
      <c r="B15" s="29" t="s">
        <v>23</v>
      </c>
      <c r="C15" s="89">
        <v>0.08</v>
      </c>
      <c r="D15" s="95" t="s">
        <v>24</v>
      </c>
      <c r="E15" s="18">
        <f t="shared" si="0"/>
        <v>210.84639999999999</v>
      </c>
      <c r="F15" s="96">
        <f>E15*12</f>
        <v>2530.1567999999997</v>
      </c>
    </row>
    <row r="16" spans="1:6" ht="24.75" x14ac:dyDescent="0.25">
      <c r="A16" s="28"/>
      <c r="B16" s="29" t="s">
        <v>25</v>
      </c>
      <c r="C16" s="89">
        <v>0.25</v>
      </c>
      <c r="D16" s="97" t="s">
        <v>20</v>
      </c>
      <c r="E16" s="18">
        <f t="shared" si="0"/>
        <v>658.89499999999998</v>
      </c>
      <c r="F16" s="96">
        <f t="shared" ref="F16:F17" si="2">E16*12</f>
        <v>7906.74</v>
      </c>
    </row>
    <row r="17" spans="1:9" ht="15" x14ac:dyDescent="0.25">
      <c r="A17" s="28"/>
      <c r="B17" s="33" t="s">
        <v>26</v>
      </c>
      <c r="C17" s="89">
        <v>0.9</v>
      </c>
      <c r="D17" s="98"/>
      <c r="E17" s="18">
        <f t="shared" si="0"/>
        <v>2372.0219999999999</v>
      </c>
      <c r="F17" s="96">
        <f t="shared" si="2"/>
        <v>28464.263999999999</v>
      </c>
    </row>
    <row r="18" spans="1:9" ht="41.1" customHeight="1" x14ac:dyDescent="0.25">
      <c r="A18" s="25"/>
      <c r="B18" s="35" t="s">
        <v>27</v>
      </c>
      <c r="C18" s="90"/>
      <c r="D18" s="99" t="s">
        <v>28</v>
      </c>
      <c r="E18" s="18">
        <f t="shared" si="0"/>
        <v>0</v>
      </c>
      <c r="F18" s="85"/>
    </row>
    <row r="19" spans="1:9" ht="15" x14ac:dyDescent="0.25">
      <c r="A19" s="28"/>
      <c r="B19" s="38" t="s">
        <v>53</v>
      </c>
      <c r="C19" s="86">
        <v>0.02</v>
      </c>
      <c r="D19" s="100" t="s">
        <v>30</v>
      </c>
      <c r="E19" s="18">
        <f t="shared" si="0"/>
        <v>52.711599999999997</v>
      </c>
      <c r="F19" s="96">
        <f>E19*12</f>
        <v>632.53919999999994</v>
      </c>
    </row>
    <row r="20" spans="1:9" ht="15" x14ac:dyDescent="0.25">
      <c r="A20" s="28"/>
      <c r="B20" s="38" t="s">
        <v>54</v>
      </c>
      <c r="C20" s="92">
        <v>7.0000000000000007E-2</v>
      </c>
      <c r="D20" s="101" t="s">
        <v>29</v>
      </c>
      <c r="E20" s="18">
        <f t="shared" si="0"/>
        <v>184.4906</v>
      </c>
      <c r="F20" s="96">
        <f t="shared" ref="F20" si="3">E20*12</f>
        <v>2213.8872000000001</v>
      </c>
    </row>
    <row r="21" spans="1:9" ht="39" x14ac:dyDescent="0.25">
      <c r="A21" s="23" t="s">
        <v>32</v>
      </c>
      <c r="B21" s="43" t="s">
        <v>33</v>
      </c>
      <c r="C21" s="81"/>
      <c r="D21" s="81"/>
      <c r="E21" s="18">
        <f t="shared" si="0"/>
        <v>0</v>
      </c>
      <c r="F21" s="14"/>
      <c r="I21" s="1" t="s">
        <v>56</v>
      </c>
    </row>
    <row r="22" spans="1:9" ht="15" x14ac:dyDescent="0.25">
      <c r="A22" s="81"/>
      <c r="B22" s="4" t="s">
        <v>34</v>
      </c>
      <c r="C22" s="81"/>
      <c r="D22" s="4"/>
      <c r="E22" s="18">
        <f t="shared" si="0"/>
        <v>0</v>
      </c>
      <c r="F22" s="14"/>
    </row>
    <row r="23" spans="1:9" ht="26.25" x14ac:dyDescent="0.25">
      <c r="A23" s="25"/>
      <c r="B23" s="44" t="s">
        <v>35</v>
      </c>
      <c r="C23" s="83">
        <v>2.8</v>
      </c>
      <c r="D23" s="109" t="s">
        <v>36</v>
      </c>
      <c r="E23" s="18">
        <f t="shared" si="0"/>
        <v>7379.6239999999989</v>
      </c>
      <c r="F23" s="18">
        <f>E23*12</f>
        <v>88555.487999999983</v>
      </c>
    </row>
    <row r="24" spans="1:9" ht="15" x14ac:dyDescent="0.25">
      <c r="A24" s="81"/>
      <c r="B24" s="46" t="s">
        <v>37</v>
      </c>
      <c r="C24" s="81"/>
      <c r="D24" s="81"/>
      <c r="E24" s="18">
        <f t="shared" si="0"/>
        <v>0</v>
      </c>
      <c r="F24" s="18"/>
    </row>
    <row r="25" spans="1:9" ht="15" x14ac:dyDescent="0.25">
      <c r="A25" s="82"/>
      <c r="B25" s="47" t="s">
        <v>38</v>
      </c>
      <c r="C25" s="83">
        <v>2.85</v>
      </c>
      <c r="D25" s="109" t="s">
        <v>36</v>
      </c>
      <c r="E25" s="18">
        <f t="shared" si="0"/>
        <v>7511.4030000000002</v>
      </c>
      <c r="F25" s="18">
        <f t="shared" ref="F25:F31" si="4">E25*12</f>
        <v>90136.83600000001</v>
      </c>
    </row>
    <row r="26" spans="1:9" ht="15" x14ac:dyDescent="0.25">
      <c r="A26" s="82"/>
      <c r="B26" s="47" t="s">
        <v>77</v>
      </c>
      <c r="C26" s="83">
        <v>2.75</v>
      </c>
      <c r="D26" s="109" t="s">
        <v>36</v>
      </c>
      <c r="E26" s="18">
        <f t="shared" si="0"/>
        <v>7247.8449999999993</v>
      </c>
      <c r="F26" s="18">
        <f t="shared" si="4"/>
        <v>86974.139999999985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316.26959999999997</v>
      </c>
      <c r="F27" s="18">
        <f t="shared" si="4"/>
        <v>3795.2351999999996</v>
      </c>
    </row>
    <row r="28" spans="1:9" ht="15" x14ac:dyDescent="0.25">
      <c r="A28" s="25" t="s">
        <v>41</v>
      </c>
      <c r="B28" s="48" t="s">
        <v>73</v>
      </c>
      <c r="C28" s="49">
        <v>2.54</v>
      </c>
      <c r="D28" s="50" t="s">
        <v>30</v>
      </c>
      <c r="E28" s="18">
        <f t="shared" si="0"/>
        <v>6694.3732</v>
      </c>
      <c r="F28" s="18">
        <f t="shared" si="4"/>
        <v>80332.478399999993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18"/>
    </row>
    <row r="30" spans="1:9" ht="15" x14ac:dyDescent="0.25">
      <c r="A30" s="25" t="s">
        <v>42</v>
      </c>
      <c r="B30" s="47" t="s">
        <v>74</v>
      </c>
      <c r="C30" s="53">
        <v>4.55</v>
      </c>
      <c r="D30" s="50" t="s">
        <v>15</v>
      </c>
      <c r="E30" s="18">
        <f t="shared" si="0"/>
        <v>11991.888999999999</v>
      </c>
      <c r="F30" s="18">
        <f t="shared" si="4"/>
        <v>143902.66800000001</v>
      </c>
    </row>
    <row r="31" spans="1:9" ht="15" x14ac:dyDescent="0.25">
      <c r="A31" s="25" t="s">
        <v>43</v>
      </c>
      <c r="B31" s="55" t="s">
        <v>44</v>
      </c>
      <c r="C31" s="53">
        <v>1.33</v>
      </c>
      <c r="D31" s="50" t="s">
        <v>15</v>
      </c>
      <c r="E31" s="18">
        <f t="shared" si="0"/>
        <v>3505.3214000000003</v>
      </c>
      <c r="F31" s="18">
        <f t="shared" si="4"/>
        <v>42063.856800000001</v>
      </c>
    </row>
    <row r="32" spans="1:9" ht="15.75" x14ac:dyDescent="0.25">
      <c r="A32" s="25"/>
      <c r="B32" s="56" t="s">
        <v>46</v>
      </c>
      <c r="C32" s="57">
        <f>C10+C11+C12+C13+C14+C23+C25+C26+C27+C28+C30+C31</f>
        <v>22.299999999999997</v>
      </c>
      <c r="D32" s="50"/>
      <c r="E32" s="18">
        <f t="shared" si="0"/>
        <v>58773.433999999994</v>
      </c>
      <c r="F32" s="18">
        <f>F10+F11+F12+F13+F14+F23+F25+F26+F27+F28+F30+F31</f>
        <v>705281.20799999987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8259A-A7E5-4518-B98A-5A54A09383E6}">
  <sheetPr>
    <tabColor theme="6" tint="0.39997558519241921"/>
  </sheetPr>
  <dimension ref="A1:I41"/>
  <sheetViews>
    <sheetView workbookViewId="0">
      <selection activeCell="H8" sqref="H8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303</v>
      </c>
      <c r="C4" s="3"/>
      <c r="D4" s="3"/>
    </row>
    <row r="5" spans="1:6" x14ac:dyDescent="0.2">
      <c r="B5" s="3"/>
      <c r="C5" s="3"/>
      <c r="D5" s="3"/>
      <c r="F5" s="1">
        <v>4539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3.24</v>
      </c>
      <c r="D10" s="50" t="s">
        <v>15</v>
      </c>
      <c r="E10" s="18">
        <f>C10*4539</f>
        <v>14706.36</v>
      </c>
      <c r="F10" s="18">
        <f>E10*12</f>
        <v>176476.32</v>
      </c>
    </row>
    <row r="11" spans="1:6" ht="15" x14ac:dyDescent="0.25">
      <c r="A11" s="10"/>
      <c r="B11" s="15" t="s">
        <v>76</v>
      </c>
      <c r="C11" s="16">
        <v>0.23</v>
      </c>
      <c r="D11" s="32" t="s">
        <v>20</v>
      </c>
      <c r="E11" s="18">
        <f t="shared" ref="E11:E29" si="0">C11*4539</f>
        <v>1043.97</v>
      </c>
      <c r="F11" s="18">
        <f>E11*12</f>
        <v>12527.64</v>
      </c>
    </row>
    <row r="12" spans="1:6" ht="39" x14ac:dyDescent="0.25">
      <c r="A12" s="10" t="s">
        <v>16</v>
      </c>
      <c r="B12" s="15" t="s">
        <v>17</v>
      </c>
      <c r="C12" s="16">
        <v>0.8</v>
      </c>
      <c r="D12" s="50" t="s">
        <v>15</v>
      </c>
      <c r="E12" s="18">
        <f t="shared" si="0"/>
        <v>3631.2000000000003</v>
      </c>
      <c r="F12" s="18">
        <f t="shared" ref="F12:F13" si="1">E12*12</f>
        <v>43574.400000000001</v>
      </c>
    </row>
    <row r="13" spans="1:6" ht="39" x14ac:dyDescent="0.25">
      <c r="A13" s="22" t="s">
        <v>18</v>
      </c>
      <c r="B13" s="15" t="s">
        <v>19</v>
      </c>
      <c r="C13" s="23">
        <v>0.34</v>
      </c>
      <c r="D13" s="32" t="s">
        <v>20</v>
      </c>
      <c r="E13" s="18">
        <f t="shared" si="0"/>
        <v>1543.2600000000002</v>
      </c>
      <c r="F13" s="18">
        <f t="shared" si="1"/>
        <v>18519.120000000003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1.2500000000000002</v>
      </c>
      <c r="D14" s="27"/>
      <c r="E14" s="18">
        <f t="shared" si="0"/>
        <v>5673.7500000000009</v>
      </c>
      <c r="F14" s="18">
        <f>F15+F16+F17+F19+F21+F20</f>
        <v>68085</v>
      </c>
    </row>
    <row r="15" spans="1:6" ht="15" x14ac:dyDescent="0.25">
      <c r="A15" s="28"/>
      <c r="B15" s="29" t="s">
        <v>23</v>
      </c>
      <c r="C15" s="30">
        <v>7.0000000000000007E-2</v>
      </c>
      <c r="D15" s="31" t="s">
        <v>24</v>
      </c>
      <c r="E15" s="18">
        <f t="shared" si="0"/>
        <v>317.73</v>
      </c>
      <c r="F15" s="20">
        <f>E15*12</f>
        <v>3812.76</v>
      </c>
    </row>
    <row r="16" spans="1:6" ht="24.75" x14ac:dyDescent="0.25">
      <c r="A16" s="28"/>
      <c r="B16" s="29" t="s">
        <v>25</v>
      </c>
      <c r="C16" s="30">
        <v>0.26</v>
      </c>
      <c r="D16" s="32" t="s">
        <v>20</v>
      </c>
      <c r="E16" s="18">
        <f t="shared" si="0"/>
        <v>1180.1400000000001</v>
      </c>
      <c r="F16" s="20">
        <f t="shared" ref="F16:F21" si="2">E16*12</f>
        <v>14161.68</v>
      </c>
    </row>
    <row r="17" spans="1:9" ht="15" x14ac:dyDescent="0.25">
      <c r="A17" s="28"/>
      <c r="B17" s="33" t="s">
        <v>26</v>
      </c>
      <c r="C17" s="30">
        <v>0.8</v>
      </c>
      <c r="D17" s="34"/>
      <c r="E17" s="18">
        <f t="shared" si="0"/>
        <v>3631.2000000000003</v>
      </c>
      <c r="F17" s="20">
        <f t="shared" si="2"/>
        <v>43574.400000000001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0.02</v>
      </c>
      <c r="D19" s="40" t="s">
        <v>30</v>
      </c>
      <c r="E19" s="18">
        <f t="shared" si="0"/>
        <v>90.78</v>
      </c>
      <c r="F19" s="20">
        <f>E19*12</f>
        <v>1089.3600000000001</v>
      </c>
    </row>
    <row r="20" spans="1:9" ht="15" x14ac:dyDescent="0.25">
      <c r="A20" s="28"/>
      <c r="B20" s="38" t="s">
        <v>54</v>
      </c>
      <c r="C20" s="41">
        <v>0.08</v>
      </c>
      <c r="D20" s="42" t="s">
        <v>29</v>
      </c>
      <c r="E20" s="18">
        <f t="shared" si="0"/>
        <v>363.12</v>
      </c>
      <c r="F20" s="20">
        <f t="shared" ref="F20" si="3">E20*12</f>
        <v>4357.4400000000005</v>
      </c>
    </row>
    <row r="21" spans="1:9" ht="24.75" x14ac:dyDescent="0.25">
      <c r="A21" s="19"/>
      <c r="B21" s="38" t="s">
        <v>55</v>
      </c>
      <c r="C21" s="41">
        <v>0.02</v>
      </c>
      <c r="D21" s="108" t="s">
        <v>59</v>
      </c>
      <c r="E21" s="18">
        <f t="shared" si="0"/>
        <v>90.78</v>
      </c>
      <c r="F21" s="20">
        <f t="shared" si="2"/>
        <v>1089.3600000000001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2.85</v>
      </c>
      <c r="D24" s="109" t="s">
        <v>36</v>
      </c>
      <c r="E24" s="18">
        <f t="shared" si="0"/>
        <v>12936.15</v>
      </c>
      <c r="F24" s="18">
        <f>E24*12</f>
        <v>155233.79999999999</v>
      </c>
    </row>
    <row r="25" spans="1:9" ht="15" x14ac:dyDescent="0.25">
      <c r="A25" s="25" t="s">
        <v>39</v>
      </c>
      <c r="B25" s="48" t="s">
        <v>73</v>
      </c>
      <c r="C25" s="49">
        <v>3</v>
      </c>
      <c r="D25" s="50" t="s">
        <v>30</v>
      </c>
      <c r="E25" s="18">
        <f t="shared" si="0"/>
        <v>13617</v>
      </c>
      <c r="F25" s="18">
        <f t="shared" ref="F25:F28" si="4">E25*12</f>
        <v>163404</v>
      </c>
      <c r="G25" s="62"/>
    </row>
    <row r="26" spans="1:9" ht="34.5" x14ac:dyDescent="0.25">
      <c r="A26" s="25"/>
      <c r="B26" s="52" t="s">
        <v>40</v>
      </c>
      <c r="C26" s="53"/>
      <c r="D26" s="50"/>
      <c r="E26" s="18">
        <f t="shared" si="0"/>
        <v>0</v>
      </c>
      <c r="F26" s="18"/>
    </row>
    <row r="27" spans="1:9" ht="15" x14ac:dyDescent="0.25">
      <c r="A27" s="25" t="s">
        <v>41</v>
      </c>
      <c r="B27" s="47" t="s">
        <v>74</v>
      </c>
      <c r="C27" s="53">
        <v>4.55</v>
      </c>
      <c r="D27" s="50" t="s">
        <v>15</v>
      </c>
      <c r="E27" s="18">
        <f t="shared" si="0"/>
        <v>20652.45</v>
      </c>
      <c r="F27" s="18">
        <f t="shared" si="4"/>
        <v>247829.40000000002</v>
      </c>
    </row>
    <row r="28" spans="1:9" ht="15" x14ac:dyDescent="0.25">
      <c r="A28" s="25" t="s">
        <v>42</v>
      </c>
      <c r="B28" s="55" t="s">
        <v>44</v>
      </c>
      <c r="C28" s="53">
        <v>1.04</v>
      </c>
      <c r="D28" s="50" t="s">
        <v>15</v>
      </c>
      <c r="E28" s="18">
        <f t="shared" si="0"/>
        <v>4720.5600000000004</v>
      </c>
      <c r="F28" s="18">
        <f t="shared" si="4"/>
        <v>56646.720000000001</v>
      </c>
    </row>
    <row r="29" spans="1:9" ht="15.75" x14ac:dyDescent="0.25">
      <c r="A29" s="25"/>
      <c r="B29" s="56" t="s">
        <v>46</v>
      </c>
      <c r="C29" s="57">
        <f>C10+C11+C12+C13+C14+C24+C25+C27+C28</f>
        <v>17.3</v>
      </c>
      <c r="D29" s="50"/>
      <c r="E29" s="18">
        <f t="shared" si="0"/>
        <v>78524.7</v>
      </c>
      <c r="F29" s="18">
        <f>F10+F11+F12+F13+F14+F24+F25+F27+F28</f>
        <v>942296.4</v>
      </c>
    </row>
    <row r="30" spans="1:9" ht="15.75" x14ac:dyDescent="0.25">
      <c r="A30" s="58"/>
      <c r="B30" s="3"/>
      <c r="C30" s="59"/>
      <c r="D30" s="60"/>
    </row>
    <row r="31" spans="1:9" ht="15.75" x14ac:dyDescent="0.25">
      <c r="A31" s="58"/>
      <c r="B31" s="3"/>
      <c r="C31" s="59"/>
      <c r="D31" s="60"/>
    </row>
    <row r="32" spans="1:9" ht="15.75" x14ac:dyDescent="0.25">
      <c r="A32" s="58"/>
      <c r="B32" s="3"/>
      <c r="C32" s="59"/>
      <c r="D32" s="60"/>
    </row>
    <row r="33" spans="1:5" x14ac:dyDescent="0.2">
      <c r="A33" s="58"/>
      <c r="C33" s="66"/>
      <c r="E33" s="54"/>
    </row>
    <row r="34" spans="1:5" x14ac:dyDescent="0.2">
      <c r="A34" s="58"/>
      <c r="B34" s="2" t="s">
        <v>47</v>
      </c>
      <c r="C34" s="1" t="s">
        <v>58</v>
      </c>
    </row>
    <row r="35" spans="1:5" x14ac:dyDescent="0.2">
      <c r="B35" s="1" t="s">
        <v>48</v>
      </c>
      <c r="D35" s="1" t="s">
        <v>49</v>
      </c>
    </row>
    <row r="37" spans="1:5" x14ac:dyDescent="0.2">
      <c r="B37" s="1" t="s">
        <v>50</v>
      </c>
      <c r="D37" s="1" t="s">
        <v>51</v>
      </c>
    </row>
    <row r="38" spans="1:5" x14ac:dyDescent="0.2">
      <c r="B38" s="1" t="s">
        <v>52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366E1-C201-4805-B363-7E2476836728}">
  <sheetPr>
    <tabColor theme="6" tint="0.39997558519241921"/>
  </sheetPr>
  <dimension ref="A1:I41"/>
  <sheetViews>
    <sheetView workbookViewId="0">
      <selection activeCell="H10" sqref="H10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305</v>
      </c>
      <c r="C4" s="3"/>
      <c r="D4" s="3"/>
    </row>
    <row r="5" spans="1:6" x14ac:dyDescent="0.2">
      <c r="B5" s="3"/>
      <c r="C5" s="3"/>
      <c r="D5" s="3"/>
      <c r="F5" s="1">
        <v>2979.39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3"/>
      <c r="E9" s="14"/>
      <c r="F9" s="14"/>
    </row>
    <row r="10" spans="1:6" ht="39" x14ac:dyDescent="0.25">
      <c r="A10" s="10"/>
      <c r="B10" s="15" t="s">
        <v>14</v>
      </c>
      <c r="C10" s="16">
        <v>3.2</v>
      </c>
      <c r="D10" s="110" t="s">
        <v>15</v>
      </c>
      <c r="E10" s="18">
        <f>C10*2979.39</f>
        <v>9534.0480000000007</v>
      </c>
      <c r="F10" s="18">
        <f>E10*12</f>
        <v>114408.576</v>
      </c>
    </row>
    <row r="11" spans="1:6" ht="15" x14ac:dyDescent="0.25">
      <c r="A11" s="10"/>
      <c r="B11" s="15" t="s">
        <v>76</v>
      </c>
      <c r="C11" s="16">
        <v>0.25</v>
      </c>
      <c r="D11" s="32" t="s">
        <v>20</v>
      </c>
      <c r="E11" s="18">
        <f t="shared" ref="E11:E29" si="0">C11*2979.39</f>
        <v>744.84749999999997</v>
      </c>
      <c r="F11" s="18">
        <f>E11*12</f>
        <v>8938.17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110" t="s">
        <v>15</v>
      </c>
      <c r="E12" s="18">
        <f t="shared" si="0"/>
        <v>2681.451</v>
      </c>
      <c r="F12" s="18">
        <f t="shared" ref="F12:F13" si="1">E12*12</f>
        <v>32177.412</v>
      </c>
    </row>
    <row r="13" spans="1:6" ht="39" x14ac:dyDescent="0.25">
      <c r="A13" s="22" t="s">
        <v>18</v>
      </c>
      <c r="B13" s="15" t="s">
        <v>19</v>
      </c>
      <c r="C13" s="23">
        <v>0.38</v>
      </c>
      <c r="D13" s="32" t="s">
        <v>20</v>
      </c>
      <c r="E13" s="18">
        <f t="shared" si="0"/>
        <v>1132.1682000000001</v>
      </c>
      <c r="F13" s="18">
        <f t="shared" si="1"/>
        <v>13586.018400000001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1.2800000000000002</v>
      </c>
      <c r="D14" s="27"/>
      <c r="E14" s="18">
        <f t="shared" si="0"/>
        <v>3813.6192000000005</v>
      </c>
      <c r="F14" s="18">
        <f>F15+F16+F17+F19+F21+F20</f>
        <v>45763.430399999997</v>
      </c>
    </row>
    <row r="15" spans="1:6" ht="15" x14ac:dyDescent="0.25">
      <c r="A15" s="28"/>
      <c r="B15" s="29" t="s">
        <v>23</v>
      </c>
      <c r="C15" s="30">
        <v>0.09</v>
      </c>
      <c r="D15" s="31" t="s">
        <v>24</v>
      </c>
      <c r="E15" s="18">
        <f t="shared" si="0"/>
        <v>268.14509999999996</v>
      </c>
      <c r="F15" s="20">
        <f>E15*12</f>
        <v>3217.7411999999995</v>
      </c>
    </row>
    <row r="16" spans="1:6" ht="24.75" x14ac:dyDescent="0.25">
      <c r="A16" s="28"/>
      <c r="B16" s="29" t="s">
        <v>25</v>
      </c>
      <c r="C16" s="30">
        <v>0.27</v>
      </c>
      <c r="D16" s="32" t="s">
        <v>20</v>
      </c>
      <c r="E16" s="18">
        <f t="shared" si="0"/>
        <v>804.43529999999998</v>
      </c>
      <c r="F16" s="20">
        <f t="shared" ref="F16:F21" si="2">E16*12</f>
        <v>9653.2235999999994</v>
      </c>
    </row>
    <row r="17" spans="1:9" ht="15" x14ac:dyDescent="0.25">
      <c r="A17" s="28"/>
      <c r="B17" s="33" t="s">
        <v>26</v>
      </c>
      <c r="C17" s="30">
        <v>0.8</v>
      </c>
      <c r="D17" s="34"/>
      <c r="E17" s="18">
        <f t="shared" si="0"/>
        <v>2383.5120000000002</v>
      </c>
      <c r="F17" s="20">
        <f t="shared" si="2"/>
        <v>28602.144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0.02</v>
      </c>
      <c r="D19" s="40" t="s">
        <v>30</v>
      </c>
      <c r="E19" s="18">
        <f t="shared" si="0"/>
        <v>59.587800000000001</v>
      </c>
      <c r="F19" s="20">
        <f>E19*12</f>
        <v>715.05359999999996</v>
      </c>
    </row>
    <row r="20" spans="1:9" ht="15" x14ac:dyDescent="0.25">
      <c r="A20" s="28"/>
      <c r="B20" s="38" t="s">
        <v>54</v>
      </c>
      <c r="C20" s="41">
        <v>7.0000000000000007E-2</v>
      </c>
      <c r="D20" s="42" t="s">
        <v>29</v>
      </c>
      <c r="E20" s="18">
        <f t="shared" si="0"/>
        <v>208.5573</v>
      </c>
      <c r="F20" s="20">
        <f t="shared" ref="F20" si="3">E20*12</f>
        <v>2502.6876000000002</v>
      </c>
    </row>
    <row r="21" spans="1:9" ht="24.75" x14ac:dyDescent="0.25">
      <c r="A21" s="19"/>
      <c r="B21" s="38" t="s">
        <v>55</v>
      </c>
      <c r="C21" s="41">
        <v>0.03</v>
      </c>
      <c r="D21" s="108" t="s">
        <v>59</v>
      </c>
      <c r="E21" s="18">
        <f t="shared" si="0"/>
        <v>89.381699999999995</v>
      </c>
      <c r="F21" s="20">
        <f t="shared" si="2"/>
        <v>1072.5803999999998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3.25</v>
      </c>
      <c r="D24" s="109" t="s">
        <v>36</v>
      </c>
      <c r="E24" s="18">
        <f t="shared" si="0"/>
        <v>9683.0174999999999</v>
      </c>
      <c r="F24" s="18">
        <f>E24*12</f>
        <v>116196.20999999999</v>
      </c>
    </row>
    <row r="25" spans="1:9" ht="15" x14ac:dyDescent="0.25">
      <c r="A25" s="25" t="s">
        <v>39</v>
      </c>
      <c r="B25" s="48" t="s">
        <v>73</v>
      </c>
      <c r="C25" s="49">
        <v>2.9</v>
      </c>
      <c r="D25" s="50" t="s">
        <v>30</v>
      </c>
      <c r="E25" s="18">
        <f t="shared" si="0"/>
        <v>8640.2309999999998</v>
      </c>
      <c r="F25" s="18">
        <f t="shared" ref="F25:F28" si="4">E25*12</f>
        <v>103682.772</v>
      </c>
      <c r="G25" s="62"/>
    </row>
    <row r="26" spans="1:9" ht="34.5" x14ac:dyDescent="0.25">
      <c r="A26" s="25"/>
      <c r="B26" s="52" t="s">
        <v>40</v>
      </c>
      <c r="C26" s="53"/>
      <c r="D26" s="50"/>
      <c r="E26" s="18">
        <f t="shared" si="0"/>
        <v>0</v>
      </c>
      <c r="F26" s="18"/>
    </row>
    <row r="27" spans="1:9" ht="15" x14ac:dyDescent="0.25">
      <c r="A27" s="25" t="s">
        <v>41</v>
      </c>
      <c r="B27" s="47" t="s">
        <v>74</v>
      </c>
      <c r="C27" s="53">
        <v>4.0999999999999996</v>
      </c>
      <c r="D27" s="50" t="s">
        <v>15</v>
      </c>
      <c r="E27" s="18">
        <f t="shared" si="0"/>
        <v>12215.498999999998</v>
      </c>
      <c r="F27" s="18">
        <f t="shared" si="4"/>
        <v>146585.98799999998</v>
      </c>
    </row>
    <row r="28" spans="1:9" ht="15" x14ac:dyDescent="0.25">
      <c r="A28" s="25" t="s">
        <v>42</v>
      </c>
      <c r="B28" s="55" t="s">
        <v>44</v>
      </c>
      <c r="C28" s="53">
        <v>1.04</v>
      </c>
      <c r="D28" s="50" t="s">
        <v>15</v>
      </c>
      <c r="E28" s="18">
        <f t="shared" si="0"/>
        <v>3098.5655999999999</v>
      </c>
      <c r="F28" s="18">
        <f t="shared" si="4"/>
        <v>37182.787199999999</v>
      </c>
    </row>
    <row r="29" spans="1:9" ht="15.75" x14ac:dyDescent="0.25">
      <c r="A29" s="25"/>
      <c r="B29" s="56" t="s">
        <v>46</v>
      </c>
      <c r="C29" s="57">
        <f>C10+C11+C12+C13+C14+C24+C25+C27+C28</f>
        <v>17.3</v>
      </c>
      <c r="D29" s="50"/>
      <c r="E29" s="18">
        <f t="shared" si="0"/>
        <v>51543.447</v>
      </c>
      <c r="F29" s="18">
        <f>F10+F11+F12+F13+F14+F24+F25+F27+F28</f>
        <v>618521.36400000006</v>
      </c>
    </row>
    <row r="30" spans="1:9" ht="15.75" x14ac:dyDescent="0.25">
      <c r="A30" s="58"/>
      <c r="B30" s="3"/>
      <c r="C30" s="59"/>
      <c r="D30" s="60"/>
    </row>
    <row r="31" spans="1:9" ht="15.75" x14ac:dyDescent="0.25">
      <c r="A31" s="58"/>
      <c r="B31" s="3"/>
      <c r="C31" s="59"/>
      <c r="D31" s="60"/>
    </row>
    <row r="32" spans="1:9" ht="15.75" x14ac:dyDescent="0.25">
      <c r="A32" s="58"/>
      <c r="B32" s="3"/>
      <c r="C32" s="59"/>
      <c r="D32" s="60"/>
    </row>
    <row r="33" spans="1:5" x14ac:dyDescent="0.2">
      <c r="A33" s="58"/>
      <c r="C33" s="66"/>
      <c r="E33" s="54"/>
    </row>
    <row r="34" spans="1:5" x14ac:dyDescent="0.2">
      <c r="A34" s="58"/>
      <c r="B34" s="2" t="s">
        <v>47</v>
      </c>
      <c r="C34" s="1" t="s">
        <v>58</v>
      </c>
    </row>
    <row r="35" spans="1:5" x14ac:dyDescent="0.2">
      <c r="B35" s="1" t="s">
        <v>48</v>
      </c>
      <c r="D35" s="1" t="s">
        <v>49</v>
      </c>
    </row>
    <row r="37" spans="1:5" x14ac:dyDescent="0.2">
      <c r="B37" s="1" t="s">
        <v>50</v>
      </c>
      <c r="D37" s="1" t="s">
        <v>51</v>
      </c>
    </row>
    <row r="38" spans="1:5" x14ac:dyDescent="0.2">
      <c r="B38" s="1" t="s">
        <v>52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46799-8214-4B09-BCD3-2B87C663A13F}">
  <sheetPr>
    <tabColor theme="6" tint="0.39997558519241921"/>
  </sheetPr>
  <dimension ref="A1:I47"/>
  <sheetViews>
    <sheetView workbookViewId="0">
      <selection activeCell="I10" sqref="I10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306</v>
      </c>
      <c r="C4" s="3"/>
      <c r="D4" s="3"/>
    </row>
    <row r="5" spans="1:6" x14ac:dyDescent="0.2">
      <c r="B5" s="3"/>
      <c r="C5" s="3"/>
      <c r="D5" s="3"/>
      <c r="F5" s="1">
        <v>5044.9399999999996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3"/>
      <c r="E9" s="14"/>
      <c r="F9" s="14"/>
    </row>
    <row r="10" spans="1:6" ht="39" x14ac:dyDescent="0.25">
      <c r="A10" s="10"/>
      <c r="B10" s="15" t="s">
        <v>14</v>
      </c>
      <c r="C10" s="16">
        <v>2.04</v>
      </c>
      <c r="D10" s="110" t="s">
        <v>15</v>
      </c>
      <c r="E10" s="18">
        <f>C10*5044.94</f>
        <v>10291.677599999999</v>
      </c>
      <c r="F10" s="18">
        <f>E10*12</f>
        <v>123500.13119999999</v>
      </c>
    </row>
    <row r="11" spans="1:6" ht="15" x14ac:dyDescent="0.25">
      <c r="A11" s="10"/>
      <c r="B11" s="15" t="s">
        <v>76</v>
      </c>
      <c r="C11" s="16">
        <v>0.16</v>
      </c>
      <c r="D11" s="112" t="s">
        <v>20</v>
      </c>
      <c r="E11" s="18">
        <f t="shared" ref="E11:E32" si="0">C11*5044.94</f>
        <v>807.19039999999995</v>
      </c>
      <c r="F11" s="18">
        <f>E11*12</f>
        <v>9686.2847999999994</v>
      </c>
    </row>
    <row r="12" spans="1:6" ht="39" x14ac:dyDescent="0.25">
      <c r="A12" s="10" t="s">
        <v>16</v>
      </c>
      <c r="B12" s="15" t="s">
        <v>17</v>
      </c>
      <c r="C12" s="16">
        <v>0.6</v>
      </c>
      <c r="D12" s="110" t="s">
        <v>15</v>
      </c>
      <c r="E12" s="18">
        <f t="shared" si="0"/>
        <v>3026.9639999999995</v>
      </c>
      <c r="F12" s="18">
        <f t="shared" ref="F12:F13" si="1">E12*12</f>
        <v>36323.567999999992</v>
      </c>
    </row>
    <row r="13" spans="1:6" ht="39" x14ac:dyDescent="0.25">
      <c r="A13" s="22" t="s">
        <v>18</v>
      </c>
      <c r="B13" s="15" t="s">
        <v>19</v>
      </c>
      <c r="C13" s="23">
        <v>0.1</v>
      </c>
      <c r="D13" s="112" t="s">
        <v>20</v>
      </c>
      <c r="E13" s="18">
        <f t="shared" si="0"/>
        <v>504.49399999999997</v>
      </c>
      <c r="F13" s="18">
        <f t="shared" si="1"/>
        <v>6053.9279999999999</v>
      </c>
    </row>
    <row r="14" spans="1:6" ht="15.75" x14ac:dyDescent="0.25">
      <c r="A14" s="25" t="s">
        <v>21</v>
      </c>
      <c r="B14" s="26" t="s">
        <v>22</v>
      </c>
      <c r="C14" s="83">
        <f>C15+C16+C17+C19+C20</f>
        <v>0.96000000000000008</v>
      </c>
      <c r="D14" s="27"/>
      <c r="E14" s="18">
        <f t="shared" si="0"/>
        <v>4843.1423999999997</v>
      </c>
      <c r="F14" s="18">
        <f>F15+F16+F17+F19+F20</f>
        <v>58117.7088</v>
      </c>
    </row>
    <row r="15" spans="1:6" ht="15" x14ac:dyDescent="0.25">
      <c r="A15" s="28"/>
      <c r="B15" s="29" t="s">
        <v>23</v>
      </c>
      <c r="C15" s="89">
        <v>0.05</v>
      </c>
      <c r="D15" s="95" t="s">
        <v>24</v>
      </c>
      <c r="E15" s="18">
        <f t="shared" si="0"/>
        <v>252.24699999999999</v>
      </c>
      <c r="F15" s="96">
        <f>E15*12</f>
        <v>3026.9639999999999</v>
      </c>
    </row>
    <row r="16" spans="1:6" ht="24.75" x14ac:dyDescent="0.25">
      <c r="A16" s="28"/>
      <c r="B16" s="29" t="s">
        <v>25</v>
      </c>
      <c r="C16" s="89">
        <v>0.2</v>
      </c>
      <c r="D16" s="97" t="s">
        <v>20</v>
      </c>
      <c r="E16" s="18">
        <f t="shared" si="0"/>
        <v>1008.9879999999999</v>
      </c>
      <c r="F16" s="96">
        <f t="shared" ref="F16:F17" si="2">E16*12</f>
        <v>12107.856</v>
      </c>
    </row>
    <row r="17" spans="1:9" ht="15" x14ac:dyDescent="0.25">
      <c r="A17" s="28"/>
      <c r="B17" s="33" t="s">
        <v>26</v>
      </c>
      <c r="C17" s="89">
        <v>0.65</v>
      </c>
      <c r="D17" s="98"/>
      <c r="E17" s="18">
        <f t="shared" si="0"/>
        <v>3279.2109999999998</v>
      </c>
      <c r="F17" s="96">
        <f t="shared" si="2"/>
        <v>39350.531999999999</v>
      </c>
    </row>
    <row r="18" spans="1:9" ht="41.1" customHeight="1" x14ac:dyDescent="0.25">
      <c r="A18" s="25"/>
      <c r="B18" s="35" t="s">
        <v>27</v>
      </c>
      <c r="C18" s="90"/>
      <c r="D18" s="99" t="s">
        <v>28</v>
      </c>
      <c r="E18" s="18">
        <f t="shared" si="0"/>
        <v>0</v>
      </c>
      <c r="F18" s="85"/>
    </row>
    <row r="19" spans="1:9" ht="15" x14ac:dyDescent="0.25">
      <c r="A19" s="28"/>
      <c r="B19" s="38" t="s">
        <v>53</v>
      </c>
      <c r="C19" s="86">
        <v>0.02</v>
      </c>
      <c r="D19" s="100" t="s">
        <v>30</v>
      </c>
      <c r="E19" s="18">
        <f t="shared" si="0"/>
        <v>100.89879999999999</v>
      </c>
      <c r="F19" s="96">
        <f>E19*12</f>
        <v>1210.7855999999999</v>
      </c>
    </row>
    <row r="20" spans="1:9" ht="15" x14ac:dyDescent="0.25">
      <c r="A20" s="28"/>
      <c r="B20" s="38" t="s">
        <v>54</v>
      </c>
      <c r="C20" s="92">
        <v>0.04</v>
      </c>
      <c r="D20" s="101" t="s">
        <v>29</v>
      </c>
      <c r="E20" s="18">
        <f t="shared" si="0"/>
        <v>201.79759999999999</v>
      </c>
      <c r="F20" s="96">
        <f t="shared" ref="F20" si="3">E20*12</f>
        <v>2421.5711999999999</v>
      </c>
    </row>
    <row r="21" spans="1:9" ht="39" x14ac:dyDescent="0.25">
      <c r="A21" s="23" t="s">
        <v>32</v>
      </c>
      <c r="B21" s="43" t="s">
        <v>33</v>
      </c>
      <c r="C21" s="81"/>
      <c r="D21" s="81"/>
      <c r="E21" s="18">
        <f t="shared" si="0"/>
        <v>0</v>
      </c>
      <c r="F21" s="14"/>
      <c r="I21" s="1" t="s">
        <v>56</v>
      </c>
    </row>
    <row r="22" spans="1:9" ht="15" x14ac:dyDescent="0.25">
      <c r="A22" s="81"/>
      <c r="B22" s="4" t="s">
        <v>34</v>
      </c>
      <c r="C22" s="81"/>
      <c r="D22" s="4"/>
      <c r="E22" s="18">
        <f t="shared" si="0"/>
        <v>0</v>
      </c>
      <c r="F22" s="14"/>
    </row>
    <row r="23" spans="1:9" ht="26.25" x14ac:dyDescent="0.25">
      <c r="A23" s="25"/>
      <c r="B23" s="44" t="s">
        <v>35</v>
      </c>
      <c r="C23" s="83">
        <v>1.8</v>
      </c>
      <c r="D23" s="109" t="s">
        <v>36</v>
      </c>
      <c r="E23" s="18">
        <f t="shared" si="0"/>
        <v>9080.8919999999998</v>
      </c>
      <c r="F23" s="84">
        <f>E23*12</f>
        <v>108970.704</v>
      </c>
    </row>
    <row r="24" spans="1:9" ht="15" x14ac:dyDescent="0.25">
      <c r="A24" s="81"/>
      <c r="B24" s="46" t="s">
        <v>37</v>
      </c>
      <c r="C24" s="81"/>
      <c r="D24" s="81"/>
      <c r="E24" s="18">
        <f t="shared" si="0"/>
        <v>0</v>
      </c>
      <c r="F24" s="84"/>
    </row>
    <row r="25" spans="1:9" ht="15" x14ac:dyDescent="0.25">
      <c r="A25" s="82"/>
      <c r="B25" s="47" t="s">
        <v>38</v>
      </c>
      <c r="C25" s="83">
        <v>3.15</v>
      </c>
      <c r="D25" s="109" t="s">
        <v>36</v>
      </c>
      <c r="E25" s="18">
        <f t="shared" si="0"/>
        <v>15891.560999999998</v>
      </c>
      <c r="F25" s="84">
        <f t="shared" ref="F25:F31" si="4">E25*12</f>
        <v>190698.73199999996</v>
      </c>
    </row>
    <row r="26" spans="1:9" ht="15" x14ac:dyDescent="0.25">
      <c r="A26" s="82"/>
      <c r="B26" s="47" t="s">
        <v>77</v>
      </c>
      <c r="C26" s="83">
        <v>3.15</v>
      </c>
      <c r="D26" s="109" t="s">
        <v>36</v>
      </c>
      <c r="E26" s="18">
        <f t="shared" si="0"/>
        <v>15891.560999999998</v>
      </c>
      <c r="F26" s="84">
        <f t="shared" si="4"/>
        <v>190698.73199999996</v>
      </c>
    </row>
    <row r="27" spans="1:9" ht="51.75" x14ac:dyDescent="0.25">
      <c r="A27" s="24" t="s">
        <v>39</v>
      </c>
      <c r="B27" s="80" t="s">
        <v>57</v>
      </c>
      <c r="C27" s="79">
        <v>0.08</v>
      </c>
      <c r="D27" s="27" t="s">
        <v>72</v>
      </c>
      <c r="E27" s="18">
        <f t="shared" si="0"/>
        <v>403.59519999999998</v>
      </c>
      <c r="F27" s="84">
        <f t="shared" si="4"/>
        <v>4843.1423999999997</v>
      </c>
    </row>
    <row r="28" spans="1:9" ht="15" x14ac:dyDescent="0.25">
      <c r="A28" s="25" t="s">
        <v>41</v>
      </c>
      <c r="B28" s="48" t="s">
        <v>73</v>
      </c>
      <c r="C28" s="49">
        <v>2</v>
      </c>
      <c r="D28" s="50" t="s">
        <v>30</v>
      </c>
      <c r="E28" s="18">
        <f t="shared" si="0"/>
        <v>10089.879999999999</v>
      </c>
      <c r="F28" s="84">
        <f t="shared" si="4"/>
        <v>121078.56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84"/>
    </row>
    <row r="30" spans="1:9" ht="15" x14ac:dyDescent="0.25">
      <c r="A30" s="25" t="s">
        <v>42</v>
      </c>
      <c r="B30" s="47" t="s">
        <v>74</v>
      </c>
      <c r="C30" s="53">
        <v>4</v>
      </c>
      <c r="D30" s="50" t="s">
        <v>15</v>
      </c>
      <c r="E30" s="18">
        <f t="shared" si="0"/>
        <v>20179.759999999998</v>
      </c>
      <c r="F30" s="84">
        <f t="shared" si="4"/>
        <v>242157.12</v>
      </c>
    </row>
    <row r="31" spans="1:9" ht="15" x14ac:dyDescent="0.25">
      <c r="A31" s="25" t="s">
        <v>43</v>
      </c>
      <c r="B31" s="55" t="s">
        <v>44</v>
      </c>
      <c r="C31" s="53">
        <v>1.1499999999999999</v>
      </c>
      <c r="D31" s="50" t="s">
        <v>15</v>
      </c>
      <c r="E31" s="18">
        <f t="shared" si="0"/>
        <v>5801.6809999999987</v>
      </c>
      <c r="F31" s="84">
        <f t="shared" si="4"/>
        <v>69620.171999999991</v>
      </c>
    </row>
    <row r="32" spans="1:9" ht="15.75" x14ac:dyDescent="0.25">
      <c r="A32" s="25"/>
      <c r="B32" s="56" t="s">
        <v>46</v>
      </c>
      <c r="C32" s="57">
        <f>C10+C11+C12+C13+C14+C23+C25+C26+C27+C28+C30+C31</f>
        <v>19.189999999999998</v>
      </c>
      <c r="D32" s="50"/>
      <c r="E32" s="18">
        <f t="shared" si="0"/>
        <v>96812.398599999986</v>
      </c>
      <c r="F32" s="84">
        <f>F10+F11+F12+F13+F14+F23+F25+F26+F27+F28+F30+F31</f>
        <v>1161748.7831999997</v>
      </c>
    </row>
    <row r="33" spans="1:6" ht="15.75" x14ac:dyDescent="0.25">
      <c r="A33" s="24"/>
      <c r="B33" s="63"/>
      <c r="C33" s="105"/>
      <c r="D33" s="60"/>
      <c r="E33" s="85"/>
      <c r="F33" s="85"/>
    </row>
    <row r="34" spans="1:6" x14ac:dyDescent="0.2">
      <c r="A34" s="25" t="s">
        <v>45</v>
      </c>
      <c r="B34" s="69" t="s">
        <v>69</v>
      </c>
      <c r="C34" s="73">
        <v>4.99</v>
      </c>
      <c r="D34" s="74"/>
      <c r="E34" s="96"/>
      <c r="F34" s="85"/>
    </row>
    <row r="35" spans="1:6" x14ac:dyDescent="0.2">
      <c r="A35" s="14"/>
      <c r="B35" s="70" t="s">
        <v>60</v>
      </c>
      <c r="C35" s="67">
        <v>3</v>
      </c>
      <c r="D35" s="14"/>
      <c r="E35" s="72">
        <f>4959.94*3</f>
        <v>14879.82</v>
      </c>
      <c r="F35" s="75">
        <f>E35*12</f>
        <v>178557.84</v>
      </c>
    </row>
    <row r="36" spans="1:6" x14ac:dyDescent="0.2">
      <c r="A36" s="14"/>
      <c r="B36" s="70" t="s">
        <v>70</v>
      </c>
      <c r="C36" s="68">
        <v>1.99</v>
      </c>
      <c r="D36" s="14"/>
      <c r="E36" s="76"/>
      <c r="F36" s="14"/>
    </row>
    <row r="37" spans="1:6" ht="15" x14ac:dyDescent="0.25">
      <c r="B37" s="71" t="s">
        <v>67</v>
      </c>
      <c r="C37" s="118">
        <f>C32-C34</f>
        <v>14.199999999999998</v>
      </c>
      <c r="E37" s="107">
        <f>C37*4959.94</f>
        <v>70431.147999999986</v>
      </c>
      <c r="F37" s="106">
        <f>E37*12</f>
        <v>845173.77599999984</v>
      </c>
    </row>
    <row r="38" spans="1:6" ht="15.75" x14ac:dyDescent="0.25">
      <c r="A38" s="58"/>
      <c r="B38" s="3"/>
      <c r="C38" s="59"/>
      <c r="D38" s="60"/>
    </row>
    <row r="39" spans="1:6" x14ac:dyDescent="0.2">
      <c r="A39" s="58"/>
      <c r="C39" s="66"/>
      <c r="E39" s="54"/>
    </row>
    <row r="40" spans="1:6" x14ac:dyDescent="0.2">
      <c r="A40" s="58"/>
      <c r="B40" s="2" t="s">
        <v>47</v>
      </c>
      <c r="C40" s="1" t="s">
        <v>58</v>
      </c>
    </row>
    <row r="41" spans="1:6" x14ac:dyDescent="0.2">
      <c r="B41" s="1" t="s">
        <v>48</v>
      </c>
      <c r="D41" s="1" t="s">
        <v>49</v>
      </c>
    </row>
    <row r="43" spans="1:6" x14ac:dyDescent="0.2">
      <c r="B43" s="1" t="s">
        <v>50</v>
      </c>
      <c r="D43" s="1" t="s">
        <v>51</v>
      </c>
    </row>
    <row r="44" spans="1:6" x14ac:dyDescent="0.2">
      <c r="B44" s="1" t="s">
        <v>52</v>
      </c>
      <c r="D44" s="1" t="s">
        <v>51</v>
      </c>
    </row>
    <row r="45" spans="1:6" x14ac:dyDescent="0.2">
      <c r="B45" s="1" t="s">
        <v>52</v>
      </c>
      <c r="D45" s="1" t="s">
        <v>51</v>
      </c>
    </row>
    <row r="46" spans="1:6" x14ac:dyDescent="0.2">
      <c r="B46" s="1" t="s">
        <v>52</v>
      </c>
      <c r="D46" s="1" t="s">
        <v>51</v>
      </c>
    </row>
    <row r="47" spans="1:6" x14ac:dyDescent="0.2">
      <c r="B47" s="1" t="s">
        <v>52</v>
      </c>
      <c r="D47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898AF-6317-4B71-87FD-BF168B787CC5}">
  <sheetPr>
    <tabColor theme="6" tint="0.39997558519241921"/>
  </sheetPr>
  <dimension ref="A1:I42"/>
  <sheetViews>
    <sheetView workbookViewId="0">
      <selection activeCell="I9" sqref="I9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307</v>
      </c>
      <c r="C4" s="3"/>
      <c r="D4" s="3"/>
    </row>
    <row r="5" spans="1:6" x14ac:dyDescent="0.2">
      <c r="B5" s="3"/>
      <c r="C5" s="3"/>
      <c r="D5" s="3"/>
      <c r="F5" s="1">
        <v>4398.7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3"/>
      <c r="E9" s="14"/>
      <c r="F9" s="14"/>
    </row>
    <row r="10" spans="1:6" ht="39" x14ac:dyDescent="0.25">
      <c r="A10" s="10"/>
      <c r="B10" s="15" t="s">
        <v>14</v>
      </c>
      <c r="C10" s="16">
        <v>2.64</v>
      </c>
      <c r="D10" s="110" t="s">
        <v>15</v>
      </c>
      <c r="E10" s="18">
        <f>C10*4398.7</f>
        <v>11612.567999999999</v>
      </c>
      <c r="F10" s="18">
        <f>E10*12</f>
        <v>139350.81599999999</v>
      </c>
    </row>
    <row r="11" spans="1:6" ht="15" x14ac:dyDescent="0.25">
      <c r="A11" s="10"/>
      <c r="B11" s="15" t="s">
        <v>76</v>
      </c>
      <c r="C11" s="16">
        <v>0.2</v>
      </c>
      <c r="D11" s="112" t="s">
        <v>20</v>
      </c>
      <c r="E11" s="18">
        <f t="shared" ref="E11:E32" si="0">C11*4398.7</f>
        <v>879.74</v>
      </c>
      <c r="F11" s="18">
        <f>E11*12</f>
        <v>10556.880000000001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110" t="s">
        <v>15</v>
      </c>
      <c r="E12" s="18">
        <f t="shared" si="0"/>
        <v>3958.83</v>
      </c>
      <c r="F12" s="18">
        <f t="shared" ref="F12:F13" si="1">E12*12</f>
        <v>47505.96</v>
      </c>
    </row>
    <row r="13" spans="1:6" ht="39" x14ac:dyDescent="0.25">
      <c r="A13" s="22" t="s">
        <v>18</v>
      </c>
      <c r="B13" s="15" t="s">
        <v>19</v>
      </c>
      <c r="C13" s="23">
        <v>0.28000000000000003</v>
      </c>
      <c r="D13" s="112" t="s">
        <v>20</v>
      </c>
      <c r="E13" s="18">
        <f t="shared" si="0"/>
        <v>1231.636</v>
      </c>
      <c r="F13" s="18">
        <f t="shared" si="1"/>
        <v>14779.632</v>
      </c>
    </row>
    <row r="14" spans="1:6" ht="15.75" x14ac:dyDescent="0.25">
      <c r="A14" s="25" t="s">
        <v>21</v>
      </c>
      <c r="B14" s="26" t="s">
        <v>22</v>
      </c>
      <c r="C14" s="83">
        <f>C15+C16+C17+C19+C20</f>
        <v>1.2000000000000002</v>
      </c>
      <c r="D14" s="27"/>
      <c r="E14" s="18">
        <f t="shared" si="0"/>
        <v>5278.4400000000005</v>
      </c>
      <c r="F14" s="18">
        <f>F15+F16+F17+F19+F20</f>
        <v>63341.280000000006</v>
      </c>
    </row>
    <row r="15" spans="1:6" ht="15" x14ac:dyDescent="0.25">
      <c r="A15" s="28"/>
      <c r="B15" s="29" t="s">
        <v>23</v>
      </c>
      <c r="C15" s="89">
        <v>0.08</v>
      </c>
      <c r="D15" s="95" t="s">
        <v>24</v>
      </c>
      <c r="E15" s="18">
        <f t="shared" si="0"/>
        <v>351.89600000000002</v>
      </c>
      <c r="F15" s="96">
        <f>E15*12</f>
        <v>4222.7520000000004</v>
      </c>
    </row>
    <row r="16" spans="1:6" ht="24.75" x14ac:dyDescent="0.25">
      <c r="A16" s="28"/>
      <c r="B16" s="29" t="s">
        <v>25</v>
      </c>
      <c r="C16" s="89">
        <v>0.25</v>
      </c>
      <c r="D16" s="97" t="s">
        <v>20</v>
      </c>
      <c r="E16" s="18">
        <f t="shared" si="0"/>
        <v>1099.675</v>
      </c>
      <c r="F16" s="96">
        <f t="shared" ref="F16:F17" si="2">E16*12</f>
        <v>13196.099999999999</v>
      </c>
    </row>
    <row r="17" spans="1:9" ht="15" x14ac:dyDescent="0.25">
      <c r="A17" s="28"/>
      <c r="B17" s="33" t="s">
        <v>26</v>
      </c>
      <c r="C17" s="89">
        <v>0.8</v>
      </c>
      <c r="D17" s="98"/>
      <c r="E17" s="18">
        <f t="shared" si="0"/>
        <v>3518.96</v>
      </c>
      <c r="F17" s="96">
        <f t="shared" si="2"/>
        <v>42227.520000000004</v>
      </c>
    </row>
    <row r="18" spans="1:9" ht="41.1" customHeight="1" x14ac:dyDescent="0.25">
      <c r="A18" s="25"/>
      <c r="B18" s="35" t="s">
        <v>27</v>
      </c>
      <c r="C18" s="90"/>
      <c r="D18" s="99" t="s">
        <v>28</v>
      </c>
      <c r="E18" s="18">
        <f t="shared" si="0"/>
        <v>0</v>
      </c>
      <c r="F18" s="85"/>
    </row>
    <row r="19" spans="1:9" ht="15" x14ac:dyDescent="0.25">
      <c r="A19" s="28"/>
      <c r="B19" s="38" t="s">
        <v>53</v>
      </c>
      <c r="C19" s="86">
        <v>0.02</v>
      </c>
      <c r="D19" s="100" t="s">
        <v>30</v>
      </c>
      <c r="E19" s="18">
        <f t="shared" si="0"/>
        <v>87.974000000000004</v>
      </c>
      <c r="F19" s="96">
        <f>E19*12</f>
        <v>1055.6880000000001</v>
      </c>
    </row>
    <row r="20" spans="1:9" ht="15" x14ac:dyDescent="0.25">
      <c r="A20" s="28"/>
      <c r="B20" s="38" t="s">
        <v>54</v>
      </c>
      <c r="C20" s="92">
        <v>0.05</v>
      </c>
      <c r="D20" s="101" t="s">
        <v>29</v>
      </c>
      <c r="E20" s="18">
        <f t="shared" si="0"/>
        <v>219.935</v>
      </c>
      <c r="F20" s="96">
        <f t="shared" ref="F20" si="3">E20*12</f>
        <v>2639.2200000000003</v>
      </c>
    </row>
    <row r="21" spans="1:9" ht="39" x14ac:dyDescent="0.25">
      <c r="A21" s="23" t="s">
        <v>32</v>
      </c>
      <c r="B21" s="43" t="s">
        <v>33</v>
      </c>
      <c r="C21" s="81"/>
      <c r="D21" s="81"/>
      <c r="E21" s="18">
        <f t="shared" si="0"/>
        <v>0</v>
      </c>
      <c r="F21" s="14"/>
      <c r="I21" s="1" t="s">
        <v>56</v>
      </c>
    </row>
    <row r="22" spans="1:9" ht="15" x14ac:dyDescent="0.25">
      <c r="A22" s="81"/>
      <c r="B22" s="4" t="s">
        <v>34</v>
      </c>
      <c r="C22" s="81"/>
      <c r="D22" s="4"/>
      <c r="E22" s="18">
        <f t="shared" si="0"/>
        <v>0</v>
      </c>
      <c r="F22" s="14"/>
    </row>
    <row r="23" spans="1:9" ht="26.25" x14ac:dyDescent="0.25">
      <c r="A23" s="25"/>
      <c r="B23" s="44" t="s">
        <v>35</v>
      </c>
      <c r="C23" s="83">
        <v>2.8</v>
      </c>
      <c r="D23" s="109" t="s">
        <v>36</v>
      </c>
      <c r="E23" s="18">
        <f t="shared" si="0"/>
        <v>12316.359999999999</v>
      </c>
      <c r="F23" s="18">
        <f>E23*12</f>
        <v>147796.31999999998</v>
      </c>
    </row>
    <row r="24" spans="1:9" ht="15" x14ac:dyDescent="0.25">
      <c r="A24" s="81"/>
      <c r="B24" s="46" t="s">
        <v>37</v>
      </c>
      <c r="C24" s="81"/>
      <c r="D24" s="81"/>
      <c r="E24" s="18">
        <f t="shared" si="0"/>
        <v>0</v>
      </c>
      <c r="F24" s="18"/>
    </row>
    <row r="25" spans="1:9" ht="15" x14ac:dyDescent="0.25">
      <c r="A25" s="82"/>
      <c r="B25" s="47" t="s">
        <v>38</v>
      </c>
      <c r="C25" s="83">
        <v>2.7</v>
      </c>
      <c r="D25" s="109" t="s">
        <v>36</v>
      </c>
      <c r="E25" s="18">
        <f t="shared" si="0"/>
        <v>11876.49</v>
      </c>
      <c r="F25" s="18">
        <f t="shared" ref="F25:F31" si="4">E25*12</f>
        <v>142517.88</v>
      </c>
    </row>
    <row r="26" spans="1:9" ht="15" x14ac:dyDescent="0.25">
      <c r="A26" s="82"/>
      <c r="B26" s="47" t="s">
        <v>77</v>
      </c>
      <c r="C26" s="83">
        <v>2.85</v>
      </c>
      <c r="D26" s="109" t="s">
        <v>36</v>
      </c>
      <c r="E26" s="18">
        <f t="shared" si="0"/>
        <v>12536.295</v>
      </c>
      <c r="F26" s="18">
        <f t="shared" si="4"/>
        <v>150435.54</v>
      </c>
    </row>
    <row r="27" spans="1:9" ht="51.75" x14ac:dyDescent="0.25">
      <c r="A27" s="24" t="s">
        <v>39</v>
      </c>
      <c r="B27" s="80" t="s">
        <v>57</v>
      </c>
      <c r="C27" s="79">
        <v>0.06</v>
      </c>
      <c r="D27" s="27" t="s">
        <v>72</v>
      </c>
      <c r="E27" s="18">
        <f t="shared" si="0"/>
        <v>263.92199999999997</v>
      </c>
      <c r="F27" s="18">
        <f t="shared" si="4"/>
        <v>3167.0639999999994</v>
      </c>
    </row>
    <row r="28" spans="1:9" ht="15" x14ac:dyDescent="0.25">
      <c r="A28" s="25" t="s">
        <v>41</v>
      </c>
      <c r="B28" s="48" t="s">
        <v>73</v>
      </c>
      <c r="C28" s="49">
        <v>2.5</v>
      </c>
      <c r="D28" s="50" t="s">
        <v>30</v>
      </c>
      <c r="E28" s="18">
        <f t="shared" si="0"/>
        <v>10996.75</v>
      </c>
      <c r="F28" s="18">
        <f t="shared" si="4"/>
        <v>131961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18"/>
    </row>
    <row r="30" spans="1:9" ht="15" x14ac:dyDescent="0.25">
      <c r="A30" s="25" t="s">
        <v>42</v>
      </c>
      <c r="B30" s="47" t="s">
        <v>74</v>
      </c>
      <c r="C30" s="53">
        <v>4.55</v>
      </c>
      <c r="D30" s="50" t="s">
        <v>15</v>
      </c>
      <c r="E30" s="18">
        <f t="shared" si="0"/>
        <v>20014.084999999999</v>
      </c>
      <c r="F30" s="18">
        <f t="shared" si="4"/>
        <v>240169.02</v>
      </c>
    </row>
    <row r="31" spans="1:9" ht="15" x14ac:dyDescent="0.25">
      <c r="A31" s="25" t="s">
        <v>43</v>
      </c>
      <c r="B31" s="55" t="s">
        <v>44</v>
      </c>
      <c r="C31" s="53">
        <v>1.32</v>
      </c>
      <c r="D31" s="50" t="s">
        <v>15</v>
      </c>
      <c r="E31" s="18">
        <f t="shared" si="0"/>
        <v>5806.2839999999997</v>
      </c>
      <c r="F31" s="18">
        <f t="shared" si="4"/>
        <v>69675.407999999996</v>
      </c>
    </row>
    <row r="32" spans="1:9" ht="15.75" x14ac:dyDescent="0.25">
      <c r="A32" s="25"/>
      <c r="B32" s="56" t="s">
        <v>46</v>
      </c>
      <c r="C32" s="57">
        <f>C10+C11+C12+C13+C14+C23+C25+C26+C27+C28+C30+C31</f>
        <v>22</v>
      </c>
      <c r="D32" s="50"/>
      <c r="E32" s="18">
        <f t="shared" si="0"/>
        <v>96771.4</v>
      </c>
      <c r="F32" s="18">
        <f>F10+F11+F12+F13+F14+F23+F25+F26+F27+F28+F30+F31</f>
        <v>1161256.8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I43"/>
  <sheetViews>
    <sheetView topLeftCell="A25" workbookViewId="0">
      <selection activeCell="I16" sqref="I16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264</v>
      </c>
      <c r="C4" s="3"/>
      <c r="D4" s="3"/>
    </row>
    <row r="5" spans="1:6" x14ac:dyDescent="0.2">
      <c r="B5" s="3"/>
      <c r="C5" s="3"/>
      <c r="D5" s="3"/>
      <c r="F5" s="1">
        <v>8820.1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3.2</v>
      </c>
      <c r="D10" s="50" t="s">
        <v>15</v>
      </c>
      <c r="E10" s="18">
        <f>C10*8820.1</f>
        <v>28224.320000000003</v>
      </c>
      <c r="F10" s="18">
        <f>E10*12</f>
        <v>338691.84000000003</v>
      </c>
    </row>
    <row r="11" spans="1:6" ht="15" x14ac:dyDescent="0.25">
      <c r="A11" s="10"/>
      <c r="B11" s="15" t="s">
        <v>76</v>
      </c>
      <c r="C11" s="16">
        <v>0.14000000000000001</v>
      </c>
      <c r="D11" s="88" t="s">
        <v>20</v>
      </c>
      <c r="E11" s="18">
        <f t="shared" ref="E11:E33" si="0">C11*8820.1</f>
        <v>1234.8140000000001</v>
      </c>
      <c r="F11" s="18">
        <f>E11*12</f>
        <v>14817.768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7938.09</v>
      </c>
      <c r="F12" s="18">
        <f t="shared" ref="F12:F13" si="1">E12*12</f>
        <v>95257.08</v>
      </c>
    </row>
    <row r="13" spans="1:6" ht="39" x14ac:dyDescent="0.25">
      <c r="A13" s="22" t="s">
        <v>18</v>
      </c>
      <c r="B13" s="15" t="s">
        <v>19</v>
      </c>
      <c r="C13" s="23">
        <v>0.32</v>
      </c>
      <c r="D13" s="88" t="s">
        <v>20</v>
      </c>
      <c r="E13" s="18">
        <f t="shared" si="0"/>
        <v>2822.4320000000002</v>
      </c>
      <c r="F13" s="18">
        <f t="shared" si="1"/>
        <v>33869.184000000001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1.3000000000000003</v>
      </c>
      <c r="D14" s="27"/>
      <c r="E14" s="18">
        <f t="shared" si="0"/>
        <v>11466.130000000003</v>
      </c>
      <c r="F14" s="18">
        <f>F15+F16+F17+F19+F20+F21</f>
        <v>137593.56000000003</v>
      </c>
    </row>
    <row r="15" spans="1:6" ht="15" x14ac:dyDescent="0.25">
      <c r="A15" s="28"/>
      <c r="B15" s="29" t="s">
        <v>23</v>
      </c>
      <c r="C15" s="30">
        <v>0.08</v>
      </c>
      <c r="D15" s="31" t="s">
        <v>24</v>
      </c>
      <c r="E15" s="18">
        <f t="shared" si="0"/>
        <v>705.60800000000006</v>
      </c>
      <c r="F15" s="20">
        <f>E15*12</f>
        <v>8467.2960000000003</v>
      </c>
    </row>
    <row r="16" spans="1:6" ht="24.75" x14ac:dyDescent="0.25">
      <c r="A16" s="28"/>
      <c r="B16" s="29" t="s">
        <v>25</v>
      </c>
      <c r="C16" s="30">
        <v>0.2</v>
      </c>
      <c r="D16" s="32" t="s">
        <v>20</v>
      </c>
      <c r="E16" s="18">
        <f t="shared" si="0"/>
        <v>1764.0200000000002</v>
      </c>
      <c r="F16" s="20">
        <f t="shared" ref="F16:F21" si="2">E16*12</f>
        <v>21168.240000000002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7938.09</v>
      </c>
      <c r="F17" s="20">
        <f t="shared" si="2"/>
        <v>95257.08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0.01</v>
      </c>
      <c r="D19" s="40" t="s">
        <v>30</v>
      </c>
      <c r="E19" s="18">
        <f t="shared" si="0"/>
        <v>88.201000000000008</v>
      </c>
      <c r="F19" s="20">
        <f>E19*12</f>
        <v>1058.412</v>
      </c>
    </row>
    <row r="20" spans="1:9" ht="15" x14ac:dyDescent="0.25">
      <c r="A20" s="19"/>
      <c r="B20" s="38" t="s">
        <v>54</v>
      </c>
      <c r="C20" s="41">
        <v>0.1</v>
      </c>
      <c r="D20" s="42" t="s">
        <v>29</v>
      </c>
      <c r="E20" s="18">
        <f t="shared" si="0"/>
        <v>882.0100000000001</v>
      </c>
      <c r="F20" s="20">
        <f t="shared" si="2"/>
        <v>10584.12</v>
      </c>
    </row>
    <row r="21" spans="1:9" ht="24.75" x14ac:dyDescent="0.25">
      <c r="A21" s="28"/>
      <c r="B21" s="38" t="s">
        <v>55</v>
      </c>
      <c r="C21" s="41">
        <v>0.01</v>
      </c>
      <c r="D21" s="42" t="s">
        <v>59</v>
      </c>
      <c r="E21" s="18">
        <f t="shared" si="0"/>
        <v>88.201000000000008</v>
      </c>
      <c r="F21" s="20">
        <f t="shared" si="2"/>
        <v>1058.412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2.2999999999999998</v>
      </c>
      <c r="D24" s="42" t="s">
        <v>59</v>
      </c>
      <c r="E24" s="18">
        <f t="shared" si="0"/>
        <v>20286.23</v>
      </c>
      <c r="F24" s="18">
        <f>E24*12</f>
        <v>243434.76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4"/>
    </row>
    <row r="26" spans="1:9" ht="15" x14ac:dyDescent="0.25">
      <c r="A26" s="82"/>
      <c r="B26" s="47" t="s">
        <v>38</v>
      </c>
      <c r="C26" s="83">
        <v>3.4</v>
      </c>
      <c r="D26" s="42" t="s">
        <v>59</v>
      </c>
      <c r="E26" s="18">
        <f t="shared" si="0"/>
        <v>29988.34</v>
      </c>
      <c r="F26" s="18">
        <f>E26*12</f>
        <v>359860.08</v>
      </c>
    </row>
    <row r="27" spans="1:9" ht="15" x14ac:dyDescent="0.25">
      <c r="A27" s="82"/>
      <c r="B27" s="47" t="s">
        <v>77</v>
      </c>
      <c r="C27" s="83">
        <v>2.6</v>
      </c>
      <c r="D27" s="42" t="s">
        <v>59</v>
      </c>
      <c r="E27" s="18">
        <f t="shared" si="0"/>
        <v>22932.260000000002</v>
      </c>
      <c r="F27" s="18">
        <f>E27*12</f>
        <v>275187.12</v>
      </c>
    </row>
    <row r="28" spans="1:9" ht="51.75" x14ac:dyDescent="0.25">
      <c r="A28" s="24" t="s">
        <v>39</v>
      </c>
      <c r="B28" s="80" t="s">
        <v>57</v>
      </c>
      <c r="C28" s="79">
        <v>0.12</v>
      </c>
      <c r="D28" s="27" t="s">
        <v>72</v>
      </c>
      <c r="E28" s="18">
        <f t="shared" si="0"/>
        <v>1058.412</v>
      </c>
      <c r="F28" s="18">
        <f t="shared" ref="F28:F29" si="3">E28*12</f>
        <v>12700.944</v>
      </c>
    </row>
    <row r="29" spans="1:9" ht="15" x14ac:dyDescent="0.25">
      <c r="A29" s="25" t="s">
        <v>41</v>
      </c>
      <c r="B29" s="48" t="s">
        <v>73</v>
      </c>
      <c r="C29" s="49">
        <v>2</v>
      </c>
      <c r="D29" s="50" t="s">
        <v>30</v>
      </c>
      <c r="E29" s="18">
        <f t="shared" si="0"/>
        <v>17640.2</v>
      </c>
      <c r="F29" s="51">
        <f t="shared" si="3"/>
        <v>211682.40000000002</v>
      </c>
      <c r="G29" s="62"/>
    </row>
    <row r="30" spans="1:9" ht="34.5" x14ac:dyDescent="0.25">
      <c r="A30" s="25"/>
      <c r="B30" s="52" t="s">
        <v>40</v>
      </c>
      <c r="C30" s="53"/>
      <c r="D30" s="50"/>
      <c r="E30" s="18">
        <f t="shared" si="0"/>
        <v>0</v>
      </c>
      <c r="F30" s="51"/>
    </row>
    <row r="31" spans="1:9" ht="15" x14ac:dyDescent="0.25">
      <c r="A31" s="25" t="s">
        <v>42</v>
      </c>
      <c r="B31" s="47" t="s">
        <v>74</v>
      </c>
      <c r="C31" s="53">
        <v>4.4000000000000004</v>
      </c>
      <c r="D31" s="50" t="s">
        <v>15</v>
      </c>
      <c r="E31" s="18">
        <f t="shared" si="0"/>
        <v>38808.44</v>
      </c>
      <c r="F31" s="18">
        <f>E31*12</f>
        <v>465701.28</v>
      </c>
    </row>
    <row r="32" spans="1:9" ht="15" x14ac:dyDescent="0.25">
      <c r="A32" s="25" t="s">
        <v>43</v>
      </c>
      <c r="B32" s="55" t="s">
        <v>44</v>
      </c>
      <c r="C32" s="53">
        <v>1.32</v>
      </c>
      <c r="D32" s="50" t="s">
        <v>15</v>
      </c>
      <c r="E32" s="18">
        <f t="shared" si="0"/>
        <v>11642.532000000001</v>
      </c>
      <c r="F32" s="18">
        <f t="shared" ref="F32" si="4">E32*12</f>
        <v>139710.38400000002</v>
      </c>
    </row>
    <row r="33" spans="1:6" ht="15.75" x14ac:dyDescent="0.25">
      <c r="A33" s="25"/>
      <c r="B33" s="56" t="s">
        <v>46</v>
      </c>
      <c r="C33" s="57">
        <f>C10+C11+C12+C13+C14+C24+C27+C26+C28+C29+C31+C32</f>
        <v>22</v>
      </c>
      <c r="D33" s="50"/>
      <c r="E33" s="18">
        <f t="shared" si="0"/>
        <v>194042.2</v>
      </c>
      <c r="F33" s="18">
        <f>F10+F11+F12+F13+F14+F24+F26+F27+F28+F29+F31+F32</f>
        <v>2328506.4</v>
      </c>
    </row>
    <row r="34" spans="1:6" ht="15.75" x14ac:dyDescent="0.25">
      <c r="A34" s="58"/>
      <c r="B34" s="3"/>
      <c r="C34" s="59"/>
      <c r="D34" s="60"/>
    </row>
    <row r="35" spans="1:6" x14ac:dyDescent="0.2">
      <c r="A35" s="58"/>
      <c r="C35" s="66"/>
      <c r="E35" s="54"/>
    </row>
    <row r="36" spans="1:6" x14ac:dyDescent="0.2">
      <c r="A36" s="58"/>
      <c r="B36" s="2" t="s">
        <v>47</v>
      </c>
      <c r="C36" s="1" t="s">
        <v>58</v>
      </c>
    </row>
    <row r="37" spans="1:6" x14ac:dyDescent="0.2">
      <c r="B37" s="1" t="s">
        <v>48</v>
      </c>
      <c r="D37" s="1" t="s">
        <v>49</v>
      </c>
    </row>
    <row r="39" spans="1:6" x14ac:dyDescent="0.2">
      <c r="B39" s="1" t="s">
        <v>50</v>
      </c>
      <c r="D39" s="1" t="s">
        <v>51</v>
      </c>
    </row>
    <row r="40" spans="1:6" x14ac:dyDescent="0.2">
      <c r="B40" s="1" t="s">
        <v>52</v>
      </c>
      <c r="D40" s="1" t="s">
        <v>51</v>
      </c>
    </row>
    <row r="41" spans="1:6" x14ac:dyDescent="0.2">
      <c r="B41" s="1" t="s">
        <v>52</v>
      </c>
      <c r="D41" s="1" t="s">
        <v>51</v>
      </c>
    </row>
    <row r="42" spans="1:6" x14ac:dyDescent="0.2">
      <c r="B42" s="1" t="s">
        <v>52</v>
      </c>
      <c r="D42" s="1" t="s">
        <v>51</v>
      </c>
    </row>
    <row r="43" spans="1:6" x14ac:dyDescent="0.2">
      <c r="B43" s="1" t="s">
        <v>52</v>
      </c>
      <c r="D43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7C242-8472-4206-B98C-99DE57D0BB3E}">
  <sheetPr>
    <tabColor rgb="FF92D050"/>
  </sheetPr>
  <dimension ref="A1:I42"/>
  <sheetViews>
    <sheetView workbookViewId="0">
      <selection activeCell="J8" sqref="J8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308</v>
      </c>
      <c r="C4" s="3"/>
      <c r="D4" s="3"/>
    </row>
    <row r="5" spans="1:6" x14ac:dyDescent="0.2">
      <c r="B5" s="3"/>
      <c r="C5" s="3"/>
      <c r="D5" s="3"/>
      <c r="F5" s="1">
        <v>5194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3"/>
      <c r="E9" s="14"/>
      <c r="F9" s="14"/>
    </row>
    <row r="10" spans="1:6" ht="39" x14ac:dyDescent="0.25">
      <c r="A10" s="10"/>
      <c r="B10" s="15" t="s">
        <v>14</v>
      </c>
      <c r="C10" s="16">
        <v>3.29</v>
      </c>
      <c r="D10" s="110" t="s">
        <v>15</v>
      </c>
      <c r="E10" s="18">
        <f>C10*5194</f>
        <v>17088.259999999998</v>
      </c>
      <c r="F10" s="18">
        <f>E10*12</f>
        <v>205059.12</v>
      </c>
    </row>
    <row r="11" spans="1:6" ht="15" x14ac:dyDescent="0.25">
      <c r="A11" s="10"/>
      <c r="B11" s="15" t="s">
        <v>76</v>
      </c>
      <c r="C11" s="16">
        <v>0.25</v>
      </c>
      <c r="D11" s="112" t="s">
        <v>20</v>
      </c>
      <c r="E11" s="18">
        <f t="shared" ref="E11:E32" si="0">C11*5194</f>
        <v>1298.5</v>
      </c>
      <c r="F11" s="18">
        <f>E11*12</f>
        <v>15582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110" t="s">
        <v>15</v>
      </c>
      <c r="E12" s="18">
        <f t="shared" si="0"/>
        <v>4674.6000000000004</v>
      </c>
      <c r="F12" s="18">
        <f t="shared" ref="F12:F13" si="1">E12*12</f>
        <v>56095.200000000004</v>
      </c>
    </row>
    <row r="13" spans="1:6" ht="39" x14ac:dyDescent="0.25">
      <c r="A13" s="22" t="s">
        <v>18</v>
      </c>
      <c r="B13" s="15" t="s">
        <v>19</v>
      </c>
      <c r="C13" s="23">
        <v>0.19</v>
      </c>
      <c r="D13" s="112" t="s">
        <v>20</v>
      </c>
      <c r="E13" s="18">
        <f t="shared" si="0"/>
        <v>986.86</v>
      </c>
      <c r="F13" s="18">
        <f t="shared" si="1"/>
        <v>11842.32</v>
      </c>
    </row>
    <row r="14" spans="1:6" ht="15.75" x14ac:dyDescent="0.25">
      <c r="A14" s="25" t="s">
        <v>21</v>
      </c>
      <c r="B14" s="26" t="s">
        <v>22</v>
      </c>
      <c r="C14" s="83">
        <f>C15+C16+C17+C19+C20</f>
        <v>1.1900000000000002</v>
      </c>
      <c r="D14" s="27"/>
      <c r="E14" s="18">
        <f t="shared" si="0"/>
        <v>6180.8600000000006</v>
      </c>
      <c r="F14" s="18">
        <f>F15+F16+F17+F19+F20</f>
        <v>74170.319999999978</v>
      </c>
    </row>
    <row r="15" spans="1:6" ht="15" x14ac:dyDescent="0.25">
      <c r="A15" s="28"/>
      <c r="B15" s="29" t="s">
        <v>23</v>
      </c>
      <c r="C15" s="89">
        <v>7.0000000000000007E-2</v>
      </c>
      <c r="D15" s="95" t="s">
        <v>24</v>
      </c>
      <c r="E15" s="18">
        <f t="shared" si="0"/>
        <v>363.58000000000004</v>
      </c>
      <c r="F15" s="96">
        <f>E15*12</f>
        <v>4362.9600000000009</v>
      </c>
    </row>
    <row r="16" spans="1:6" ht="24.75" x14ac:dyDescent="0.25">
      <c r="A16" s="28"/>
      <c r="B16" s="29" t="s">
        <v>25</v>
      </c>
      <c r="C16" s="89">
        <v>0.25</v>
      </c>
      <c r="D16" s="97" t="s">
        <v>20</v>
      </c>
      <c r="E16" s="18">
        <f t="shared" si="0"/>
        <v>1298.5</v>
      </c>
      <c r="F16" s="96">
        <f t="shared" ref="F16:F17" si="2">E16*12</f>
        <v>15582</v>
      </c>
    </row>
    <row r="17" spans="1:9" ht="15" x14ac:dyDescent="0.25">
      <c r="A17" s="28"/>
      <c r="B17" s="33" t="s">
        <v>26</v>
      </c>
      <c r="C17" s="89">
        <v>0.8</v>
      </c>
      <c r="D17" s="98"/>
      <c r="E17" s="18">
        <f t="shared" si="0"/>
        <v>4155.2</v>
      </c>
      <c r="F17" s="96">
        <f t="shared" si="2"/>
        <v>49862.399999999994</v>
      </c>
    </row>
    <row r="18" spans="1:9" ht="41.1" customHeight="1" x14ac:dyDescent="0.25">
      <c r="A18" s="25"/>
      <c r="B18" s="35" t="s">
        <v>27</v>
      </c>
      <c r="C18" s="90"/>
      <c r="D18" s="99" t="s">
        <v>28</v>
      </c>
      <c r="E18" s="18">
        <f t="shared" si="0"/>
        <v>0</v>
      </c>
      <c r="F18" s="85"/>
    </row>
    <row r="19" spans="1:9" ht="15" x14ac:dyDescent="0.25">
      <c r="A19" s="28"/>
      <c r="B19" s="38" t="s">
        <v>53</v>
      </c>
      <c r="C19" s="86">
        <v>0.02</v>
      </c>
      <c r="D19" s="100" t="s">
        <v>30</v>
      </c>
      <c r="E19" s="18">
        <f t="shared" si="0"/>
        <v>103.88</v>
      </c>
      <c r="F19" s="96">
        <f>E19*12</f>
        <v>1246.56</v>
      </c>
    </row>
    <row r="20" spans="1:9" ht="15" x14ac:dyDescent="0.25">
      <c r="A20" s="28"/>
      <c r="B20" s="38" t="s">
        <v>54</v>
      </c>
      <c r="C20" s="92">
        <v>0.05</v>
      </c>
      <c r="D20" s="101" t="s">
        <v>29</v>
      </c>
      <c r="E20" s="18">
        <f t="shared" si="0"/>
        <v>259.7</v>
      </c>
      <c r="F20" s="96">
        <f t="shared" ref="F20" si="3">E20*12</f>
        <v>3116.3999999999996</v>
      </c>
    </row>
    <row r="21" spans="1:9" ht="39" x14ac:dyDescent="0.25">
      <c r="A21" s="23" t="s">
        <v>32</v>
      </c>
      <c r="B21" s="43" t="s">
        <v>33</v>
      </c>
      <c r="C21" s="81"/>
      <c r="D21" s="81"/>
      <c r="E21" s="18">
        <f t="shared" si="0"/>
        <v>0</v>
      </c>
      <c r="F21" s="14"/>
      <c r="I21" s="1" t="s">
        <v>56</v>
      </c>
    </row>
    <row r="22" spans="1:9" ht="15" x14ac:dyDescent="0.25">
      <c r="A22" s="81"/>
      <c r="B22" s="4" t="s">
        <v>34</v>
      </c>
      <c r="C22" s="81"/>
      <c r="D22" s="4"/>
      <c r="E22" s="18">
        <f t="shared" si="0"/>
        <v>0</v>
      </c>
      <c r="F22" s="14"/>
    </row>
    <row r="23" spans="1:9" ht="26.25" x14ac:dyDescent="0.25">
      <c r="A23" s="25"/>
      <c r="B23" s="44" t="s">
        <v>35</v>
      </c>
      <c r="C23" s="83">
        <v>1.95</v>
      </c>
      <c r="D23" s="109" t="s">
        <v>36</v>
      </c>
      <c r="E23" s="18">
        <f t="shared" si="0"/>
        <v>10128.299999999999</v>
      </c>
      <c r="F23" s="18">
        <f>E23*12</f>
        <v>121539.59999999999</v>
      </c>
    </row>
    <row r="24" spans="1:9" ht="15" x14ac:dyDescent="0.25">
      <c r="A24" s="81"/>
      <c r="B24" s="46" t="s">
        <v>37</v>
      </c>
      <c r="C24" s="81"/>
      <c r="D24" s="81"/>
      <c r="E24" s="18">
        <f t="shared" si="0"/>
        <v>0</v>
      </c>
      <c r="F24" s="18"/>
    </row>
    <row r="25" spans="1:9" ht="15" x14ac:dyDescent="0.25">
      <c r="A25" s="82"/>
      <c r="B25" s="47" t="s">
        <v>38</v>
      </c>
      <c r="C25" s="83">
        <v>2.65</v>
      </c>
      <c r="D25" s="109" t="s">
        <v>36</v>
      </c>
      <c r="E25" s="18">
        <f t="shared" si="0"/>
        <v>13764.1</v>
      </c>
      <c r="F25" s="18">
        <f t="shared" ref="F25:F31" si="4">E25*12</f>
        <v>165169.20000000001</v>
      </c>
    </row>
    <row r="26" spans="1:9" ht="15" x14ac:dyDescent="0.25">
      <c r="A26" s="82"/>
      <c r="B26" s="47" t="s">
        <v>77</v>
      </c>
      <c r="C26" s="83">
        <v>2.65</v>
      </c>
      <c r="D26" s="109" t="s">
        <v>36</v>
      </c>
      <c r="E26" s="18">
        <f t="shared" si="0"/>
        <v>13764.1</v>
      </c>
      <c r="F26" s="18">
        <f t="shared" si="4"/>
        <v>165169.20000000001</v>
      </c>
    </row>
    <row r="27" spans="1:9" ht="51.75" x14ac:dyDescent="0.25">
      <c r="A27" s="24" t="s">
        <v>39</v>
      </c>
      <c r="B27" s="80" t="s">
        <v>57</v>
      </c>
      <c r="C27" s="79">
        <v>0.06</v>
      </c>
      <c r="D27" s="27" t="s">
        <v>72</v>
      </c>
      <c r="E27" s="18">
        <f t="shared" si="0"/>
        <v>311.64</v>
      </c>
      <c r="F27" s="18">
        <f t="shared" si="4"/>
        <v>3739.68</v>
      </c>
    </row>
    <row r="28" spans="1:9" ht="15" x14ac:dyDescent="0.25">
      <c r="A28" s="25" t="s">
        <v>41</v>
      </c>
      <c r="B28" s="48" t="s">
        <v>73</v>
      </c>
      <c r="C28" s="49">
        <v>3</v>
      </c>
      <c r="D28" s="50" t="s">
        <v>30</v>
      </c>
      <c r="E28" s="18">
        <f t="shared" si="0"/>
        <v>15582</v>
      </c>
      <c r="F28" s="18">
        <f t="shared" si="4"/>
        <v>186984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18"/>
    </row>
    <row r="30" spans="1:9" ht="15" x14ac:dyDescent="0.25">
      <c r="A30" s="25" t="s">
        <v>42</v>
      </c>
      <c r="B30" s="47" t="s">
        <v>74</v>
      </c>
      <c r="C30" s="53">
        <v>4.55</v>
      </c>
      <c r="D30" s="50" t="s">
        <v>15</v>
      </c>
      <c r="E30" s="18">
        <f t="shared" si="0"/>
        <v>23632.7</v>
      </c>
      <c r="F30" s="18">
        <f t="shared" si="4"/>
        <v>283592.40000000002</v>
      </c>
    </row>
    <row r="31" spans="1:9" ht="15" x14ac:dyDescent="0.25">
      <c r="A31" s="25" t="s">
        <v>43</v>
      </c>
      <c r="B31" s="55" t="s">
        <v>44</v>
      </c>
      <c r="C31" s="53">
        <v>1.32</v>
      </c>
      <c r="D31" s="50" t="s">
        <v>15</v>
      </c>
      <c r="E31" s="18">
        <f t="shared" si="0"/>
        <v>6856.08</v>
      </c>
      <c r="F31" s="18">
        <f t="shared" si="4"/>
        <v>82272.959999999992</v>
      </c>
    </row>
    <row r="32" spans="1:9" ht="15.75" x14ac:dyDescent="0.25">
      <c r="A32" s="25"/>
      <c r="B32" s="56" t="s">
        <v>46</v>
      </c>
      <c r="C32" s="57">
        <f>C10+C11+C12+C13+C14+C23+C25+C26+C27+C28+C30+C31</f>
        <v>22.000000000000004</v>
      </c>
      <c r="D32" s="50"/>
      <c r="E32" s="18">
        <f t="shared" si="0"/>
        <v>114268.00000000001</v>
      </c>
      <c r="F32" s="18">
        <f>F10+F11+F12+F13+F14+F23+F25+F26+F27+F28+F30+F31</f>
        <v>1371216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" right="0.7" top="0.75" bottom="0.75" header="0.3" footer="0.3"/>
  <pageSetup paperSize="9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618DE-AD53-4E18-BEF3-0F38351600F1}">
  <sheetPr>
    <tabColor rgb="FF92D050"/>
  </sheetPr>
  <dimension ref="A1:I43"/>
  <sheetViews>
    <sheetView topLeftCell="A30" workbookViewId="0">
      <selection activeCell="J12" sqref="J12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.5703125" style="1" bestFit="1" customWidth="1"/>
    <col min="8" max="8" width="10.42578125" style="1" customWidth="1"/>
    <col min="9" max="16384" width="9" style="1"/>
  </cols>
  <sheetData>
    <row r="1" spans="1:7" x14ac:dyDescent="0.2">
      <c r="D1" s="2" t="s">
        <v>2</v>
      </c>
    </row>
    <row r="2" spans="1:7" x14ac:dyDescent="0.2">
      <c r="A2" s="245" t="s">
        <v>3</v>
      </c>
      <c r="B2" s="245"/>
      <c r="C2" s="245"/>
      <c r="D2" s="245"/>
    </row>
    <row r="3" spans="1:7" x14ac:dyDescent="0.2">
      <c r="A3" s="245"/>
      <c r="B3" s="245"/>
      <c r="C3" s="245"/>
      <c r="D3" s="245"/>
    </row>
    <row r="4" spans="1:7" x14ac:dyDescent="0.2">
      <c r="B4" s="3" t="s">
        <v>309</v>
      </c>
      <c r="C4" s="3"/>
      <c r="D4" s="3"/>
    </row>
    <row r="5" spans="1:7" x14ac:dyDescent="0.2">
      <c r="B5" s="3"/>
      <c r="C5" s="3"/>
      <c r="D5" s="3"/>
      <c r="F5" s="1">
        <v>3635.4</v>
      </c>
    </row>
    <row r="6" spans="1:7" ht="15" x14ac:dyDescent="0.25">
      <c r="A6" s="4"/>
      <c r="B6" s="4"/>
      <c r="C6" s="4"/>
      <c r="D6" s="4"/>
      <c r="E6" s="5" t="s">
        <v>4</v>
      </c>
      <c r="F6" s="5" t="s">
        <v>4</v>
      </c>
    </row>
    <row r="7" spans="1:7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7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7" ht="25.5" x14ac:dyDescent="0.2">
      <c r="A9" s="10" t="s">
        <v>12</v>
      </c>
      <c r="B9" s="11" t="s">
        <v>13</v>
      </c>
      <c r="C9" s="12"/>
      <c r="D9" s="13"/>
      <c r="E9" s="14"/>
      <c r="F9" s="14"/>
    </row>
    <row r="10" spans="1:7" ht="39" x14ac:dyDescent="0.25">
      <c r="A10" s="10"/>
      <c r="B10" s="15" t="s">
        <v>14</v>
      </c>
      <c r="C10" s="16">
        <v>2.84</v>
      </c>
      <c r="D10" s="110" t="s">
        <v>15</v>
      </c>
      <c r="E10" s="18">
        <f>C10*3635.4</f>
        <v>10324.536</v>
      </c>
      <c r="F10" s="18">
        <f>E10*12</f>
        <v>123894.432</v>
      </c>
    </row>
    <row r="11" spans="1:7" ht="15" x14ac:dyDescent="0.25">
      <c r="A11" s="10"/>
      <c r="B11" s="15" t="s">
        <v>76</v>
      </c>
      <c r="C11" s="16">
        <v>0.3</v>
      </c>
      <c r="D11" s="112" t="s">
        <v>20</v>
      </c>
      <c r="E11" s="18">
        <f t="shared" ref="E11:E33" si="0">C11*3635.4</f>
        <v>1090.6199999999999</v>
      </c>
      <c r="F11" s="18">
        <f>E11*12</f>
        <v>13087.439999999999</v>
      </c>
    </row>
    <row r="12" spans="1:7" ht="39" x14ac:dyDescent="0.25">
      <c r="A12" s="10" t="s">
        <v>16</v>
      </c>
      <c r="B12" s="15" t="s">
        <v>17</v>
      </c>
      <c r="C12" s="16">
        <v>0.9</v>
      </c>
      <c r="D12" s="110" t="s">
        <v>15</v>
      </c>
      <c r="E12" s="18">
        <f t="shared" si="0"/>
        <v>3271.86</v>
      </c>
      <c r="F12" s="18">
        <f t="shared" ref="F12:F13" si="1">E12*12</f>
        <v>39262.32</v>
      </c>
    </row>
    <row r="13" spans="1:7" ht="39" x14ac:dyDescent="0.25">
      <c r="A13" s="22" t="s">
        <v>18</v>
      </c>
      <c r="B13" s="15" t="s">
        <v>19</v>
      </c>
      <c r="C13" s="23">
        <v>0.27</v>
      </c>
      <c r="D13" s="112" t="s">
        <v>20</v>
      </c>
      <c r="E13" s="18">
        <f t="shared" si="0"/>
        <v>981.55800000000011</v>
      </c>
      <c r="F13" s="18">
        <f t="shared" si="1"/>
        <v>11778.696000000002</v>
      </c>
    </row>
    <row r="14" spans="1:7" ht="15.75" x14ac:dyDescent="0.25">
      <c r="A14" s="25" t="s">
        <v>21</v>
      </c>
      <c r="B14" s="26" t="s">
        <v>22</v>
      </c>
      <c r="C14" s="83">
        <f>C15+C16+C17+C19+C22+C20+C21</f>
        <v>1.2300000000000002</v>
      </c>
      <c r="D14" s="27"/>
      <c r="E14" s="18">
        <f t="shared" si="0"/>
        <v>4471.5420000000013</v>
      </c>
      <c r="F14" s="18">
        <f>F15+F16+F17+F19+F22+F20+F21</f>
        <v>53658.504000000001</v>
      </c>
      <c r="G14" s="62"/>
    </row>
    <row r="15" spans="1:7" ht="15" x14ac:dyDescent="0.25">
      <c r="A15" s="28"/>
      <c r="B15" s="29" t="s">
        <v>23</v>
      </c>
      <c r="C15" s="89">
        <v>0.1</v>
      </c>
      <c r="D15" s="95" t="s">
        <v>24</v>
      </c>
      <c r="E15" s="18">
        <f t="shared" si="0"/>
        <v>363.54</v>
      </c>
      <c r="F15" s="96">
        <f>E15*12</f>
        <v>4362.4800000000005</v>
      </c>
    </row>
    <row r="16" spans="1:7" ht="24.75" x14ac:dyDescent="0.25">
      <c r="A16" s="28"/>
      <c r="B16" s="29" t="s">
        <v>25</v>
      </c>
      <c r="C16" s="89">
        <v>0.17</v>
      </c>
      <c r="D16" s="97" t="s">
        <v>20</v>
      </c>
      <c r="E16" s="18">
        <f t="shared" si="0"/>
        <v>618.01800000000003</v>
      </c>
      <c r="F16" s="96">
        <f t="shared" ref="F16:F17" si="2">E16*12</f>
        <v>7416.2160000000003</v>
      </c>
    </row>
    <row r="17" spans="1:9" ht="15" x14ac:dyDescent="0.25">
      <c r="A17" s="28"/>
      <c r="B17" s="33" t="s">
        <v>26</v>
      </c>
      <c r="C17" s="89">
        <v>0.8</v>
      </c>
      <c r="D17" s="98"/>
      <c r="E17" s="18">
        <f t="shared" si="0"/>
        <v>2908.32</v>
      </c>
      <c r="F17" s="96">
        <f t="shared" si="2"/>
        <v>34899.840000000004</v>
      </c>
    </row>
    <row r="18" spans="1:9" ht="41.1" customHeight="1" x14ac:dyDescent="0.25">
      <c r="A18" s="25"/>
      <c r="B18" s="35" t="s">
        <v>27</v>
      </c>
      <c r="C18" s="90"/>
      <c r="D18" s="99" t="s">
        <v>28</v>
      </c>
      <c r="E18" s="18">
        <f t="shared" si="0"/>
        <v>0</v>
      </c>
      <c r="F18" s="85"/>
    </row>
    <row r="19" spans="1:9" ht="15" x14ac:dyDescent="0.25">
      <c r="A19" s="28"/>
      <c r="B19" s="38" t="s">
        <v>53</v>
      </c>
      <c r="C19" s="86">
        <v>0.02</v>
      </c>
      <c r="D19" s="100" t="s">
        <v>30</v>
      </c>
      <c r="E19" s="18">
        <f t="shared" si="0"/>
        <v>72.707999999999998</v>
      </c>
      <c r="F19" s="96">
        <f>E19*12</f>
        <v>872.49599999999998</v>
      </c>
    </row>
    <row r="20" spans="1:9" ht="15" x14ac:dyDescent="0.25">
      <c r="A20" s="28"/>
      <c r="B20" s="38" t="s">
        <v>54</v>
      </c>
      <c r="C20" s="92">
        <v>0.05</v>
      </c>
      <c r="D20" s="101" t="s">
        <v>29</v>
      </c>
      <c r="E20" s="18">
        <f t="shared" si="0"/>
        <v>181.77</v>
      </c>
      <c r="F20" s="96">
        <f t="shared" ref="F20:F22" si="3">E20*12</f>
        <v>2181.2400000000002</v>
      </c>
    </row>
    <row r="21" spans="1:9" ht="15" x14ac:dyDescent="0.25">
      <c r="A21" s="28"/>
      <c r="B21" s="65" t="s">
        <v>71</v>
      </c>
      <c r="C21" s="41">
        <v>0.05</v>
      </c>
      <c r="D21" s="42" t="s">
        <v>59</v>
      </c>
      <c r="E21" s="18">
        <f t="shared" si="0"/>
        <v>181.77</v>
      </c>
      <c r="F21" s="64">
        <f t="shared" si="3"/>
        <v>2181.2400000000002</v>
      </c>
    </row>
    <row r="22" spans="1:9" ht="26.25" x14ac:dyDescent="0.25">
      <c r="A22" s="28"/>
      <c r="B22" s="65" t="s">
        <v>31</v>
      </c>
      <c r="C22" s="41">
        <v>0.04</v>
      </c>
      <c r="D22" s="42" t="s">
        <v>59</v>
      </c>
      <c r="E22" s="18">
        <f t="shared" si="0"/>
        <v>145.416</v>
      </c>
      <c r="F22" s="64">
        <f t="shared" si="3"/>
        <v>1744.992</v>
      </c>
    </row>
    <row r="23" spans="1:9" ht="39" x14ac:dyDescent="0.25">
      <c r="A23" s="23" t="s">
        <v>32</v>
      </c>
      <c r="B23" s="43" t="s">
        <v>33</v>
      </c>
      <c r="C23" s="81"/>
      <c r="D23" s="81"/>
      <c r="E23" s="18">
        <f t="shared" si="0"/>
        <v>0</v>
      </c>
      <c r="F23" s="14"/>
      <c r="I23" s="1" t="s">
        <v>56</v>
      </c>
    </row>
    <row r="24" spans="1:9" ht="15" x14ac:dyDescent="0.25">
      <c r="A24" s="81"/>
      <c r="B24" s="4" t="s">
        <v>34</v>
      </c>
      <c r="C24" s="81"/>
      <c r="D24" s="4"/>
      <c r="E24" s="18">
        <f t="shared" si="0"/>
        <v>0</v>
      </c>
      <c r="F24" s="14"/>
    </row>
    <row r="25" spans="1:9" ht="26.25" x14ac:dyDescent="0.25">
      <c r="A25" s="25"/>
      <c r="B25" s="44" t="s">
        <v>35</v>
      </c>
      <c r="C25" s="83">
        <v>2.5499999999999998</v>
      </c>
      <c r="D25" s="109" t="s">
        <v>36</v>
      </c>
      <c r="E25" s="18">
        <f t="shared" si="0"/>
        <v>9270.27</v>
      </c>
      <c r="F25" s="18">
        <f>E25*12</f>
        <v>111243.24</v>
      </c>
    </row>
    <row r="26" spans="1:9" ht="15" x14ac:dyDescent="0.25">
      <c r="A26" s="81"/>
      <c r="B26" s="46" t="s">
        <v>37</v>
      </c>
      <c r="C26" s="81"/>
      <c r="D26" s="81"/>
      <c r="E26" s="18">
        <f t="shared" si="0"/>
        <v>0</v>
      </c>
      <c r="F26" s="18"/>
    </row>
    <row r="27" spans="1:9" ht="15" x14ac:dyDescent="0.25">
      <c r="A27" s="82"/>
      <c r="B27" s="47" t="s">
        <v>38</v>
      </c>
      <c r="C27" s="83">
        <v>4.1500000000000004</v>
      </c>
      <c r="D27" s="109" t="s">
        <v>36</v>
      </c>
      <c r="E27" s="18">
        <f t="shared" si="0"/>
        <v>15086.910000000002</v>
      </c>
      <c r="F27" s="18">
        <f t="shared" ref="F27:F32" si="4">E27*12</f>
        <v>181042.92</v>
      </c>
    </row>
    <row r="28" spans="1:9" ht="51.75" x14ac:dyDescent="0.25">
      <c r="A28" s="24" t="s">
        <v>39</v>
      </c>
      <c r="B28" s="80" t="s">
        <v>57</v>
      </c>
      <c r="C28" s="79">
        <v>0.06</v>
      </c>
      <c r="D28" s="27" t="s">
        <v>72</v>
      </c>
      <c r="E28" s="18">
        <f t="shared" si="0"/>
        <v>218.124</v>
      </c>
      <c r="F28" s="18">
        <f t="shared" si="4"/>
        <v>2617.4879999999998</v>
      </c>
    </row>
    <row r="29" spans="1:9" ht="15" x14ac:dyDescent="0.25">
      <c r="A29" s="25" t="s">
        <v>41</v>
      </c>
      <c r="B29" s="48" t="s">
        <v>73</v>
      </c>
      <c r="C29" s="49">
        <v>2.5</v>
      </c>
      <c r="D29" s="50" t="s">
        <v>30</v>
      </c>
      <c r="E29" s="18">
        <f t="shared" si="0"/>
        <v>9088.5</v>
      </c>
      <c r="F29" s="18">
        <f t="shared" si="4"/>
        <v>109062</v>
      </c>
      <c r="G29" s="62"/>
    </row>
    <row r="30" spans="1:9" ht="34.5" x14ac:dyDescent="0.25">
      <c r="A30" s="25"/>
      <c r="B30" s="52" t="s">
        <v>40</v>
      </c>
      <c r="C30" s="53"/>
      <c r="D30" s="50"/>
      <c r="E30" s="18">
        <f t="shared" si="0"/>
        <v>0</v>
      </c>
      <c r="F30" s="18"/>
    </row>
    <row r="31" spans="1:9" ht="15" x14ac:dyDescent="0.25">
      <c r="A31" s="25" t="s">
        <v>42</v>
      </c>
      <c r="B31" s="47" t="s">
        <v>74</v>
      </c>
      <c r="C31" s="53">
        <v>4</v>
      </c>
      <c r="D31" s="50" t="s">
        <v>15</v>
      </c>
      <c r="E31" s="18">
        <f t="shared" si="0"/>
        <v>14541.6</v>
      </c>
      <c r="F31" s="18">
        <f t="shared" si="4"/>
        <v>174499.20000000001</v>
      </c>
    </row>
    <row r="32" spans="1:9" ht="15" x14ac:dyDescent="0.25">
      <c r="A32" s="25" t="s">
        <v>43</v>
      </c>
      <c r="B32" s="55" t="s">
        <v>44</v>
      </c>
      <c r="C32" s="53">
        <v>1.2</v>
      </c>
      <c r="D32" s="50" t="s">
        <v>15</v>
      </c>
      <c r="E32" s="18">
        <f t="shared" si="0"/>
        <v>4362.4799999999996</v>
      </c>
      <c r="F32" s="18">
        <f t="shared" si="4"/>
        <v>52349.759999999995</v>
      </c>
    </row>
    <row r="33" spans="1:6" ht="15.75" x14ac:dyDescent="0.25">
      <c r="A33" s="25"/>
      <c r="B33" s="56" t="s">
        <v>46</v>
      </c>
      <c r="C33" s="57">
        <f>C10+C11+C12+C13+C14+C25+C27+C28+C29+C31+C32</f>
        <v>20</v>
      </c>
      <c r="D33" s="50"/>
      <c r="E33" s="18">
        <f t="shared" si="0"/>
        <v>72708</v>
      </c>
      <c r="F33" s="18">
        <f>F10+F11+F12+F13+F14+F25+F27+F28+F29+F31+F32</f>
        <v>872496</v>
      </c>
    </row>
    <row r="34" spans="1:6" ht="15.75" x14ac:dyDescent="0.25">
      <c r="A34" s="58"/>
      <c r="B34" s="3"/>
      <c r="C34" s="59"/>
      <c r="D34" s="60"/>
    </row>
    <row r="35" spans="1:6" x14ac:dyDescent="0.2">
      <c r="A35" s="58"/>
      <c r="C35" s="66"/>
      <c r="E35" s="54"/>
    </row>
    <row r="36" spans="1:6" x14ac:dyDescent="0.2">
      <c r="A36" s="58"/>
      <c r="B36" s="2" t="s">
        <v>47</v>
      </c>
      <c r="C36" s="1" t="s">
        <v>58</v>
      </c>
    </row>
    <row r="37" spans="1:6" x14ac:dyDescent="0.2">
      <c r="B37" s="1" t="s">
        <v>48</v>
      </c>
      <c r="D37" s="1" t="s">
        <v>49</v>
      </c>
    </row>
    <row r="39" spans="1:6" x14ac:dyDescent="0.2">
      <c r="B39" s="1" t="s">
        <v>50</v>
      </c>
      <c r="D39" s="1" t="s">
        <v>51</v>
      </c>
    </row>
    <row r="40" spans="1:6" x14ac:dyDescent="0.2">
      <c r="B40" s="1" t="s">
        <v>52</v>
      </c>
      <c r="D40" s="1" t="s">
        <v>51</v>
      </c>
    </row>
    <row r="41" spans="1:6" x14ac:dyDescent="0.2">
      <c r="B41" s="1" t="s">
        <v>52</v>
      </c>
      <c r="D41" s="1" t="s">
        <v>51</v>
      </c>
    </row>
    <row r="42" spans="1:6" x14ac:dyDescent="0.2">
      <c r="B42" s="1" t="s">
        <v>52</v>
      </c>
      <c r="D42" s="1" t="s">
        <v>51</v>
      </c>
    </row>
    <row r="43" spans="1:6" x14ac:dyDescent="0.2">
      <c r="B43" s="1" t="s">
        <v>52</v>
      </c>
      <c r="D43" s="1" t="s">
        <v>51</v>
      </c>
    </row>
  </sheetData>
  <mergeCells count="1">
    <mergeCell ref="A2:D3"/>
  </mergeCells>
  <pageMargins left="0.7" right="0.7" top="0.75" bottom="0.75" header="0.3" footer="0.3"/>
  <pageSetup paperSize="9" orientation="landscape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7D035-2132-4A1C-905D-13E2DCEDFD5B}">
  <sheetPr>
    <tabColor rgb="FF92D050"/>
  </sheetPr>
  <dimension ref="A1:I41"/>
  <sheetViews>
    <sheetView topLeftCell="A25" workbookViewId="0">
      <selection activeCell="I11" sqref="I11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310</v>
      </c>
      <c r="C4" s="3"/>
      <c r="D4" s="3"/>
    </row>
    <row r="5" spans="1:6" x14ac:dyDescent="0.2">
      <c r="B5" s="3"/>
      <c r="C5" s="3"/>
      <c r="D5" s="3"/>
      <c r="F5" s="1">
        <v>5056.5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3"/>
      <c r="E9" s="14"/>
      <c r="F9" s="14"/>
    </row>
    <row r="10" spans="1:6" ht="39" x14ac:dyDescent="0.25">
      <c r="A10" s="10"/>
      <c r="B10" s="15" t="s">
        <v>14</v>
      </c>
      <c r="C10" s="16">
        <v>2.79</v>
      </c>
      <c r="D10" s="110" t="s">
        <v>15</v>
      </c>
      <c r="E10" s="18">
        <f>C10*5056.5</f>
        <v>14107.635</v>
      </c>
      <c r="F10" s="18">
        <f>E10*12</f>
        <v>169291.62</v>
      </c>
    </row>
    <row r="11" spans="1:6" ht="15" x14ac:dyDescent="0.25">
      <c r="A11" s="10"/>
      <c r="B11" s="15" t="s">
        <v>76</v>
      </c>
      <c r="C11" s="16">
        <v>0.2</v>
      </c>
      <c r="D11" s="112" t="s">
        <v>20</v>
      </c>
      <c r="E11" s="18">
        <f t="shared" ref="E11:E29" si="0">C11*5056.5</f>
        <v>1011.3000000000001</v>
      </c>
      <c r="F11" s="18">
        <f>E11*12</f>
        <v>12135.6</v>
      </c>
    </row>
    <row r="12" spans="1:6" ht="39" x14ac:dyDescent="0.25">
      <c r="A12" s="10" t="s">
        <v>16</v>
      </c>
      <c r="B12" s="15" t="s">
        <v>17</v>
      </c>
      <c r="C12" s="16">
        <v>0.7</v>
      </c>
      <c r="D12" s="110" t="s">
        <v>15</v>
      </c>
      <c r="E12" s="18">
        <f t="shared" si="0"/>
        <v>3539.5499999999997</v>
      </c>
      <c r="F12" s="18">
        <f t="shared" ref="F12:F13" si="1">E12*12</f>
        <v>42474.6</v>
      </c>
    </row>
    <row r="13" spans="1:6" ht="39" x14ac:dyDescent="0.25">
      <c r="A13" s="22" t="s">
        <v>18</v>
      </c>
      <c r="B13" s="15" t="s">
        <v>19</v>
      </c>
      <c r="C13" s="23">
        <v>0.13</v>
      </c>
      <c r="D13" s="112" t="s">
        <v>20</v>
      </c>
      <c r="E13" s="18">
        <f t="shared" si="0"/>
        <v>657.34500000000003</v>
      </c>
      <c r="F13" s="18">
        <f t="shared" si="1"/>
        <v>7888.14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1.19</v>
      </c>
      <c r="D14" s="27"/>
      <c r="E14" s="18">
        <f t="shared" si="0"/>
        <v>6017.2349999999997</v>
      </c>
      <c r="F14" s="18">
        <f>F15+F16+F17+F19+F21+F20</f>
        <v>72206.820000000007</v>
      </c>
    </row>
    <row r="15" spans="1:6" ht="15" x14ac:dyDescent="0.25">
      <c r="A15" s="28"/>
      <c r="B15" s="29" t="s">
        <v>23</v>
      </c>
      <c r="C15" s="30">
        <v>0.03</v>
      </c>
      <c r="D15" s="31" t="s">
        <v>24</v>
      </c>
      <c r="E15" s="18">
        <f t="shared" si="0"/>
        <v>151.69499999999999</v>
      </c>
      <c r="F15" s="20">
        <f>E15*12</f>
        <v>1820.34</v>
      </c>
    </row>
    <row r="16" spans="1:6" ht="24.75" x14ac:dyDescent="0.25">
      <c r="A16" s="28"/>
      <c r="B16" s="29" t="s">
        <v>25</v>
      </c>
      <c r="C16" s="30">
        <v>0.25</v>
      </c>
      <c r="D16" s="32" t="s">
        <v>20</v>
      </c>
      <c r="E16" s="18">
        <f t="shared" si="0"/>
        <v>1264.125</v>
      </c>
      <c r="F16" s="20">
        <f t="shared" ref="F16:F21" si="2">E16*12</f>
        <v>15169.5</v>
      </c>
    </row>
    <row r="17" spans="1:9" ht="15" x14ac:dyDescent="0.25">
      <c r="A17" s="28"/>
      <c r="B17" s="33" t="s">
        <v>26</v>
      </c>
      <c r="C17" s="30">
        <v>0.7</v>
      </c>
      <c r="D17" s="34"/>
      <c r="E17" s="18">
        <f t="shared" si="0"/>
        <v>3539.5499999999997</v>
      </c>
      <c r="F17" s="20">
        <f t="shared" si="2"/>
        <v>42474.6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0.06</v>
      </c>
      <c r="D19" s="40" t="s">
        <v>30</v>
      </c>
      <c r="E19" s="18">
        <f t="shared" si="0"/>
        <v>303.39</v>
      </c>
      <c r="F19" s="20">
        <f>E19*12</f>
        <v>3640.68</v>
      </c>
    </row>
    <row r="20" spans="1:9" ht="15" x14ac:dyDescent="0.25">
      <c r="A20" s="28"/>
      <c r="B20" s="65" t="s">
        <v>71</v>
      </c>
      <c r="C20" s="41">
        <v>0.13</v>
      </c>
      <c r="D20" s="108" t="s">
        <v>59</v>
      </c>
      <c r="E20" s="18">
        <f t="shared" si="0"/>
        <v>657.34500000000003</v>
      </c>
      <c r="F20" s="20">
        <f t="shared" ref="F20" si="3">E20*12</f>
        <v>7888.14</v>
      </c>
    </row>
    <row r="21" spans="1:9" ht="24.75" x14ac:dyDescent="0.25">
      <c r="A21" s="19"/>
      <c r="B21" s="38" t="s">
        <v>55</v>
      </c>
      <c r="C21" s="41">
        <v>0.02</v>
      </c>
      <c r="D21" s="108" t="s">
        <v>59</v>
      </c>
      <c r="E21" s="18">
        <f t="shared" si="0"/>
        <v>101.13</v>
      </c>
      <c r="F21" s="20">
        <f t="shared" si="2"/>
        <v>1213.56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4.1500000000000004</v>
      </c>
      <c r="D24" s="109" t="s">
        <v>36</v>
      </c>
      <c r="E24" s="18">
        <f t="shared" si="0"/>
        <v>20984.475000000002</v>
      </c>
      <c r="F24" s="18">
        <f>E24*12</f>
        <v>251813.7</v>
      </c>
    </row>
    <row r="25" spans="1:9" ht="15" x14ac:dyDescent="0.25">
      <c r="A25" s="25" t="s">
        <v>39</v>
      </c>
      <c r="B25" s="48" t="s">
        <v>73</v>
      </c>
      <c r="C25" s="49">
        <v>3.18</v>
      </c>
      <c r="D25" s="50" t="s">
        <v>30</v>
      </c>
      <c r="E25" s="18">
        <f t="shared" si="0"/>
        <v>16079.67</v>
      </c>
      <c r="F25" s="18">
        <f t="shared" ref="F25:F28" si="4">E25*12</f>
        <v>192956.04</v>
      </c>
      <c r="G25" s="62"/>
    </row>
    <row r="26" spans="1:9" ht="34.5" x14ac:dyDescent="0.25">
      <c r="A26" s="25"/>
      <c r="B26" s="52" t="s">
        <v>40</v>
      </c>
      <c r="C26" s="53"/>
      <c r="D26" s="50"/>
      <c r="E26" s="18">
        <f t="shared" si="0"/>
        <v>0</v>
      </c>
      <c r="F26" s="18"/>
    </row>
    <row r="27" spans="1:9" ht="15" x14ac:dyDescent="0.25">
      <c r="A27" s="25" t="s">
        <v>41</v>
      </c>
      <c r="B27" s="47" t="s">
        <v>74</v>
      </c>
      <c r="C27" s="53">
        <v>3.45</v>
      </c>
      <c r="D27" s="50" t="s">
        <v>15</v>
      </c>
      <c r="E27" s="18">
        <f t="shared" si="0"/>
        <v>17444.924999999999</v>
      </c>
      <c r="F27" s="18">
        <f t="shared" si="4"/>
        <v>209339.09999999998</v>
      </c>
    </row>
    <row r="28" spans="1:9" ht="15" x14ac:dyDescent="0.25">
      <c r="A28" s="25" t="s">
        <v>42</v>
      </c>
      <c r="B28" s="55" t="s">
        <v>44</v>
      </c>
      <c r="C28" s="53">
        <v>1.01</v>
      </c>
      <c r="D28" s="50" t="s">
        <v>15</v>
      </c>
      <c r="E28" s="18">
        <f t="shared" si="0"/>
        <v>5107.0649999999996</v>
      </c>
      <c r="F28" s="18">
        <f t="shared" si="4"/>
        <v>61284.78</v>
      </c>
    </row>
    <row r="29" spans="1:9" ht="15.75" x14ac:dyDescent="0.25">
      <c r="A29" s="25"/>
      <c r="B29" s="56" t="s">
        <v>46</v>
      </c>
      <c r="C29" s="57">
        <f>C10+C11+C12+C13+C14+C24+C25+C27+C28</f>
        <v>16.8</v>
      </c>
      <c r="D29" s="50"/>
      <c r="E29" s="18">
        <f t="shared" si="0"/>
        <v>84949.2</v>
      </c>
      <c r="F29" s="18">
        <f>F10+F11+F12+F13+F14+F24+F25+F27+F28</f>
        <v>1019390.4</v>
      </c>
    </row>
    <row r="30" spans="1:9" ht="15.75" x14ac:dyDescent="0.25">
      <c r="A30" s="58"/>
      <c r="B30" s="3"/>
      <c r="C30" s="59"/>
      <c r="D30" s="60"/>
    </row>
    <row r="31" spans="1:9" ht="15.75" x14ac:dyDescent="0.25">
      <c r="A31" s="58"/>
      <c r="B31" s="3"/>
      <c r="C31" s="59"/>
      <c r="D31" s="60"/>
    </row>
    <row r="32" spans="1:9" ht="15.75" x14ac:dyDescent="0.25">
      <c r="A32" s="58"/>
      <c r="B32" s="3"/>
      <c r="C32" s="59"/>
      <c r="D32" s="60"/>
    </row>
    <row r="33" spans="1:5" x14ac:dyDescent="0.2">
      <c r="A33" s="58"/>
      <c r="C33" s="66"/>
      <c r="E33" s="54"/>
    </row>
    <row r="34" spans="1:5" x14ac:dyDescent="0.2">
      <c r="A34" s="58"/>
      <c r="B34" s="2" t="s">
        <v>47</v>
      </c>
      <c r="C34" s="1" t="s">
        <v>58</v>
      </c>
    </row>
    <row r="35" spans="1:5" x14ac:dyDescent="0.2">
      <c r="B35" s="1" t="s">
        <v>48</v>
      </c>
      <c r="D35" s="1" t="s">
        <v>49</v>
      </c>
    </row>
    <row r="37" spans="1:5" x14ac:dyDescent="0.2">
      <c r="B37" s="1" t="s">
        <v>50</v>
      </c>
      <c r="D37" s="1" t="s">
        <v>51</v>
      </c>
    </row>
    <row r="38" spans="1:5" x14ac:dyDescent="0.2">
      <c r="B38" s="1" t="s">
        <v>52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05F42-3064-49F0-9FE1-082D90BCFDEA}">
  <sheetPr>
    <tabColor rgb="FF92D050"/>
  </sheetPr>
  <dimension ref="A1:I41"/>
  <sheetViews>
    <sheetView topLeftCell="A22" workbookViewId="0">
      <selection activeCell="M11" sqref="M11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311</v>
      </c>
      <c r="C4" s="3"/>
      <c r="D4" s="3"/>
    </row>
    <row r="5" spans="1:6" x14ac:dyDescent="0.2">
      <c r="B5" s="3"/>
      <c r="C5" s="3"/>
      <c r="D5" s="3"/>
      <c r="F5" s="1">
        <v>4378.2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3"/>
      <c r="E9" s="14"/>
      <c r="F9" s="14"/>
    </row>
    <row r="10" spans="1:6" ht="39" x14ac:dyDescent="0.25">
      <c r="A10" s="10"/>
      <c r="B10" s="15" t="s">
        <v>14</v>
      </c>
      <c r="C10" s="16">
        <v>3.57</v>
      </c>
      <c r="D10" s="110" t="s">
        <v>15</v>
      </c>
      <c r="E10" s="18">
        <f>C10*4378.2</f>
        <v>15630.173999999999</v>
      </c>
      <c r="F10" s="18">
        <f>E10*12</f>
        <v>187562.08799999999</v>
      </c>
    </row>
    <row r="11" spans="1:6" ht="15" x14ac:dyDescent="0.25">
      <c r="A11" s="10"/>
      <c r="B11" s="15" t="s">
        <v>76</v>
      </c>
      <c r="C11" s="16">
        <v>0.25</v>
      </c>
      <c r="D11" s="112" t="s">
        <v>20</v>
      </c>
      <c r="E11" s="18">
        <f t="shared" ref="E11:E29" si="0">C11*4378.2</f>
        <v>1094.55</v>
      </c>
      <c r="F11" s="18">
        <f>E11*12</f>
        <v>13134.599999999999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110" t="s">
        <v>15</v>
      </c>
      <c r="E12" s="18">
        <f t="shared" si="0"/>
        <v>3940.38</v>
      </c>
      <c r="F12" s="18">
        <f t="shared" ref="F12:F13" si="1">E12*12</f>
        <v>47284.56</v>
      </c>
    </row>
    <row r="13" spans="1:6" ht="39" x14ac:dyDescent="0.25">
      <c r="A13" s="22" t="s">
        <v>18</v>
      </c>
      <c r="B13" s="15" t="s">
        <v>19</v>
      </c>
      <c r="C13" s="23">
        <v>0.37</v>
      </c>
      <c r="D13" s="112" t="s">
        <v>20</v>
      </c>
      <c r="E13" s="18">
        <f t="shared" si="0"/>
        <v>1619.934</v>
      </c>
      <c r="F13" s="18">
        <f t="shared" si="1"/>
        <v>19439.207999999999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1.2500000000000002</v>
      </c>
      <c r="D14" s="27"/>
      <c r="E14" s="18">
        <f t="shared" si="0"/>
        <v>5472.7500000000009</v>
      </c>
      <c r="F14" s="18">
        <f>F15+F16+F17+F19+F21+F20</f>
        <v>65672.999999999985</v>
      </c>
    </row>
    <row r="15" spans="1:6" ht="15" x14ac:dyDescent="0.25">
      <c r="A15" s="28"/>
      <c r="B15" s="29" t="s">
        <v>23</v>
      </c>
      <c r="C15" s="30">
        <v>0.08</v>
      </c>
      <c r="D15" s="31" t="s">
        <v>24</v>
      </c>
      <c r="E15" s="18">
        <f t="shared" si="0"/>
        <v>350.25599999999997</v>
      </c>
      <c r="F15" s="20">
        <f>E15*12</f>
        <v>4203.0720000000001</v>
      </c>
    </row>
    <row r="16" spans="1:6" ht="24.75" x14ac:dyDescent="0.25">
      <c r="A16" s="28"/>
      <c r="B16" s="29" t="s">
        <v>25</v>
      </c>
      <c r="C16" s="30">
        <v>0.26</v>
      </c>
      <c r="D16" s="32" t="s">
        <v>20</v>
      </c>
      <c r="E16" s="18">
        <f t="shared" si="0"/>
        <v>1138.3319999999999</v>
      </c>
      <c r="F16" s="20">
        <f t="shared" ref="F16:F21" si="2">E16*12</f>
        <v>13659.983999999999</v>
      </c>
    </row>
    <row r="17" spans="1:9" ht="15" x14ac:dyDescent="0.25">
      <c r="A17" s="28"/>
      <c r="B17" s="33" t="s">
        <v>26</v>
      </c>
      <c r="C17" s="30">
        <v>0.8</v>
      </c>
      <c r="D17" s="34"/>
      <c r="E17" s="18">
        <f t="shared" si="0"/>
        <v>3502.56</v>
      </c>
      <c r="F17" s="20">
        <f t="shared" si="2"/>
        <v>42030.720000000001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0.02</v>
      </c>
      <c r="D19" s="40" t="s">
        <v>30</v>
      </c>
      <c r="E19" s="18">
        <f t="shared" si="0"/>
        <v>87.563999999999993</v>
      </c>
      <c r="F19" s="20">
        <f>E19*12</f>
        <v>1050.768</v>
      </c>
    </row>
    <row r="20" spans="1:9" ht="15" x14ac:dyDescent="0.25">
      <c r="A20" s="28"/>
      <c r="B20" s="38" t="s">
        <v>54</v>
      </c>
      <c r="C20" s="41">
        <v>7.0000000000000007E-2</v>
      </c>
      <c r="D20" s="42" t="s">
        <v>29</v>
      </c>
      <c r="E20" s="18">
        <f t="shared" si="0"/>
        <v>306.47399999999999</v>
      </c>
      <c r="F20" s="20">
        <f t="shared" ref="F20" si="3">E20*12</f>
        <v>3677.6880000000001</v>
      </c>
    </row>
    <row r="21" spans="1:9" ht="24.75" x14ac:dyDescent="0.25">
      <c r="A21" s="19"/>
      <c r="B21" s="38" t="s">
        <v>55</v>
      </c>
      <c r="C21" s="41">
        <v>0.02</v>
      </c>
      <c r="D21" s="108" t="s">
        <v>59</v>
      </c>
      <c r="E21" s="18">
        <f t="shared" si="0"/>
        <v>87.563999999999993</v>
      </c>
      <c r="F21" s="20">
        <f t="shared" si="2"/>
        <v>1050.768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2.35</v>
      </c>
      <c r="D24" s="109" t="s">
        <v>36</v>
      </c>
      <c r="E24" s="18">
        <f t="shared" si="0"/>
        <v>10288.77</v>
      </c>
      <c r="F24" s="18">
        <f>E24*12</f>
        <v>123465.24</v>
      </c>
    </row>
    <row r="25" spans="1:9" ht="15" x14ac:dyDescent="0.25">
      <c r="A25" s="25" t="s">
        <v>39</v>
      </c>
      <c r="B25" s="48" t="s">
        <v>73</v>
      </c>
      <c r="C25" s="49">
        <v>2.4</v>
      </c>
      <c r="D25" s="50" t="s">
        <v>30</v>
      </c>
      <c r="E25" s="18">
        <f t="shared" si="0"/>
        <v>10507.679999999998</v>
      </c>
      <c r="F25" s="18">
        <f t="shared" ref="F25:F28" si="4">E25*12</f>
        <v>126092.15999999997</v>
      </c>
      <c r="G25" s="62"/>
    </row>
    <row r="26" spans="1:9" ht="34.5" x14ac:dyDescent="0.25">
      <c r="A26" s="25"/>
      <c r="B26" s="52" t="s">
        <v>40</v>
      </c>
      <c r="C26" s="53"/>
      <c r="D26" s="50"/>
      <c r="E26" s="18">
        <f t="shared" si="0"/>
        <v>0</v>
      </c>
      <c r="F26" s="18"/>
    </row>
    <row r="27" spans="1:9" ht="15" x14ac:dyDescent="0.25">
      <c r="A27" s="25" t="s">
        <v>41</v>
      </c>
      <c r="B27" s="47" t="s">
        <v>74</v>
      </c>
      <c r="C27" s="53">
        <v>3.95</v>
      </c>
      <c r="D27" s="50" t="s">
        <v>15</v>
      </c>
      <c r="E27" s="18">
        <f t="shared" si="0"/>
        <v>17293.89</v>
      </c>
      <c r="F27" s="18">
        <f t="shared" si="4"/>
        <v>207526.68</v>
      </c>
    </row>
    <row r="28" spans="1:9" ht="15" x14ac:dyDescent="0.25">
      <c r="A28" s="25" t="s">
        <v>42</v>
      </c>
      <c r="B28" s="55" t="s">
        <v>44</v>
      </c>
      <c r="C28" s="53">
        <v>0.96</v>
      </c>
      <c r="D28" s="50" t="s">
        <v>15</v>
      </c>
      <c r="E28" s="18">
        <f t="shared" si="0"/>
        <v>4203.0720000000001</v>
      </c>
      <c r="F28" s="18">
        <f t="shared" si="4"/>
        <v>50436.864000000001</v>
      </c>
    </row>
    <row r="29" spans="1:9" ht="15.75" x14ac:dyDescent="0.25">
      <c r="A29" s="25"/>
      <c r="B29" s="56" t="s">
        <v>46</v>
      </c>
      <c r="C29" s="57">
        <f>C10+C11+C12+C13+C14+C24+C25+C27+C28</f>
        <v>16</v>
      </c>
      <c r="D29" s="50"/>
      <c r="E29" s="18">
        <f t="shared" si="0"/>
        <v>70051.199999999997</v>
      </c>
      <c r="F29" s="18">
        <f>F10+F11+F12+F13+F14+F24+F25+F27+F28</f>
        <v>840614.39999999991</v>
      </c>
    </row>
    <row r="30" spans="1:9" ht="15.75" x14ac:dyDescent="0.25">
      <c r="A30" s="58"/>
      <c r="B30" s="3"/>
      <c r="C30" s="59"/>
      <c r="D30" s="60"/>
    </row>
    <row r="31" spans="1:9" ht="15.75" x14ac:dyDescent="0.25">
      <c r="A31" s="58"/>
      <c r="B31" s="3"/>
      <c r="C31" s="59"/>
      <c r="D31" s="60"/>
    </row>
    <row r="32" spans="1:9" ht="15.75" x14ac:dyDescent="0.25">
      <c r="A32" s="58"/>
      <c r="B32" s="3"/>
      <c r="C32" s="59"/>
      <c r="D32" s="60"/>
    </row>
    <row r="33" spans="1:5" x14ac:dyDescent="0.2">
      <c r="A33" s="58"/>
      <c r="C33" s="66"/>
      <c r="E33" s="54"/>
    </row>
    <row r="34" spans="1:5" x14ac:dyDescent="0.2">
      <c r="A34" s="58"/>
      <c r="B34" s="2" t="s">
        <v>47</v>
      </c>
      <c r="C34" s="1" t="s">
        <v>58</v>
      </c>
    </row>
    <row r="35" spans="1:5" x14ac:dyDescent="0.2">
      <c r="B35" s="1" t="s">
        <v>48</v>
      </c>
      <c r="D35" s="1" t="s">
        <v>49</v>
      </c>
    </row>
    <row r="37" spans="1:5" x14ac:dyDescent="0.2">
      <c r="B37" s="1" t="s">
        <v>50</v>
      </c>
      <c r="D37" s="1" t="s">
        <v>51</v>
      </c>
    </row>
    <row r="38" spans="1:5" x14ac:dyDescent="0.2">
      <c r="B38" s="1" t="s">
        <v>52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3B41B-125B-492A-BB5F-C615F5F15C26}">
  <sheetPr>
    <tabColor rgb="FF92D050"/>
  </sheetPr>
  <dimension ref="A1:I42"/>
  <sheetViews>
    <sheetView topLeftCell="A22" workbookViewId="0">
      <selection activeCell="H12" sqref="H12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312</v>
      </c>
      <c r="C4" s="3"/>
      <c r="D4" s="3"/>
    </row>
    <row r="5" spans="1:6" x14ac:dyDescent="0.2">
      <c r="B5" s="3"/>
      <c r="C5" s="3"/>
      <c r="D5" s="3"/>
      <c r="F5" s="1">
        <v>2517.54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3"/>
      <c r="E9" s="14"/>
      <c r="F9" s="14"/>
    </row>
    <row r="10" spans="1:6" ht="39" x14ac:dyDescent="0.25">
      <c r="A10" s="10"/>
      <c r="B10" s="15" t="s">
        <v>14</v>
      </c>
      <c r="C10" s="16">
        <v>3</v>
      </c>
      <c r="D10" s="110" t="s">
        <v>15</v>
      </c>
      <c r="E10" s="18">
        <f>C10*2517.54</f>
        <v>7552.62</v>
      </c>
      <c r="F10" s="18">
        <f>E10*12</f>
        <v>90631.44</v>
      </c>
    </row>
    <row r="11" spans="1:6" ht="15" x14ac:dyDescent="0.25">
      <c r="A11" s="10"/>
      <c r="B11" s="15" t="s">
        <v>76</v>
      </c>
      <c r="C11" s="16">
        <v>0.3</v>
      </c>
      <c r="D11" s="112" t="s">
        <v>20</v>
      </c>
      <c r="E11" s="18">
        <f t="shared" ref="E11:E32" si="0">C11*2517.54</f>
        <v>755.26199999999994</v>
      </c>
      <c r="F11" s="18">
        <f>E11*12</f>
        <v>9063.1440000000002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110" t="s">
        <v>15</v>
      </c>
      <c r="E12" s="18">
        <f t="shared" si="0"/>
        <v>2265.7860000000001</v>
      </c>
      <c r="F12" s="18">
        <f t="shared" ref="F12:F13" si="1">E12*12</f>
        <v>27189.432000000001</v>
      </c>
    </row>
    <row r="13" spans="1:6" ht="39" x14ac:dyDescent="0.25">
      <c r="A13" s="22" t="s">
        <v>18</v>
      </c>
      <c r="B13" s="15" t="s">
        <v>19</v>
      </c>
      <c r="C13" s="23">
        <v>0.12</v>
      </c>
      <c r="D13" s="112" t="s">
        <v>20</v>
      </c>
      <c r="E13" s="18">
        <f t="shared" si="0"/>
        <v>302.10480000000001</v>
      </c>
      <c r="F13" s="18">
        <f t="shared" si="1"/>
        <v>3625.2575999999999</v>
      </c>
    </row>
    <row r="14" spans="1:6" ht="15.75" x14ac:dyDescent="0.25">
      <c r="A14" s="25" t="s">
        <v>21</v>
      </c>
      <c r="B14" s="26" t="s">
        <v>22</v>
      </c>
      <c r="C14" s="83">
        <f>C15+C16+C17+C19+C20</f>
        <v>1.2000000000000002</v>
      </c>
      <c r="D14" s="27"/>
      <c r="E14" s="18">
        <f t="shared" si="0"/>
        <v>3021.0480000000002</v>
      </c>
      <c r="F14" s="18">
        <f>F15+F16+F17+F19+F20</f>
        <v>36252.576000000001</v>
      </c>
    </row>
    <row r="15" spans="1:6" ht="15" x14ac:dyDescent="0.25">
      <c r="A15" s="28"/>
      <c r="B15" s="29" t="s">
        <v>23</v>
      </c>
      <c r="C15" s="89">
        <v>0.08</v>
      </c>
      <c r="D15" s="95" t="s">
        <v>24</v>
      </c>
      <c r="E15" s="18">
        <f t="shared" si="0"/>
        <v>201.4032</v>
      </c>
      <c r="F15" s="96">
        <f>E15*12</f>
        <v>2416.8384000000001</v>
      </c>
    </row>
    <row r="16" spans="1:6" ht="24.75" x14ac:dyDescent="0.25">
      <c r="A16" s="28"/>
      <c r="B16" s="29" t="s">
        <v>25</v>
      </c>
      <c r="C16" s="89">
        <v>0.25</v>
      </c>
      <c r="D16" s="97" t="s">
        <v>20</v>
      </c>
      <c r="E16" s="18">
        <f t="shared" si="0"/>
        <v>629.38499999999999</v>
      </c>
      <c r="F16" s="96">
        <f t="shared" ref="F16:F17" si="2">E16*12</f>
        <v>7552.62</v>
      </c>
    </row>
    <row r="17" spans="1:9" ht="15" x14ac:dyDescent="0.25">
      <c r="A17" s="28"/>
      <c r="B17" s="33" t="s">
        <v>26</v>
      </c>
      <c r="C17" s="89">
        <v>0.8</v>
      </c>
      <c r="D17" s="98"/>
      <c r="E17" s="18">
        <f t="shared" si="0"/>
        <v>2014.0320000000002</v>
      </c>
      <c r="F17" s="96">
        <f t="shared" si="2"/>
        <v>24168.384000000002</v>
      </c>
    </row>
    <row r="18" spans="1:9" ht="41.1" customHeight="1" x14ac:dyDescent="0.25">
      <c r="A18" s="25"/>
      <c r="B18" s="35" t="s">
        <v>27</v>
      </c>
      <c r="C18" s="90"/>
      <c r="D18" s="99" t="s">
        <v>28</v>
      </c>
      <c r="E18" s="18">
        <f t="shared" si="0"/>
        <v>0</v>
      </c>
      <c r="F18" s="85"/>
    </row>
    <row r="19" spans="1:9" ht="15" x14ac:dyDescent="0.25">
      <c r="A19" s="28"/>
      <c r="B19" s="38" t="s">
        <v>53</v>
      </c>
      <c r="C19" s="86">
        <v>0.02</v>
      </c>
      <c r="D19" s="100" t="s">
        <v>30</v>
      </c>
      <c r="E19" s="18">
        <f t="shared" si="0"/>
        <v>50.3508</v>
      </c>
      <c r="F19" s="96">
        <f>E19*12</f>
        <v>604.20960000000002</v>
      </c>
    </row>
    <row r="20" spans="1:9" ht="15" x14ac:dyDescent="0.25">
      <c r="A20" s="28"/>
      <c r="B20" s="38" t="s">
        <v>54</v>
      </c>
      <c r="C20" s="92">
        <v>0.05</v>
      </c>
      <c r="D20" s="101" t="s">
        <v>29</v>
      </c>
      <c r="E20" s="18">
        <f t="shared" si="0"/>
        <v>125.87700000000001</v>
      </c>
      <c r="F20" s="96">
        <f t="shared" ref="F20" si="3">E20*12</f>
        <v>1510.5240000000001</v>
      </c>
    </row>
    <row r="21" spans="1:9" ht="39" x14ac:dyDescent="0.25">
      <c r="A21" s="23" t="s">
        <v>32</v>
      </c>
      <c r="B21" s="43" t="s">
        <v>33</v>
      </c>
      <c r="C21" s="81"/>
      <c r="D21" s="81"/>
      <c r="E21" s="18">
        <f t="shared" si="0"/>
        <v>0</v>
      </c>
      <c r="F21" s="14"/>
      <c r="I21" s="1" t="s">
        <v>56</v>
      </c>
    </row>
    <row r="22" spans="1:9" ht="15" x14ac:dyDescent="0.25">
      <c r="A22" s="81"/>
      <c r="B22" s="4" t="s">
        <v>34</v>
      </c>
      <c r="C22" s="81"/>
      <c r="D22" s="4"/>
      <c r="E22" s="18">
        <f t="shared" si="0"/>
        <v>0</v>
      </c>
      <c r="F22" s="14"/>
    </row>
    <row r="23" spans="1:9" ht="26.25" x14ac:dyDescent="0.25">
      <c r="A23" s="25"/>
      <c r="B23" s="44" t="s">
        <v>35</v>
      </c>
      <c r="C23" s="83">
        <v>2.8</v>
      </c>
      <c r="D23" s="109" t="s">
        <v>36</v>
      </c>
      <c r="E23" s="18">
        <f t="shared" si="0"/>
        <v>7049.1119999999992</v>
      </c>
      <c r="F23" s="18">
        <f>E23*12</f>
        <v>84589.343999999983</v>
      </c>
    </row>
    <row r="24" spans="1:9" ht="15" x14ac:dyDescent="0.25">
      <c r="A24" s="81"/>
      <c r="B24" s="46" t="s">
        <v>37</v>
      </c>
      <c r="C24" s="81"/>
      <c r="D24" s="81"/>
      <c r="E24" s="18">
        <f t="shared" si="0"/>
        <v>0</v>
      </c>
      <c r="F24" s="18"/>
    </row>
    <row r="25" spans="1:9" ht="15" x14ac:dyDescent="0.25">
      <c r="A25" s="82"/>
      <c r="B25" s="47" t="s">
        <v>38</v>
      </c>
      <c r="C25" s="83">
        <v>2.9</v>
      </c>
      <c r="D25" s="109" t="s">
        <v>36</v>
      </c>
      <c r="E25" s="18">
        <f t="shared" si="0"/>
        <v>7300.866</v>
      </c>
      <c r="F25" s="18">
        <f t="shared" ref="F25:F31" si="4">E25*12</f>
        <v>87610.391999999993</v>
      </c>
    </row>
    <row r="26" spans="1:9" ht="15" x14ac:dyDescent="0.25">
      <c r="A26" s="82"/>
      <c r="B26" s="47" t="s">
        <v>77</v>
      </c>
      <c r="C26" s="83">
        <v>2.5</v>
      </c>
      <c r="D26" s="109" t="s">
        <v>36</v>
      </c>
      <c r="E26" s="18">
        <f t="shared" si="0"/>
        <v>6293.85</v>
      </c>
      <c r="F26" s="18">
        <f t="shared" si="4"/>
        <v>75526.200000000012</v>
      </c>
    </row>
    <row r="27" spans="1:9" ht="51.75" x14ac:dyDescent="0.25">
      <c r="A27" s="24" t="s">
        <v>39</v>
      </c>
      <c r="B27" s="80" t="s">
        <v>57</v>
      </c>
      <c r="C27" s="79">
        <v>0.06</v>
      </c>
      <c r="D27" s="27" t="s">
        <v>72</v>
      </c>
      <c r="E27" s="18">
        <f t="shared" si="0"/>
        <v>151.05240000000001</v>
      </c>
      <c r="F27" s="18">
        <f t="shared" si="4"/>
        <v>1812.6288</v>
      </c>
    </row>
    <row r="28" spans="1:9" ht="15" x14ac:dyDescent="0.25">
      <c r="A28" s="25" t="s">
        <v>41</v>
      </c>
      <c r="B28" s="48" t="s">
        <v>73</v>
      </c>
      <c r="C28" s="49">
        <v>2.5</v>
      </c>
      <c r="D28" s="50" t="s">
        <v>30</v>
      </c>
      <c r="E28" s="18">
        <f t="shared" si="0"/>
        <v>6293.85</v>
      </c>
      <c r="F28" s="18">
        <f t="shared" si="4"/>
        <v>75526.200000000012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18"/>
    </row>
    <row r="30" spans="1:9" ht="15" x14ac:dyDescent="0.25">
      <c r="A30" s="25" t="s">
        <v>42</v>
      </c>
      <c r="B30" s="47" t="s">
        <v>74</v>
      </c>
      <c r="C30" s="53">
        <v>4.4000000000000004</v>
      </c>
      <c r="D30" s="50" t="s">
        <v>15</v>
      </c>
      <c r="E30" s="18">
        <f t="shared" si="0"/>
        <v>11077.176000000001</v>
      </c>
      <c r="F30" s="18">
        <f t="shared" si="4"/>
        <v>132926.11200000002</v>
      </c>
    </row>
    <row r="31" spans="1:9" ht="15" x14ac:dyDescent="0.25">
      <c r="A31" s="25" t="s">
        <v>43</v>
      </c>
      <c r="B31" s="55" t="s">
        <v>44</v>
      </c>
      <c r="C31" s="53">
        <v>1.32</v>
      </c>
      <c r="D31" s="50" t="s">
        <v>15</v>
      </c>
      <c r="E31" s="18">
        <f t="shared" si="0"/>
        <v>3323.1528000000003</v>
      </c>
      <c r="F31" s="18">
        <f t="shared" si="4"/>
        <v>39877.833600000005</v>
      </c>
    </row>
    <row r="32" spans="1:9" ht="15.75" x14ac:dyDescent="0.25">
      <c r="A32" s="25"/>
      <c r="B32" s="56" t="s">
        <v>46</v>
      </c>
      <c r="C32" s="57">
        <f>C10+C11+C12+C13+C14+C23+C25+C26+C27+C28+C30+C31</f>
        <v>22</v>
      </c>
      <c r="D32" s="50"/>
      <c r="E32" s="18">
        <f t="shared" si="0"/>
        <v>55385.88</v>
      </c>
      <c r="F32" s="18">
        <f>F10+F11+F12+F13+F14+F23+F25+F26+F27+F28+F30+F31</f>
        <v>664630.56000000006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3E81-989D-4469-BAF8-880366558EE8}">
  <sheetPr>
    <tabColor rgb="FF92D050"/>
  </sheetPr>
  <dimension ref="A1:I41"/>
  <sheetViews>
    <sheetView topLeftCell="A25" workbookViewId="0">
      <selection activeCell="I11" sqref="I11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313</v>
      </c>
      <c r="C4" s="3"/>
      <c r="D4" s="3"/>
    </row>
    <row r="5" spans="1:6" x14ac:dyDescent="0.2">
      <c r="B5" s="3"/>
      <c r="C5" s="3"/>
      <c r="D5" s="3"/>
      <c r="F5" s="1">
        <v>4270.5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3"/>
      <c r="E9" s="14"/>
      <c r="F9" s="14"/>
    </row>
    <row r="10" spans="1:6" ht="39" x14ac:dyDescent="0.25">
      <c r="A10" s="10"/>
      <c r="B10" s="15" t="s">
        <v>14</v>
      </c>
      <c r="C10" s="16">
        <v>3.33</v>
      </c>
      <c r="D10" s="110" t="s">
        <v>15</v>
      </c>
      <c r="E10" s="18">
        <f>C10*4270.5</f>
        <v>14220.764999999999</v>
      </c>
      <c r="F10" s="18">
        <f>E10*12</f>
        <v>170649.18</v>
      </c>
    </row>
    <row r="11" spans="1:6" ht="15" x14ac:dyDescent="0.25">
      <c r="A11" s="10"/>
      <c r="B11" s="15" t="s">
        <v>76</v>
      </c>
      <c r="C11" s="16">
        <v>0.25</v>
      </c>
      <c r="D11" s="112" t="s">
        <v>20</v>
      </c>
      <c r="E11" s="18">
        <f t="shared" ref="E11:E29" si="0">C11*4270.5</f>
        <v>1067.625</v>
      </c>
      <c r="F11" s="18">
        <f>E11*12</f>
        <v>12811.5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110" t="s">
        <v>15</v>
      </c>
      <c r="E12" s="18">
        <f t="shared" si="0"/>
        <v>3843.4500000000003</v>
      </c>
      <c r="F12" s="18">
        <f t="shared" ref="F12:F13" si="1">E12*12</f>
        <v>46121.4</v>
      </c>
    </row>
    <row r="13" spans="1:6" ht="39" x14ac:dyDescent="0.25">
      <c r="A13" s="22" t="s">
        <v>18</v>
      </c>
      <c r="B13" s="15" t="s">
        <v>19</v>
      </c>
      <c r="C13" s="23">
        <v>0.47</v>
      </c>
      <c r="D13" s="112" t="s">
        <v>20</v>
      </c>
      <c r="E13" s="18">
        <f t="shared" si="0"/>
        <v>2007.135</v>
      </c>
      <c r="F13" s="18">
        <f t="shared" si="1"/>
        <v>24085.62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1.37</v>
      </c>
      <c r="D14" s="27"/>
      <c r="E14" s="18">
        <f t="shared" si="0"/>
        <v>5850.585</v>
      </c>
      <c r="F14" s="18">
        <f>F15+F16+F17+F19+F21+F20</f>
        <v>70207.02</v>
      </c>
    </row>
    <row r="15" spans="1:6" ht="15" x14ac:dyDescent="0.25">
      <c r="A15" s="28"/>
      <c r="B15" s="29" t="s">
        <v>23</v>
      </c>
      <c r="C15" s="30">
        <v>0.1</v>
      </c>
      <c r="D15" s="31" t="s">
        <v>24</v>
      </c>
      <c r="E15" s="18">
        <f t="shared" si="0"/>
        <v>427.05</v>
      </c>
      <c r="F15" s="20">
        <f>E15*12</f>
        <v>5124.6000000000004</v>
      </c>
    </row>
    <row r="16" spans="1:6" ht="24.75" x14ac:dyDescent="0.25">
      <c r="A16" s="28"/>
      <c r="B16" s="29" t="s">
        <v>25</v>
      </c>
      <c r="C16" s="30">
        <v>0.28000000000000003</v>
      </c>
      <c r="D16" s="32" t="s">
        <v>20</v>
      </c>
      <c r="E16" s="18">
        <f t="shared" si="0"/>
        <v>1195.74</v>
      </c>
      <c r="F16" s="20">
        <f t="shared" ref="F16:F21" si="2">E16*12</f>
        <v>14348.880000000001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3843.4500000000003</v>
      </c>
      <c r="F17" s="20">
        <f t="shared" si="2"/>
        <v>46121.4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0.02</v>
      </c>
      <c r="D19" s="40" t="s">
        <v>30</v>
      </c>
      <c r="E19" s="18">
        <f t="shared" si="0"/>
        <v>85.41</v>
      </c>
      <c r="F19" s="20">
        <f>E19*12</f>
        <v>1024.92</v>
      </c>
    </row>
    <row r="20" spans="1:9" ht="15" x14ac:dyDescent="0.25">
      <c r="A20" s="28"/>
      <c r="B20" s="38" t="s">
        <v>54</v>
      </c>
      <c r="C20" s="41">
        <v>0.06</v>
      </c>
      <c r="D20" s="42" t="s">
        <v>29</v>
      </c>
      <c r="E20" s="18">
        <f t="shared" si="0"/>
        <v>256.23</v>
      </c>
      <c r="F20" s="20">
        <f t="shared" ref="F20" si="3">E20*12</f>
        <v>3074.76</v>
      </c>
    </row>
    <row r="21" spans="1:9" ht="24.75" x14ac:dyDescent="0.25">
      <c r="A21" s="19"/>
      <c r="B21" s="38" t="s">
        <v>55</v>
      </c>
      <c r="C21" s="41">
        <v>0.01</v>
      </c>
      <c r="D21" s="108" t="s">
        <v>59</v>
      </c>
      <c r="E21" s="18">
        <f t="shared" si="0"/>
        <v>42.704999999999998</v>
      </c>
      <c r="F21" s="20">
        <f t="shared" si="2"/>
        <v>512.46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2.95</v>
      </c>
      <c r="D24" s="45"/>
      <c r="E24" s="18">
        <f t="shared" si="0"/>
        <v>12597.975</v>
      </c>
      <c r="F24" s="18">
        <f>E24*12</f>
        <v>151175.70000000001</v>
      </c>
    </row>
    <row r="25" spans="1:9" ht="15" x14ac:dyDescent="0.25">
      <c r="A25" s="25" t="s">
        <v>39</v>
      </c>
      <c r="B25" s="48" t="s">
        <v>73</v>
      </c>
      <c r="C25" s="49">
        <v>2.09</v>
      </c>
      <c r="D25" s="50" t="s">
        <v>30</v>
      </c>
      <c r="E25" s="18">
        <f t="shared" si="0"/>
        <v>8925.3449999999993</v>
      </c>
      <c r="F25" s="18">
        <f t="shared" ref="F25:F28" si="4">E25*12</f>
        <v>107104.13999999998</v>
      </c>
      <c r="G25" s="62"/>
    </row>
    <row r="26" spans="1:9" ht="34.5" x14ac:dyDescent="0.25">
      <c r="A26" s="25"/>
      <c r="B26" s="52" t="s">
        <v>40</v>
      </c>
      <c r="C26" s="53"/>
      <c r="D26" s="50"/>
      <c r="E26" s="18">
        <f t="shared" si="0"/>
        <v>0</v>
      </c>
      <c r="F26" s="18"/>
    </row>
    <row r="27" spans="1:9" ht="15" x14ac:dyDescent="0.25">
      <c r="A27" s="25" t="s">
        <v>41</v>
      </c>
      <c r="B27" s="47" t="s">
        <v>74</v>
      </c>
      <c r="C27" s="53">
        <v>4.1500000000000004</v>
      </c>
      <c r="D27" s="50" t="s">
        <v>15</v>
      </c>
      <c r="E27" s="18">
        <f t="shared" si="0"/>
        <v>17722.575000000001</v>
      </c>
      <c r="F27" s="18">
        <f t="shared" si="4"/>
        <v>212670.90000000002</v>
      </c>
    </row>
    <row r="28" spans="1:9" ht="15" x14ac:dyDescent="0.25">
      <c r="A28" s="25" t="s">
        <v>42</v>
      </c>
      <c r="B28" s="55" t="s">
        <v>44</v>
      </c>
      <c r="C28" s="53">
        <v>0.99</v>
      </c>
      <c r="D28" s="50" t="s">
        <v>15</v>
      </c>
      <c r="E28" s="18">
        <f t="shared" si="0"/>
        <v>4227.7950000000001</v>
      </c>
      <c r="F28" s="18">
        <f t="shared" si="4"/>
        <v>50733.54</v>
      </c>
    </row>
    <row r="29" spans="1:9" ht="15.75" x14ac:dyDescent="0.25">
      <c r="A29" s="25"/>
      <c r="B29" s="56" t="s">
        <v>46</v>
      </c>
      <c r="C29" s="57">
        <f>C10+C11+C12+C13+C14+C24+C25+C27+C28</f>
        <v>16.5</v>
      </c>
      <c r="D29" s="50"/>
      <c r="E29" s="18">
        <f t="shared" si="0"/>
        <v>70463.25</v>
      </c>
      <c r="F29" s="18">
        <f>F10+F11+F12+F13+F14+F24+F25+F27+F28</f>
        <v>845559</v>
      </c>
    </row>
    <row r="30" spans="1:9" ht="15.75" x14ac:dyDescent="0.25">
      <c r="A30" s="58"/>
      <c r="B30" s="3"/>
      <c r="C30" s="59"/>
      <c r="D30" s="60"/>
    </row>
    <row r="31" spans="1:9" ht="15.75" x14ac:dyDescent="0.25">
      <c r="A31" s="58"/>
      <c r="B31" s="3"/>
      <c r="C31" s="59"/>
      <c r="D31" s="60"/>
    </row>
    <row r="32" spans="1:9" ht="15.75" x14ac:dyDescent="0.25">
      <c r="A32" s="58"/>
      <c r="B32" s="3"/>
      <c r="C32" s="59"/>
      <c r="D32" s="60"/>
    </row>
    <row r="33" spans="1:5" x14ac:dyDescent="0.2">
      <c r="A33" s="58"/>
      <c r="C33" s="66"/>
      <c r="E33" s="54"/>
    </row>
    <row r="34" spans="1:5" x14ac:dyDescent="0.2">
      <c r="A34" s="58"/>
      <c r="B34" s="2" t="s">
        <v>47</v>
      </c>
      <c r="C34" s="1" t="s">
        <v>58</v>
      </c>
    </row>
    <row r="35" spans="1:5" x14ac:dyDescent="0.2">
      <c r="B35" s="1" t="s">
        <v>48</v>
      </c>
      <c r="D35" s="1" t="s">
        <v>49</v>
      </c>
    </row>
    <row r="37" spans="1:5" x14ac:dyDescent="0.2">
      <c r="B37" s="1" t="s">
        <v>50</v>
      </c>
      <c r="D37" s="1" t="s">
        <v>51</v>
      </c>
    </row>
    <row r="38" spans="1:5" x14ac:dyDescent="0.2">
      <c r="B38" s="1" t="s">
        <v>52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F3447-7F6A-4E3F-8431-644B461C4BCD}">
  <sheetPr>
    <tabColor theme="6" tint="0.59999389629810485"/>
  </sheetPr>
  <dimension ref="A1:I41"/>
  <sheetViews>
    <sheetView workbookViewId="0">
      <selection activeCell="I10" sqref="I10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314</v>
      </c>
      <c r="C4" s="3"/>
      <c r="D4" s="3"/>
    </row>
    <row r="5" spans="1:6" x14ac:dyDescent="0.2">
      <c r="B5" s="3"/>
      <c r="C5" s="3"/>
      <c r="D5" s="3"/>
      <c r="F5" s="1">
        <v>3643.8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3"/>
      <c r="E9" s="14"/>
      <c r="F9" s="14"/>
    </row>
    <row r="10" spans="1:6" ht="39" x14ac:dyDescent="0.25">
      <c r="A10" s="10"/>
      <c r="B10" s="15" t="s">
        <v>14</v>
      </c>
      <c r="C10" s="16">
        <v>3.38</v>
      </c>
      <c r="D10" s="110" t="s">
        <v>15</v>
      </c>
      <c r="E10" s="18">
        <f>C10*3643.8</f>
        <v>12316.044</v>
      </c>
      <c r="F10" s="18">
        <f>E10*12</f>
        <v>147792.52799999999</v>
      </c>
    </row>
    <row r="11" spans="1:6" ht="15" x14ac:dyDescent="0.25">
      <c r="A11" s="10"/>
      <c r="B11" s="15" t="s">
        <v>76</v>
      </c>
      <c r="C11" s="16">
        <v>0.2</v>
      </c>
      <c r="D11" s="112" t="s">
        <v>20</v>
      </c>
      <c r="E11" s="18">
        <f t="shared" ref="E11:E29" si="0">C11*3643.8</f>
        <v>728.7600000000001</v>
      </c>
      <c r="F11" s="18">
        <f>E11*12</f>
        <v>8745.1200000000008</v>
      </c>
    </row>
    <row r="12" spans="1:6" ht="39" x14ac:dyDescent="0.25">
      <c r="A12" s="10" t="s">
        <v>16</v>
      </c>
      <c r="B12" s="15" t="s">
        <v>17</v>
      </c>
      <c r="C12" s="16">
        <v>0.99</v>
      </c>
      <c r="D12" s="110" t="s">
        <v>15</v>
      </c>
      <c r="E12" s="18">
        <f t="shared" si="0"/>
        <v>3607.3620000000001</v>
      </c>
      <c r="F12" s="18">
        <f t="shared" ref="F12:F13" si="1">E12*12</f>
        <v>43288.343999999997</v>
      </c>
    </row>
    <row r="13" spans="1:6" ht="39" x14ac:dyDescent="0.25">
      <c r="A13" s="22" t="s">
        <v>18</v>
      </c>
      <c r="B13" s="15" t="s">
        <v>19</v>
      </c>
      <c r="C13" s="23">
        <v>0.5</v>
      </c>
      <c r="D13" s="112" t="s">
        <v>20</v>
      </c>
      <c r="E13" s="18">
        <f t="shared" si="0"/>
        <v>1821.9</v>
      </c>
      <c r="F13" s="18">
        <f t="shared" si="1"/>
        <v>21862.800000000003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1.4200000000000002</v>
      </c>
      <c r="D14" s="27"/>
      <c r="E14" s="18">
        <f t="shared" si="0"/>
        <v>5174.1960000000008</v>
      </c>
      <c r="F14" s="18">
        <f>F15+F16+F17+F19+F21+F20</f>
        <v>62090.351999999999</v>
      </c>
    </row>
    <row r="15" spans="1:6" ht="15" x14ac:dyDescent="0.25">
      <c r="A15" s="28"/>
      <c r="B15" s="29" t="s">
        <v>23</v>
      </c>
      <c r="C15" s="30">
        <v>0.15</v>
      </c>
      <c r="D15" s="31" t="s">
        <v>24</v>
      </c>
      <c r="E15" s="18">
        <f t="shared" si="0"/>
        <v>546.57000000000005</v>
      </c>
      <c r="F15" s="20">
        <f>E15*12</f>
        <v>6558.84</v>
      </c>
    </row>
    <row r="16" spans="1:6" ht="24.75" x14ac:dyDescent="0.25">
      <c r="A16" s="28"/>
      <c r="B16" s="29" t="s">
        <v>25</v>
      </c>
      <c r="C16" s="30">
        <v>0.27</v>
      </c>
      <c r="D16" s="32" t="s">
        <v>20</v>
      </c>
      <c r="E16" s="18">
        <f t="shared" si="0"/>
        <v>983.82600000000014</v>
      </c>
      <c r="F16" s="20">
        <f t="shared" ref="F16:F21" si="2">E16*12</f>
        <v>11805.912000000002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3279.42</v>
      </c>
      <c r="F17" s="20">
        <f t="shared" si="2"/>
        <v>39353.040000000001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0.03</v>
      </c>
      <c r="D19" s="40" t="s">
        <v>30</v>
      </c>
      <c r="E19" s="18">
        <f t="shared" si="0"/>
        <v>109.31400000000001</v>
      </c>
      <c r="F19" s="20">
        <f>E19*12</f>
        <v>1311.768</v>
      </c>
    </row>
    <row r="20" spans="1:9" ht="15" x14ac:dyDescent="0.25">
      <c r="A20" s="28"/>
      <c r="B20" s="38" t="s">
        <v>54</v>
      </c>
      <c r="C20" s="41">
        <v>0.05</v>
      </c>
      <c r="D20" s="42" t="s">
        <v>29</v>
      </c>
      <c r="E20" s="18">
        <f t="shared" si="0"/>
        <v>182.19000000000003</v>
      </c>
      <c r="F20" s="20">
        <f t="shared" ref="F20" si="3">E20*12</f>
        <v>2186.2800000000002</v>
      </c>
    </row>
    <row r="21" spans="1:9" ht="24.75" x14ac:dyDescent="0.25">
      <c r="A21" s="19"/>
      <c r="B21" s="38" t="s">
        <v>55</v>
      </c>
      <c r="C21" s="41">
        <v>0.02</v>
      </c>
      <c r="D21" s="108" t="s">
        <v>59</v>
      </c>
      <c r="E21" s="18">
        <f t="shared" si="0"/>
        <v>72.876000000000005</v>
      </c>
      <c r="F21" s="20">
        <f t="shared" si="2"/>
        <v>874.51200000000006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2.5499999999999998</v>
      </c>
      <c r="D24" s="109" t="s">
        <v>36</v>
      </c>
      <c r="E24" s="18">
        <f t="shared" si="0"/>
        <v>9291.69</v>
      </c>
      <c r="F24" s="18">
        <f>E24*12</f>
        <v>111500.28</v>
      </c>
    </row>
    <row r="25" spans="1:9" ht="15" x14ac:dyDescent="0.25">
      <c r="A25" s="25" t="s">
        <v>39</v>
      </c>
      <c r="B25" s="48" t="s">
        <v>73</v>
      </c>
      <c r="C25" s="49">
        <v>2.5</v>
      </c>
      <c r="D25" s="50" t="s">
        <v>30</v>
      </c>
      <c r="E25" s="18">
        <f t="shared" si="0"/>
        <v>9109.5</v>
      </c>
      <c r="F25" s="18">
        <f t="shared" ref="F25:F28" si="4">E25*12</f>
        <v>109314</v>
      </c>
      <c r="G25" s="62"/>
    </row>
    <row r="26" spans="1:9" ht="34.5" x14ac:dyDescent="0.25">
      <c r="A26" s="25"/>
      <c r="B26" s="52" t="s">
        <v>40</v>
      </c>
      <c r="C26" s="53"/>
      <c r="D26" s="50"/>
      <c r="E26" s="18">
        <f t="shared" si="0"/>
        <v>0</v>
      </c>
      <c r="F26" s="18"/>
    </row>
    <row r="27" spans="1:9" ht="15" x14ac:dyDescent="0.25">
      <c r="A27" s="25" t="s">
        <v>41</v>
      </c>
      <c r="B27" s="47" t="s">
        <v>74</v>
      </c>
      <c r="C27" s="53">
        <v>4.25</v>
      </c>
      <c r="D27" s="50" t="s">
        <v>15</v>
      </c>
      <c r="E27" s="18">
        <f t="shared" si="0"/>
        <v>15486.150000000001</v>
      </c>
      <c r="F27" s="18">
        <f t="shared" si="4"/>
        <v>185833.80000000002</v>
      </c>
    </row>
    <row r="28" spans="1:9" ht="15" x14ac:dyDescent="0.25">
      <c r="A28" s="25" t="s">
        <v>42</v>
      </c>
      <c r="B28" s="55" t="s">
        <v>44</v>
      </c>
      <c r="C28" s="53">
        <v>1.01</v>
      </c>
      <c r="D28" s="50" t="s">
        <v>15</v>
      </c>
      <c r="E28" s="18">
        <f t="shared" si="0"/>
        <v>3680.2380000000003</v>
      </c>
      <c r="F28" s="18">
        <f t="shared" si="4"/>
        <v>44162.856</v>
      </c>
    </row>
    <row r="29" spans="1:9" ht="15.75" x14ac:dyDescent="0.25">
      <c r="A29" s="25"/>
      <c r="B29" s="56" t="s">
        <v>46</v>
      </c>
      <c r="C29" s="57">
        <f>C10+C11+C12+C13+C14+C24+C25+C27+C28</f>
        <v>16.8</v>
      </c>
      <c r="D29" s="50"/>
      <c r="E29" s="18">
        <f t="shared" si="0"/>
        <v>61215.840000000004</v>
      </c>
      <c r="F29" s="18">
        <f>F10+F11+F12+F13+F14+F24+F25+F27+F28</f>
        <v>734590.08000000007</v>
      </c>
    </row>
    <row r="30" spans="1:9" ht="15.75" x14ac:dyDescent="0.25">
      <c r="A30" s="58"/>
      <c r="B30" s="3"/>
      <c r="C30" s="59"/>
      <c r="D30" s="60"/>
    </row>
    <row r="31" spans="1:9" ht="15.75" x14ac:dyDescent="0.25">
      <c r="A31" s="58"/>
      <c r="B31" s="3"/>
      <c r="C31" s="59"/>
      <c r="D31" s="60"/>
    </row>
    <row r="32" spans="1:9" ht="15.75" x14ac:dyDescent="0.25">
      <c r="A32" s="58"/>
      <c r="B32" s="3"/>
      <c r="C32" s="59"/>
      <c r="D32" s="60"/>
    </row>
    <row r="33" spans="1:5" x14ac:dyDescent="0.2">
      <c r="A33" s="58"/>
      <c r="C33" s="66"/>
      <c r="E33" s="54"/>
    </row>
    <row r="34" spans="1:5" x14ac:dyDescent="0.2">
      <c r="A34" s="58"/>
      <c r="B34" s="2" t="s">
        <v>47</v>
      </c>
      <c r="C34" s="1" t="s">
        <v>58</v>
      </c>
    </row>
    <row r="35" spans="1:5" x14ac:dyDescent="0.2">
      <c r="B35" s="1" t="s">
        <v>48</v>
      </c>
      <c r="D35" s="1" t="s">
        <v>49</v>
      </c>
    </row>
    <row r="37" spans="1:5" x14ac:dyDescent="0.2">
      <c r="B37" s="1" t="s">
        <v>50</v>
      </c>
      <c r="D37" s="1" t="s">
        <v>51</v>
      </c>
    </row>
    <row r="38" spans="1:5" x14ac:dyDescent="0.2">
      <c r="B38" s="1" t="s">
        <v>52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</sheetData>
  <mergeCells count="1">
    <mergeCell ref="A2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67A0B-F576-4D80-B92D-74AA72A8AFBC}">
  <sheetPr>
    <tabColor rgb="FF92D050"/>
  </sheetPr>
  <dimension ref="A1:J42"/>
  <sheetViews>
    <sheetView topLeftCell="A22" workbookViewId="0">
      <selection activeCell="I27" sqref="I27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315</v>
      </c>
      <c r="C4" s="3"/>
      <c r="D4" s="3"/>
    </row>
    <row r="5" spans="1:6" x14ac:dyDescent="0.2">
      <c r="B5" s="3"/>
      <c r="C5" s="3"/>
      <c r="D5" s="3"/>
      <c r="F5" s="1">
        <v>4356.45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3"/>
      <c r="E9" s="14"/>
      <c r="F9" s="14"/>
    </row>
    <row r="10" spans="1:6" ht="39" x14ac:dyDescent="0.25">
      <c r="A10" s="10"/>
      <c r="B10" s="15" t="s">
        <v>14</v>
      </c>
      <c r="C10" s="16">
        <v>2.4700000000000002</v>
      </c>
      <c r="D10" s="110" t="s">
        <v>15</v>
      </c>
      <c r="E10" s="18">
        <f>C10*4356.45</f>
        <v>10760.431500000001</v>
      </c>
      <c r="F10" s="18">
        <f>E10*12</f>
        <v>129125.17800000001</v>
      </c>
    </row>
    <row r="11" spans="1:6" ht="15" x14ac:dyDescent="0.25">
      <c r="A11" s="10"/>
      <c r="B11" s="15" t="s">
        <v>76</v>
      </c>
      <c r="C11" s="16">
        <v>0.2</v>
      </c>
      <c r="D11" s="112" t="s">
        <v>20</v>
      </c>
      <c r="E11" s="18">
        <f t="shared" ref="E11:E30" si="0">C11*4356.45</f>
        <v>871.29</v>
      </c>
      <c r="F11" s="18">
        <f>E11*12</f>
        <v>10455.48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110" t="s">
        <v>15</v>
      </c>
      <c r="E12" s="18">
        <f t="shared" si="0"/>
        <v>3920.8049999999998</v>
      </c>
      <c r="F12" s="18">
        <f t="shared" ref="F12:F13" si="1">E12*12</f>
        <v>47049.659999999996</v>
      </c>
    </row>
    <row r="13" spans="1:6" ht="39" x14ac:dyDescent="0.25">
      <c r="A13" s="22" t="s">
        <v>18</v>
      </c>
      <c r="B13" s="15" t="s">
        <v>19</v>
      </c>
      <c r="C13" s="23">
        <v>0.28000000000000003</v>
      </c>
      <c r="D13" s="112" t="s">
        <v>20</v>
      </c>
      <c r="E13" s="18">
        <f t="shared" si="0"/>
        <v>1219.806</v>
      </c>
      <c r="F13" s="18">
        <f t="shared" si="1"/>
        <v>14637.672</v>
      </c>
    </row>
    <row r="14" spans="1:6" ht="15.75" x14ac:dyDescent="0.25">
      <c r="A14" s="25" t="s">
        <v>21</v>
      </c>
      <c r="B14" s="26" t="s">
        <v>22</v>
      </c>
      <c r="C14" s="83">
        <f>C15+C16+C17+C19+C21+C20</f>
        <v>1.0900000000000001</v>
      </c>
      <c r="D14" s="27"/>
      <c r="E14" s="18">
        <f t="shared" si="0"/>
        <v>4748.5304999999998</v>
      </c>
      <c r="F14" s="18">
        <f>F15+F16+F17+F19+F21+F20</f>
        <v>56982.366000000002</v>
      </c>
    </row>
    <row r="15" spans="1:6" ht="15" x14ac:dyDescent="0.25">
      <c r="A15" s="28"/>
      <c r="B15" s="29" t="s">
        <v>23</v>
      </c>
      <c r="C15" s="30">
        <v>7.0000000000000007E-2</v>
      </c>
      <c r="D15" s="31" t="s">
        <v>24</v>
      </c>
      <c r="E15" s="18">
        <f t="shared" si="0"/>
        <v>304.95150000000001</v>
      </c>
      <c r="F15" s="20">
        <f>E15*12</f>
        <v>3659.4180000000001</v>
      </c>
    </row>
    <row r="16" spans="1:6" ht="24.75" x14ac:dyDescent="0.25">
      <c r="A16" s="28"/>
      <c r="B16" s="29" t="s">
        <v>25</v>
      </c>
      <c r="C16" s="30">
        <v>0.25</v>
      </c>
      <c r="D16" s="32" t="s">
        <v>20</v>
      </c>
      <c r="E16" s="18">
        <f t="shared" si="0"/>
        <v>1089.1125</v>
      </c>
      <c r="F16" s="20">
        <f t="shared" ref="F16:F21" si="2">E16*12</f>
        <v>13069.349999999999</v>
      </c>
    </row>
    <row r="17" spans="1:10" ht="15" x14ac:dyDescent="0.25">
      <c r="A17" s="28"/>
      <c r="B17" s="33" t="s">
        <v>26</v>
      </c>
      <c r="C17" s="30">
        <v>0.7</v>
      </c>
      <c r="D17" s="34"/>
      <c r="E17" s="18">
        <f t="shared" si="0"/>
        <v>3049.5149999999999</v>
      </c>
      <c r="F17" s="20">
        <f t="shared" si="2"/>
        <v>36594.18</v>
      </c>
    </row>
    <row r="18" spans="1:10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10" ht="15" x14ac:dyDescent="0.25">
      <c r="A19" s="28"/>
      <c r="B19" s="38" t="s">
        <v>53</v>
      </c>
      <c r="C19" s="39">
        <v>0.01</v>
      </c>
      <c r="D19" s="40" t="s">
        <v>30</v>
      </c>
      <c r="E19" s="18">
        <f t="shared" si="0"/>
        <v>43.564500000000002</v>
      </c>
      <c r="F19" s="20">
        <f>E19*12</f>
        <v>522.774</v>
      </c>
    </row>
    <row r="20" spans="1:10" ht="15" x14ac:dyDescent="0.25">
      <c r="A20" s="28"/>
      <c r="B20" s="38" t="s">
        <v>54</v>
      </c>
      <c r="C20" s="41">
        <v>0.05</v>
      </c>
      <c r="D20" s="42" t="s">
        <v>29</v>
      </c>
      <c r="E20" s="18">
        <f t="shared" si="0"/>
        <v>217.82249999999999</v>
      </c>
      <c r="F20" s="20">
        <f t="shared" ref="F20" si="3">E20*12</f>
        <v>2613.87</v>
      </c>
    </row>
    <row r="21" spans="1:10" ht="24.75" x14ac:dyDescent="0.25">
      <c r="A21" s="19"/>
      <c r="B21" s="38" t="s">
        <v>55</v>
      </c>
      <c r="C21" s="41">
        <v>0.01</v>
      </c>
      <c r="D21" s="108" t="s">
        <v>59</v>
      </c>
      <c r="E21" s="18">
        <f t="shared" si="0"/>
        <v>43.564500000000002</v>
      </c>
      <c r="F21" s="20">
        <f t="shared" si="2"/>
        <v>522.774</v>
      </c>
    </row>
    <row r="22" spans="1:10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10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10" ht="26.25" x14ac:dyDescent="0.25">
      <c r="A24" s="25"/>
      <c r="B24" s="44" t="s">
        <v>35</v>
      </c>
      <c r="C24" s="83">
        <v>2.4</v>
      </c>
      <c r="D24" s="109" t="s">
        <v>36</v>
      </c>
      <c r="E24" s="18">
        <f t="shared" si="0"/>
        <v>10455.48</v>
      </c>
      <c r="F24" s="18">
        <f>E24*12</f>
        <v>125465.76</v>
      </c>
    </row>
    <row r="25" spans="1:10" ht="15" x14ac:dyDescent="0.25">
      <c r="A25" s="25"/>
      <c r="B25" s="91" t="s">
        <v>80</v>
      </c>
      <c r="C25" s="83">
        <v>1.35</v>
      </c>
      <c r="D25" s="109" t="s">
        <v>36</v>
      </c>
      <c r="E25" s="18">
        <f t="shared" si="0"/>
        <v>5881.2075000000004</v>
      </c>
      <c r="F25" s="18">
        <f>E25*12</f>
        <v>70574.490000000005</v>
      </c>
    </row>
    <row r="26" spans="1:10" ht="15" x14ac:dyDescent="0.25">
      <c r="A26" s="25" t="s">
        <v>39</v>
      </c>
      <c r="B26" s="48" t="s">
        <v>73</v>
      </c>
      <c r="C26" s="49">
        <v>3</v>
      </c>
      <c r="D26" s="50" t="s">
        <v>30</v>
      </c>
      <c r="E26" s="18">
        <f t="shared" si="0"/>
        <v>13069.349999999999</v>
      </c>
      <c r="F26" s="18">
        <f t="shared" ref="F26:F29" si="4">E26*12</f>
        <v>156832.19999999998</v>
      </c>
      <c r="G26" s="62"/>
    </row>
    <row r="27" spans="1:10" ht="34.5" x14ac:dyDescent="0.25">
      <c r="A27" s="25"/>
      <c r="B27" s="52" t="s">
        <v>40</v>
      </c>
      <c r="C27" s="53"/>
      <c r="D27" s="50"/>
      <c r="E27" s="18">
        <f t="shared" si="0"/>
        <v>0</v>
      </c>
      <c r="F27" s="18"/>
    </row>
    <row r="28" spans="1:10" ht="15" x14ac:dyDescent="0.25">
      <c r="A28" s="25" t="s">
        <v>41</v>
      </c>
      <c r="B28" s="47" t="s">
        <v>74</v>
      </c>
      <c r="C28" s="53">
        <v>4.0999999999999996</v>
      </c>
      <c r="D28" s="50" t="s">
        <v>15</v>
      </c>
      <c r="E28" s="18">
        <f t="shared" si="0"/>
        <v>17861.444999999996</v>
      </c>
      <c r="F28" s="18">
        <f t="shared" si="4"/>
        <v>214337.33999999997</v>
      </c>
      <c r="J28" s="62"/>
    </row>
    <row r="29" spans="1:10" ht="15" x14ac:dyDescent="0.25">
      <c r="A29" s="25" t="s">
        <v>42</v>
      </c>
      <c r="B29" s="55" t="s">
        <v>44</v>
      </c>
      <c r="C29" s="53">
        <v>1.01</v>
      </c>
      <c r="D29" s="50" t="s">
        <v>15</v>
      </c>
      <c r="E29" s="18">
        <f t="shared" si="0"/>
        <v>4400.0145000000002</v>
      </c>
      <c r="F29" s="18">
        <f t="shared" si="4"/>
        <v>52800.173999999999</v>
      </c>
    </row>
    <row r="30" spans="1:10" ht="15.75" x14ac:dyDescent="0.25">
      <c r="A30" s="25"/>
      <c r="B30" s="56" t="s">
        <v>46</v>
      </c>
      <c r="C30" s="57">
        <f>C10+C11+C12+C13+C14+C24+C26+C28+C29+C25</f>
        <v>16.8</v>
      </c>
      <c r="D30" s="50"/>
      <c r="E30" s="18">
        <f t="shared" si="0"/>
        <v>73188.36</v>
      </c>
      <c r="F30" s="18">
        <f>F10+F11+F12+F13+F14+F24+F26+F28+F29+F25</f>
        <v>878260.32</v>
      </c>
    </row>
    <row r="31" spans="1:10" ht="15.75" x14ac:dyDescent="0.25">
      <c r="A31" s="58"/>
      <c r="B31" s="3"/>
      <c r="C31" s="59"/>
      <c r="D31" s="60"/>
    </row>
    <row r="32" spans="1:10" ht="15.75" x14ac:dyDescent="0.25">
      <c r="A32" s="58"/>
      <c r="B32" s="3" t="s">
        <v>81</v>
      </c>
      <c r="C32" s="59"/>
      <c r="D32" s="60"/>
      <c r="J32" s="1" t="s">
        <v>191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I43"/>
  <sheetViews>
    <sheetView topLeftCell="A13" workbookViewId="0">
      <selection activeCell="J27" sqref="J27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265</v>
      </c>
      <c r="C4" s="3"/>
      <c r="D4" s="3"/>
    </row>
    <row r="5" spans="1:6" x14ac:dyDescent="0.2">
      <c r="B5" s="3"/>
      <c r="C5" s="3"/>
      <c r="D5" s="3"/>
      <c r="F5" s="1">
        <v>4320.3999999999996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3.59</v>
      </c>
      <c r="D10" s="50" t="s">
        <v>15</v>
      </c>
      <c r="E10" s="18">
        <f>C10*4320.4</f>
        <v>15510.235999999999</v>
      </c>
      <c r="F10" s="18">
        <f>E10*12</f>
        <v>186122.83199999999</v>
      </c>
    </row>
    <row r="11" spans="1:6" ht="15" x14ac:dyDescent="0.25">
      <c r="A11" s="10"/>
      <c r="B11" s="15" t="s">
        <v>76</v>
      </c>
      <c r="C11" s="16">
        <v>0.28000000000000003</v>
      </c>
      <c r="D11" s="88" t="s">
        <v>20</v>
      </c>
      <c r="E11" s="18">
        <f t="shared" ref="E11:E30" si="0">C11*4320.4</f>
        <v>1209.712</v>
      </c>
      <c r="F11" s="18">
        <f>E11*12</f>
        <v>14516.544</v>
      </c>
    </row>
    <row r="12" spans="1:6" ht="39" x14ac:dyDescent="0.25">
      <c r="A12" s="10" t="s">
        <v>16</v>
      </c>
      <c r="B12" s="15" t="s">
        <v>17</v>
      </c>
      <c r="C12" s="16">
        <v>0.91</v>
      </c>
      <c r="D12" s="50" t="s">
        <v>15</v>
      </c>
      <c r="E12" s="18">
        <f t="shared" si="0"/>
        <v>3931.5639999999999</v>
      </c>
      <c r="F12" s="18">
        <f t="shared" ref="F12:F13" si="1">E12*12</f>
        <v>47178.767999999996</v>
      </c>
    </row>
    <row r="13" spans="1:6" ht="39" x14ac:dyDescent="0.25">
      <c r="A13" s="22" t="s">
        <v>18</v>
      </c>
      <c r="B13" s="15" t="s">
        <v>19</v>
      </c>
      <c r="C13" s="23">
        <v>0.5</v>
      </c>
      <c r="D13" s="88" t="s">
        <v>20</v>
      </c>
      <c r="E13" s="18">
        <f t="shared" si="0"/>
        <v>2160.1999999999998</v>
      </c>
      <c r="F13" s="18">
        <f t="shared" si="1"/>
        <v>25922.399999999998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1.42</v>
      </c>
      <c r="D14" s="27"/>
      <c r="E14" s="18">
        <f t="shared" si="0"/>
        <v>6134.9679999999989</v>
      </c>
      <c r="F14" s="18">
        <f>F15+F16+F17+F19+F20+F21</f>
        <v>73619.61599999998</v>
      </c>
    </row>
    <row r="15" spans="1:6" ht="15" x14ac:dyDescent="0.25">
      <c r="A15" s="28"/>
      <c r="B15" s="29" t="s">
        <v>23</v>
      </c>
      <c r="C15" s="30">
        <v>0.04</v>
      </c>
      <c r="D15" s="31" t="s">
        <v>24</v>
      </c>
      <c r="E15" s="18">
        <f t="shared" si="0"/>
        <v>172.816</v>
      </c>
      <c r="F15" s="20">
        <f>E15*12</f>
        <v>2073.7919999999999</v>
      </c>
    </row>
    <row r="16" spans="1:6" ht="24.75" x14ac:dyDescent="0.25">
      <c r="A16" s="28"/>
      <c r="B16" s="29" t="s">
        <v>25</v>
      </c>
      <c r="C16" s="30">
        <v>0.26</v>
      </c>
      <c r="D16" s="32" t="s">
        <v>20</v>
      </c>
      <c r="E16" s="18">
        <f t="shared" si="0"/>
        <v>1123.3039999999999</v>
      </c>
      <c r="F16" s="20">
        <f t="shared" ref="F16:F21" si="2">E16*12</f>
        <v>13479.647999999997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3888.3599999999997</v>
      </c>
      <c r="F17" s="20">
        <f t="shared" si="2"/>
        <v>46660.319999999992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0.03</v>
      </c>
      <c r="D19" s="40" t="s">
        <v>30</v>
      </c>
      <c r="E19" s="18">
        <f t="shared" si="0"/>
        <v>129.61199999999999</v>
      </c>
      <c r="F19" s="20">
        <f>E19*12</f>
        <v>1555.3440000000001</v>
      </c>
    </row>
    <row r="20" spans="1:9" ht="15" x14ac:dyDescent="0.25">
      <c r="A20" s="19"/>
      <c r="B20" s="38" t="s">
        <v>54</v>
      </c>
      <c r="C20" s="41">
        <v>0.13</v>
      </c>
      <c r="D20" s="42" t="s">
        <v>29</v>
      </c>
      <c r="E20" s="18">
        <f t="shared" si="0"/>
        <v>561.65199999999993</v>
      </c>
      <c r="F20" s="20">
        <f t="shared" si="2"/>
        <v>6739.8239999999987</v>
      </c>
    </row>
    <row r="21" spans="1:9" ht="24.75" x14ac:dyDescent="0.25">
      <c r="A21" s="28"/>
      <c r="B21" s="38" t="s">
        <v>55</v>
      </c>
      <c r="C21" s="41">
        <v>0.06</v>
      </c>
      <c r="D21" s="42" t="s">
        <v>59</v>
      </c>
      <c r="E21" s="18">
        <f t="shared" si="0"/>
        <v>259.22399999999999</v>
      </c>
      <c r="F21" s="20">
        <f t="shared" si="2"/>
        <v>3110.6880000000001</v>
      </c>
      <c r="I21" s="1" t="s">
        <v>56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2.11</v>
      </c>
      <c r="D24" s="42" t="s">
        <v>59</v>
      </c>
      <c r="E24" s="18">
        <f t="shared" si="0"/>
        <v>9116.0439999999981</v>
      </c>
      <c r="F24" s="18">
        <f>E24*12</f>
        <v>109392.52799999998</v>
      </c>
    </row>
    <row r="25" spans="1:9" ht="51.75" x14ac:dyDescent="0.25">
      <c r="A25" s="24" t="s">
        <v>39</v>
      </c>
      <c r="B25" s="80" t="s">
        <v>57</v>
      </c>
      <c r="C25" s="79">
        <v>0.12</v>
      </c>
      <c r="D25" s="27" t="s">
        <v>72</v>
      </c>
      <c r="E25" s="18">
        <f t="shared" si="0"/>
        <v>518.44799999999998</v>
      </c>
      <c r="F25" s="18">
        <f t="shared" ref="F25:F26" si="3">E25*12</f>
        <v>6221.3760000000002</v>
      </c>
    </row>
    <row r="26" spans="1:9" ht="15" x14ac:dyDescent="0.25">
      <c r="A26" s="25" t="s">
        <v>41</v>
      </c>
      <c r="B26" s="48" t="s">
        <v>73</v>
      </c>
      <c r="C26" s="49">
        <v>2.83</v>
      </c>
      <c r="D26" s="50" t="s">
        <v>30</v>
      </c>
      <c r="E26" s="18">
        <f t="shared" si="0"/>
        <v>12226.732</v>
      </c>
      <c r="F26" s="51">
        <f t="shared" si="3"/>
        <v>146720.78399999999</v>
      </c>
      <c r="G26" s="62"/>
    </row>
    <row r="27" spans="1:9" ht="34.5" x14ac:dyDescent="0.25">
      <c r="A27" s="25"/>
      <c r="B27" s="52" t="s">
        <v>40</v>
      </c>
      <c r="C27" s="53"/>
      <c r="D27" s="50"/>
      <c r="E27" s="18">
        <f t="shared" si="0"/>
        <v>0</v>
      </c>
      <c r="F27" s="51"/>
    </row>
    <row r="28" spans="1:9" ht="15" x14ac:dyDescent="0.25">
      <c r="A28" s="25" t="s">
        <v>42</v>
      </c>
      <c r="B28" s="47" t="s">
        <v>74</v>
      </c>
      <c r="C28" s="53">
        <v>4.5</v>
      </c>
      <c r="D28" s="50" t="s">
        <v>15</v>
      </c>
      <c r="E28" s="18">
        <f t="shared" si="0"/>
        <v>19441.8</v>
      </c>
      <c r="F28" s="18">
        <f>E28*12</f>
        <v>233301.59999999998</v>
      </c>
    </row>
    <row r="29" spans="1:9" ht="15" x14ac:dyDescent="0.25">
      <c r="A29" s="25" t="s">
        <v>43</v>
      </c>
      <c r="B29" s="55" t="s">
        <v>44</v>
      </c>
      <c r="C29" s="53">
        <v>1.04</v>
      </c>
      <c r="D29" s="50" t="s">
        <v>15</v>
      </c>
      <c r="E29" s="18">
        <f t="shared" si="0"/>
        <v>4493.2159999999994</v>
      </c>
      <c r="F29" s="18">
        <f t="shared" ref="F29" si="4">E29*12</f>
        <v>53918.59199999999</v>
      </c>
    </row>
    <row r="30" spans="1:9" ht="15.75" x14ac:dyDescent="0.25">
      <c r="A30" s="25"/>
      <c r="B30" s="56" t="s">
        <v>46</v>
      </c>
      <c r="C30" s="57">
        <f>C10+C11+C12+C13+C14+C24+C25+C26+C28+C29</f>
        <v>17.299999999999997</v>
      </c>
      <c r="D30" s="50"/>
      <c r="E30" s="18">
        <f t="shared" si="0"/>
        <v>74742.919999999984</v>
      </c>
      <c r="F30" s="18">
        <f>F10+F11+F12+F13+F14+F24+F25+F26+F28+F29</f>
        <v>896915.03999999992</v>
      </c>
    </row>
    <row r="31" spans="1:9" ht="15.75" x14ac:dyDescent="0.25">
      <c r="A31" s="58"/>
      <c r="B31" s="3"/>
      <c r="C31" s="59"/>
      <c r="D31" s="60"/>
    </row>
    <row r="32" spans="1:9" ht="15.75" x14ac:dyDescent="0.25">
      <c r="A32" s="58"/>
      <c r="B32" s="3"/>
      <c r="C32" s="59"/>
      <c r="D32" s="60"/>
    </row>
    <row r="33" spans="1:5" ht="15.75" x14ac:dyDescent="0.25">
      <c r="A33" s="58"/>
      <c r="B33" s="3"/>
      <c r="C33" s="59"/>
      <c r="D33" s="60"/>
    </row>
    <row r="34" spans="1:5" ht="15.75" x14ac:dyDescent="0.25">
      <c r="A34" s="58"/>
      <c r="B34" s="3"/>
      <c r="C34" s="59"/>
      <c r="D34" s="60"/>
    </row>
    <row r="35" spans="1:5" x14ac:dyDescent="0.2">
      <c r="A35" s="58"/>
      <c r="C35" s="66"/>
      <c r="E35" s="54"/>
    </row>
    <row r="36" spans="1:5" x14ac:dyDescent="0.2">
      <c r="A36" s="58"/>
      <c r="B36" s="2" t="s">
        <v>47</v>
      </c>
      <c r="C36" s="1" t="s">
        <v>58</v>
      </c>
    </row>
    <row r="37" spans="1:5" x14ac:dyDescent="0.2">
      <c r="B37" s="1" t="s">
        <v>48</v>
      </c>
      <c r="D37" s="1" t="s">
        <v>49</v>
      </c>
    </row>
    <row r="39" spans="1:5" x14ac:dyDescent="0.2">
      <c r="B39" s="1" t="s">
        <v>50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  <row r="43" spans="1:5" x14ac:dyDescent="0.2">
      <c r="B43" s="1" t="s">
        <v>52</v>
      </c>
      <c r="D43" s="1" t="s">
        <v>51</v>
      </c>
    </row>
  </sheetData>
  <mergeCells count="1">
    <mergeCell ref="A2:D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I42"/>
  <sheetViews>
    <sheetView topLeftCell="A25" workbookViewId="0">
      <selection activeCell="H8" sqref="H8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6" x14ac:dyDescent="0.2">
      <c r="D1" s="2" t="s">
        <v>2</v>
      </c>
    </row>
    <row r="2" spans="1:6" x14ac:dyDescent="0.2">
      <c r="A2" s="245" t="s">
        <v>3</v>
      </c>
      <c r="B2" s="245"/>
      <c r="C2" s="245"/>
      <c r="D2" s="245"/>
    </row>
    <row r="3" spans="1:6" x14ac:dyDescent="0.2">
      <c r="A3" s="245"/>
      <c r="B3" s="245"/>
      <c r="C3" s="245"/>
      <c r="D3" s="245"/>
    </row>
    <row r="4" spans="1:6" x14ac:dyDescent="0.2">
      <c r="B4" s="3" t="s">
        <v>284</v>
      </c>
      <c r="C4" s="3"/>
      <c r="D4" s="3"/>
    </row>
    <row r="5" spans="1:6" x14ac:dyDescent="0.2">
      <c r="B5" s="3"/>
      <c r="C5" s="3"/>
      <c r="D5" s="3"/>
      <c r="F5" s="1">
        <v>1930.6</v>
      </c>
    </row>
    <row r="6" spans="1:6" ht="15" x14ac:dyDescent="0.25">
      <c r="A6" s="4"/>
      <c r="B6" s="4"/>
      <c r="C6" s="4"/>
      <c r="D6" s="4"/>
      <c r="E6" s="5" t="s">
        <v>4</v>
      </c>
      <c r="F6" s="5" t="s">
        <v>4</v>
      </c>
    </row>
    <row r="7" spans="1:6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6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6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6" ht="39" x14ac:dyDescent="0.25">
      <c r="A10" s="10"/>
      <c r="B10" s="15" t="s">
        <v>14</v>
      </c>
      <c r="C10" s="16">
        <v>3.25</v>
      </c>
      <c r="D10" s="50" t="s">
        <v>15</v>
      </c>
      <c r="E10" s="18">
        <f>C10*1930.6</f>
        <v>6274.45</v>
      </c>
      <c r="F10" s="18">
        <f>E10*12</f>
        <v>75293.399999999994</v>
      </c>
    </row>
    <row r="11" spans="1:6" ht="15" x14ac:dyDescent="0.25">
      <c r="A11" s="10"/>
      <c r="B11" s="15" t="s">
        <v>76</v>
      </c>
      <c r="C11" s="16">
        <v>0.28999999999999998</v>
      </c>
      <c r="D11" s="88" t="s">
        <v>20</v>
      </c>
      <c r="E11" s="18">
        <f t="shared" ref="E11:E32" si="0">C11*1930.6</f>
        <v>559.87399999999991</v>
      </c>
      <c r="F11" s="18">
        <f>E11*12</f>
        <v>6718.4879999999994</v>
      </c>
    </row>
    <row r="12" spans="1:6" ht="39" x14ac:dyDescent="0.25">
      <c r="A12" s="10" t="s">
        <v>16</v>
      </c>
      <c r="B12" s="15" t="s">
        <v>17</v>
      </c>
      <c r="C12" s="16">
        <v>0.9</v>
      </c>
      <c r="D12" s="50" t="s">
        <v>15</v>
      </c>
      <c r="E12" s="18">
        <f t="shared" si="0"/>
        <v>1737.54</v>
      </c>
      <c r="F12" s="18">
        <f t="shared" ref="F12:F13" si="1">E12*12</f>
        <v>20850.48</v>
      </c>
    </row>
    <row r="13" spans="1:6" ht="39" x14ac:dyDescent="0.25">
      <c r="A13" s="22" t="s">
        <v>18</v>
      </c>
      <c r="B13" s="15" t="s">
        <v>19</v>
      </c>
      <c r="C13" s="23">
        <v>0.25</v>
      </c>
      <c r="D13" s="88" t="s">
        <v>20</v>
      </c>
      <c r="E13" s="18">
        <f t="shared" si="0"/>
        <v>482.65</v>
      </c>
      <c r="F13" s="18">
        <f t="shared" si="1"/>
        <v>5791.7999999999993</v>
      </c>
    </row>
    <row r="14" spans="1:6" ht="15.75" x14ac:dyDescent="0.25">
      <c r="A14" s="25" t="s">
        <v>21</v>
      </c>
      <c r="B14" s="26" t="s">
        <v>22</v>
      </c>
      <c r="C14" s="83">
        <f>C15+C16+C17+C19+C20+C21</f>
        <v>1.06</v>
      </c>
      <c r="D14" s="27"/>
      <c r="E14" s="18">
        <f t="shared" si="0"/>
        <v>2046.4359999999999</v>
      </c>
      <c r="F14" s="18">
        <f>F15+F16+F17+F19+F20+F21</f>
        <v>24557.231999999996</v>
      </c>
    </row>
    <row r="15" spans="1:6" ht="15" x14ac:dyDescent="0.25">
      <c r="A15" s="28"/>
      <c r="B15" s="29" t="s">
        <v>23</v>
      </c>
      <c r="C15" s="89">
        <v>0</v>
      </c>
      <c r="D15" s="31" t="s">
        <v>24</v>
      </c>
      <c r="E15" s="18">
        <f t="shared" si="0"/>
        <v>0</v>
      </c>
      <c r="F15" s="20">
        <f>E15*12</f>
        <v>0</v>
      </c>
    </row>
    <row r="16" spans="1:6" ht="24.75" x14ac:dyDescent="0.25">
      <c r="A16" s="28"/>
      <c r="B16" s="29" t="s">
        <v>25</v>
      </c>
      <c r="C16" s="89">
        <v>0</v>
      </c>
      <c r="D16" s="32" t="s">
        <v>20</v>
      </c>
      <c r="E16" s="18">
        <f t="shared" si="0"/>
        <v>0</v>
      </c>
      <c r="F16" s="20">
        <f t="shared" ref="F16:F21" si="2">E16*12</f>
        <v>0</v>
      </c>
    </row>
    <row r="17" spans="1:9" ht="15" x14ac:dyDescent="0.25">
      <c r="A17" s="28"/>
      <c r="B17" s="33" t="s">
        <v>26</v>
      </c>
      <c r="C17" s="89">
        <v>0.9</v>
      </c>
      <c r="D17" s="34"/>
      <c r="E17" s="18">
        <f t="shared" si="0"/>
        <v>1737.54</v>
      </c>
      <c r="F17" s="20">
        <f t="shared" si="2"/>
        <v>20850.48</v>
      </c>
    </row>
    <row r="18" spans="1:9" ht="41.1" customHeight="1" x14ac:dyDescent="0.25">
      <c r="A18" s="25"/>
      <c r="B18" s="35" t="s">
        <v>27</v>
      </c>
      <c r="C18" s="90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86">
        <v>0</v>
      </c>
      <c r="D19" s="40" t="s">
        <v>30</v>
      </c>
      <c r="E19" s="18">
        <f t="shared" si="0"/>
        <v>0</v>
      </c>
      <c r="F19" s="20">
        <f>E19*12</f>
        <v>0</v>
      </c>
    </row>
    <row r="20" spans="1:9" ht="15" x14ac:dyDescent="0.25">
      <c r="A20" s="19"/>
      <c r="B20" s="38" t="s">
        <v>54</v>
      </c>
      <c r="C20" s="41">
        <v>0.12</v>
      </c>
      <c r="D20" s="42" t="s">
        <v>29</v>
      </c>
      <c r="E20" s="18">
        <f t="shared" si="0"/>
        <v>231.67199999999997</v>
      </c>
      <c r="F20" s="20">
        <f t="shared" si="2"/>
        <v>2780.0639999999994</v>
      </c>
    </row>
    <row r="21" spans="1:9" ht="24.75" x14ac:dyDescent="0.25">
      <c r="A21" s="28"/>
      <c r="B21" s="38" t="s">
        <v>55</v>
      </c>
      <c r="C21" s="41">
        <v>0.04</v>
      </c>
      <c r="D21" s="42" t="s">
        <v>59</v>
      </c>
      <c r="E21" s="18">
        <f t="shared" si="0"/>
        <v>77.224000000000004</v>
      </c>
      <c r="F21" s="20">
        <f t="shared" si="2"/>
        <v>926.6880000000001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2</v>
      </c>
      <c r="D24" s="42" t="s">
        <v>59</v>
      </c>
      <c r="E24" s="18">
        <f t="shared" si="0"/>
        <v>3861.2</v>
      </c>
      <c r="F24" s="18">
        <f>E24*12</f>
        <v>46334.399999999994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8"/>
    </row>
    <row r="26" spans="1:9" ht="15" x14ac:dyDescent="0.25">
      <c r="A26" s="82"/>
      <c r="B26" s="47" t="s">
        <v>38</v>
      </c>
      <c r="C26" s="83">
        <v>5</v>
      </c>
      <c r="D26" s="42" t="s">
        <v>59</v>
      </c>
      <c r="E26" s="18">
        <f t="shared" si="0"/>
        <v>9653</v>
      </c>
      <c r="F26" s="18">
        <f>E26*12</f>
        <v>115836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231.67199999999997</v>
      </c>
      <c r="F27" s="18">
        <f t="shared" ref="F27:F28" si="3">E27*12</f>
        <v>2780.0639999999994</v>
      </c>
    </row>
    <row r="28" spans="1:9" ht="15" x14ac:dyDescent="0.25">
      <c r="A28" s="25" t="s">
        <v>41</v>
      </c>
      <c r="B28" s="48" t="s">
        <v>73</v>
      </c>
      <c r="C28" s="49">
        <v>2</v>
      </c>
      <c r="D28" s="50" t="s">
        <v>30</v>
      </c>
      <c r="E28" s="18">
        <f t="shared" si="0"/>
        <v>3861.2</v>
      </c>
      <c r="F28" s="51">
        <f t="shared" si="3"/>
        <v>46334.399999999994</v>
      </c>
      <c r="G28" s="62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51"/>
    </row>
    <row r="30" spans="1:9" ht="15" x14ac:dyDescent="0.25">
      <c r="A30" s="25" t="s">
        <v>42</v>
      </c>
      <c r="B30" s="47" t="s">
        <v>74</v>
      </c>
      <c r="C30" s="53">
        <v>4.4000000000000004</v>
      </c>
      <c r="D30" s="50" t="s">
        <v>15</v>
      </c>
      <c r="E30" s="18">
        <f t="shared" si="0"/>
        <v>8494.64</v>
      </c>
      <c r="F30" s="18">
        <f>E30*12</f>
        <v>101935.67999999999</v>
      </c>
    </row>
    <row r="31" spans="1:9" ht="15" x14ac:dyDescent="0.25">
      <c r="A31" s="25" t="s">
        <v>43</v>
      </c>
      <c r="B31" s="55" t="s">
        <v>44</v>
      </c>
      <c r="C31" s="53">
        <v>1.23</v>
      </c>
      <c r="D31" s="50" t="s">
        <v>15</v>
      </c>
      <c r="E31" s="18">
        <f t="shared" si="0"/>
        <v>2374.6379999999999</v>
      </c>
      <c r="F31" s="18">
        <f t="shared" ref="F31" si="4">E31*12</f>
        <v>28495.655999999999</v>
      </c>
    </row>
    <row r="32" spans="1:9" ht="15.75" x14ac:dyDescent="0.25">
      <c r="A32" s="25"/>
      <c r="B32" s="56" t="s">
        <v>46</v>
      </c>
      <c r="C32" s="57">
        <f>C10+C11+C12+C13+C14+C24+C26+C27+C28+C30+C31</f>
        <v>20.5</v>
      </c>
      <c r="D32" s="50"/>
      <c r="E32" s="18">
        <f t="shared" si="0"/>
        <v>39577.299999999996</v>
      </c>
      <c r="F32" s="18">
        <f>F10+F11+F12+F13+F14+F24+F26+F27+F28+F30+F31</f>
        <v>474927.6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I46"/>
  <sheetViews>
    <sheetView topLeftCell="A25" workbookViewId="0">
      <selection activeCell="I32" sqref="I32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7" x14ac:dyDescent="0.2">
      <c r="D1" s="2" t="s">
        <v>2</v>
      </c>
    </row>
    <row r="2" spans="1:7" x14ac:dyDescent="0.2">
      <c r="A2" s="245" t="s">
        <v>3</v>
      </c>
      <c r="B2" s="245"/>
      <c r="C2" s="245"/>
      <c r="D2" s="245"/>
    </row>
    <row r="3" spans="1:7" x14ac:dyDescent="0.2">
      <c r="A3" s="245"/>
      <c r="B3" s="245"/>
      <c r="C3" s="245"/>
      <c r="D3" s="245"/>
    </row>
    <row r="4" spans="1:7" x14ac:dyDescent="0.2">
      <c r="B4" s="3" t="s">
        <v>283</v>
      </c>
      <c r="C4" s="3"/>
      <c r="D4" s="3"/>
    </row>
    <row r="5" spans="1:7" x14ac:dyDescent="0.2">
      <c r="B5" s="3"/>
      <c r="C5" s="3"/>
      <c r="D5" s="3"/>
      <c r="F5" s="1">
        <v>5596.7</v>
      </c>
      <c r="G5" s="1">
        <v>4707.8999999999996</v>
      </c>
    </row>
    <row r="6" spans="1:7" ht="15" x14ac:dyDescent="0.25">
      <c r="A6" s="4"/>
      <c r="B6" s="4"/>
      <c r="C6" s="4"/>
      <c r="D6" s="4"/>
      <c r="E6" s="5" t="s">
        <v>4</v>
      </c>
      <c r="F6" s="5" t="s">
        <v>4</v>
      </c>
      <c r="G6" s="1">
        <v>12</v>
      </c>
    </row>
    <row r="7" spans="1:7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7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7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7" ht="39" x14ac:dyDescent="0.25">
      <c r="A10" s="10"/>
      <c r="B10" s="15" t="s">
        <v>14</v>
      </c>
      <c r="C10" s="16">
        <v>1.8</v>
      </c>
      <c r="D10" s="50" t="s">
        <v>15</v>
      </c>
      <c r="E10" s="18">
        <f>C10*5596.7</f>
        <v>10074.06</v>
      </c>
      <c r="F10" s="18">
        <f>E10*12</f>
        <v>120888.72</v>
      </c>
    </row>
    <row r="11" spans="1:7" ht="15" x14ac:dyDescent="0.25">
      <c r="A11" s="10"/>
      <c r="B11" s="15" t="s">
        <v>76</v>
      </c>
      <c r="C11" s="16">
        <v>0</v>
      </c>
      <c r="D11" s="88" t="s">
        <v>20</v>
      </c>
      <c r="E11" s="18">
        <f t="shared" ref="E11:E13" si="0">C11*5596.7</f>
        <v>0</v>
      </c>
      <c r="F11" s="18">
        <f>E11*12</f>
        <v>0</v>
      </c>
    </row>
    <row r="12" spans="1:7" ht="39" x14ac:dyDescent="0.25">
      <c r="A12" s="10" t="s">
        <v>16</v>
      </c>
      <c r="B12" s="15" t="s">
        <v>17</v>
      </c>
      <c r="C12" s="16">
        <v>1.02</v>
      </c>
      <c r="D12" s="50" t="s">
        <v>15</v>
      </c>
      <c r="E12" s="18">
        <f t="shared" si="0"/>
        <v>5708.634</v>
      </c>
      <c r="F12" s="18">
        <f t="shared" ref="F12:F13" si="1">E12*12</f>
        <v>68503.608000000007</v>
      </c>
    </row>
    <row r="13" spans="1:7" ht="39" x14ac:dyDescent="0.25">
      <c r="A13" s="22" t="s">
        <v>18</v>
      </c>
      <c r="B13" s="15" t="s">
        <v>19</v>
      </c>
      <c r="C13" s="23">
        <v>0.15</v>
      </c>
      <c r="D13" s="88" t="s">
        <v>20</v>
      </c>
      <c r="E13" s="18">
        <f t="shared" si="0"/>
        <v>839.505</v>
      </c>
      <c r="F13" s="18">
        <f t="shared" si="1"/>
        <v>10074.06</v>
      </c>
    </row>
    <row r="14" spans="1:7" ht="15.75" x14ac:dyDescent="0.25">
      <c r="A14" s="25" t="s">
        <v>21</v>
      </c>
      <c r="B14" s="26" t="s">
        <v>22</v>
      </c>
      <c r="C14" s="83">
        <f>C15+C16+C17+C19+C20+C21</f>
        <v>3.8</v>
      </c>
      <c r="D14" s="27"/>
      <c r="E14" s="18">
        <f>E15+E16+E17+E19+E20+E21</f>
        <v>18805.484</v>
      </c>
      <c r="F14" s="18">
        <f>F15+F16+F17+F19+F20+F21</f>
        <v>225665.80799999999</v>
      </c>
    </row>
    <row r="15" spans="1:7" x14ac:dyDescent="0.2">
      <c r="A15" s="28"/>
      <c r="B15" s="29" t="s">
        <v>23</v>
      </c>
      <c r="C15" s="30">
        <v>0.1</v>
      </c>
      <c r="D15" s="31" t="s">
        <v>24</v>
      </c>
      <c r="E15" s="20">
        <f>C15*5596.7</f>
        <v>559.66999999999996</v>
      </c>
      <c r="F15" s="20">
        <f>E15*12</f>
        <v>6716.0399999999991</v>
      </c>
    </row>
    <row r="16" spans="1:7" ht="24" x14ac:dyDescent="0.2">
      <c r="A16" s="28"/>
      <c r="B16" s="29" t="s">
        <v>25</v>
      </c>
      <c r="C16" s="30">
        <v>0</v>
      </c>
      <c r="D16" s="32" t="s">
        <v>20</v>
      </c>
      <c r="E16" s="20">
        <f t="shared" ref="E16:E21" si="2">C16*5596.7</f>
        <v>0</v>
      </c>
      <c r="F16" s="20">
        <f t="shared" ref="F16:F21" si="3">E16*12</f>
        <v>0</v>
      </c>
    </row>
    <row r="17" spans="1:9" x14ac:dyDescent="0.2">
      <c r="A17" s="28"/>
      <c r="B17" s="33" t="s">
        <v>26</v>
      </c>
      <c r="C17" s="30">
        <v>0.9</v>
      </c>
      <c r="D17" s="34"/>
      <c r="E17" s="20">
        <f t="shared" si="2"/>
        <v>5037.03</v>
      </c>
      <c r="F17" s="20">
        <f t="shared" si="3"/>
        <v>60444.36</v>
      </c>
    </row>
    <row r="18" spans="1:9" ht="41.1" customHeight="1" x14ac:dyDescent="0.2">
      <c r="A18" s="25"/>
      <c r="B18" s="35" t="s">
        <v>27</v>
      </c>
      <c r="C18" s="36"/>
      <c r="D18" s="37" t="s">
        <v>28</v>
      </c>
      <c r="E18" s="20">
        <f t="shared" si="2"/>
        <v>0</v>
      </c>
      <c r="F18" s="14"/>
    </row>
    <row r="19" spans="1:9" x14ac:dyDescent="0.2">
      <c r="A19" s="28"/>
      <c r="B19" s="38" t="s">
        <v>85</v>
      </c>
      <c r="C19" s="39">
        <v>2.77</v>
      </c>
      <c r="D19" s="40" t="s">
        <v>30</v>
      </c>
      <c r="E19" s="20">
        <f>C19*4707.9</f>
        <v>13040.883</v>
      </c>
      <c r="F19" s="20">
        <f>E19*G6</f>
        <v>156490.59599999999</v>
      </c>
      <c r="H19" s="1">
        <v>4707.8999999999996</v>
      </c>
    </row>
    <row r="20" spans="1:9" x14ac:dyDescent="0.2">
      <c r="A20" s="19"/>
      <c r="B20" s="38" t="s">
        <v>54</v>
      </c>
      <c r="C20" s="41">
        <v>0</v>
      </c>
      <c r="D20" s="42" t="s">
        <v>29</v>
      </c>
      <c r="E20" s="20">
        <f t="shared" si="2"/>
        <v>0</v>
      </c>
      <c r="F20" s="20">
        <f t="shared" si="3"/>
        <v>0</v>
      </c>
    </row>
    <row r="21" spans="1:9" ht="24" x14ac:dyDescent="0.2">
      <c r="A21" s="28"/>
      <c r="B21" s="38" t="s">
        <v>55</v>
      </c>
      <c r="C21" s="41">
        <v>0.03</v>
      </c>
      <c r="D21" s="42" t="s">
        <v>59</v>
      </c>
      <c r="E21" s="20">
        <f t="shared" si="2"/>
        <v>167.90099999999998</v>
      </c>
      <c r="F21" s="20">
        <f t="shared" si="3"/>
        <v>2014.8119999999999</v>
      </c>
    </row>
    <row r="22" spans="1:9" ht="38.25" x14ac:dyDescent="0.2">
      <c r="A22" s="23" t="s">
        <v>32</v>
      </c>
      <c r="B22" s="43" t="s">
        <v>33</v>
      </c>
      <c r="C22" s="81"/>
      <c r="D22" s="81"/>
      <c r="E22" s="14"/>
      <c r="F22" s="14"/>
      <c r="I22" s="1" t="s">
        <v>56</v>
      </c>
    </row>
    <row r="23" spans="1:9" x14ac:dyDescent="0.2">
      <c r="A23" s="81"/>
      <c r="B23" s="4" t="s">
        <v>34</v>
      </c>
      <c r="C23" s="81"/>
      <c r="D23" s="4"/>
      <c r="E23" s="14"/>
      <c r="F23" s="14"/>
    </row>
    <row r="24" spans="1:9" ht="26.25" x14ac:dyDescent="0.25">
      <c r="A24" s="25"/>
      <c r="B24" s="44" t="s">
        <v>35</v>
      </c>
      <c r="C24" s="83">
        <v>2</v>
      </c>
      <c r="D24" s="42" t="s">
        <v>59</v>
      </c>
      <c r="E24" s="18">
        <f>C24*5596.7</f>
        <v>11193.4</v>
      </c>
      <c r="F24" s="18">
        <f>E24*12</f>
        <v>134320.79999999999</v>
      </c>
      <c r="H24" s="1">
        <v>9514.39</v>
      </c>
    </row>
    <row r="25" spans="1:9" ht="15" x14ac:dyDescent="0.25">
      <c r="A25" s="81"/>
      <c r="B25" s="46" t="s">
        <v>37</v>
      </c>
      <c r="C25" s="81"/>
      <c r="D25" s="81"/>
      <c r="E25" s="18"/>
      <c r="F25" s="14"/>
    </row>
    <row r="26" spans="1:9" ht="15" x14ac:dyDescent="0.25">
      <c r="A26" s="82"/>
      <c r="B26" s="47" t="s">
        <v>38</v>
      </c>
      <c r="C26" s="83">
        <v>5.32</v>
      </c>
      <c r="D26" s="42" t="s">
        <v>59</v>
      </c>
      <c r="E26" s="18">
        <f t="shared" ref="E26:E32" si="4">C26*5596.7</f>
        <v>29774.444</v>
      </c>
      <c r="F26" s="18">
        <f>E26*12</f>
        <v>357293.32799999998</v>
      </c>
      <c r="H26" s="1">
        <v>25912.720000000001</v>
      </c>
    </row>
    <row r="27" spans="1:9" ht="15" x14ac:dyDescent="0.25">
      <c r="A27" s="82"/>
      <c r="B27" s="44"/>
      <c r="C27" s="83"/>
      <c r="D27" s="50" t="s">
        <v>15</v>
      </c>
      <c r="E27" s="18">
        <f t="shared" si="4"/>
        <v>0</v>
      </c>
      <c r="F27" s="18">
        <f>E27*12</f>
        <v>0</v>
      </c>
      <c r="H27" s="1">
        <f>H24+H26</f>
        <v>35427.11</v>
      </c>
    </row>
    <row r="28" spans="1:9" ht="51.75" x14ac:dyDescent="0.25">
      <c r="A28" s="24" t="s">
        <v>39</v>
      </c>
      <c r="B28" s="80" t="s">
        <v>57</v>
      </c>
      <c r="C28" s="23">
        <v>1.97</v>
      </c>
      <c r="D28" s="50" t="s">
        <v>15</v>
      </c>
      <c r="E28" s="18">
        <f t="shared" si="4"/>
        <v>11025.499</v>
      </c>
      <c r="F28" s="18">
        <f t="shared" ref="F28:F29" si="5">E28*12</f>
        <v>132305.98800000001</v>
      </c>
    </row>
    <row r="29" spans="1:9" ht="15" x14ac:dyDescent="0.25">
      <c r="A29" s="25" t="s">
        <v>41</v>
      </c>
      <c r="B29" s="48" t="s">
        <v>73</v>
      </c>
      <c r="C29" s="49">
        <v>2.1</v>
      </c>
      <c r="D29" s="50" t="s">
        <v>30</v>
      </c>
      <c r="E29" s="18">
        <f t="shared" si="4"/>
        <v>11753.07</v>
      </c>
      <c r="F29" s="51">
        <f t="shared" si="5"/>
        <v>141036.84</v>
      </c>
      <c r="G29" s="62"/>
    </row>
    <row r="30" spans="1:9" ht="34.5" x14ac:dyDescent="0.25">
      <c r="A30" s="25"/>
      <c r="B30" s="52" t="s">
        <v>40</v>
      </c>
      <c r="C30" s="53"/>
      <c r="D30" s="50"/>
      <c r="E30" s="18">
        <f t="shared" si="4"/>
        <v>0</v>
      </c>
      <c r="F30" s="51"/>
    </row>
    <row r="31" spans="1:9" ht="15" x14ac:dyDescent="0.25">
      <c r="A31" s="25" t="s">
        <v>42</v>
      </c>
      <c r="B31" s="47" t="s">
        <v>74</v>
      </c>
      <c r="C31" s="53">
        <v>4.4000000000000004</v>
      </c>
      <c r="D31" s="50" t="s">
        <v>15</v>
      </c>
      <c r="E31" s="18">
        <f t="shared" si="4"/>
        <v>24625.48</v>
      </c>
      <c r="F31" s="18">
        <f>E31*12</f>
        <v>295505.76</v>
      </c>
    </row>
    <row r="32" spans="1:9" ht="15" x14ac:dyDescent="0.25">
      <c r="A32" s="25" t="s">
        <v>43</v>
      </c>
      <c r="B32" s="55" t="s">
        <v>44</v>
      </c>
      <c r="C32" s="53">
        <v>1.44</v>
      </c>
      <c r="D32" s="50" t="s">
        <v>15</v>
      </c>
      <c r="E32" s="18">
        <f t="shared" si="4"/>
        <v>8059.2479999999996</v>
      </c>
      <c r="F32" s="18">
        <f t="shared" ref="F32" si="6">E32*12</f>
        <v>96710.975999999995</v>
      </c>
    </row>
    <row r="33" spans="1:6" ht="15.75" x14ac:dyDescent="0.25">
      <c r="A33" s="25"/>
      <c r="B33" s="56" t="s">
        <v>46</v>
      </c>
      <c r="C33" s="57">
        <f>C10+C11+C12+C13+C14+C24+C26+C27+C28+C29+C31+C32</f>
        <v>24.000000000000004</v>
      </c>
      <c r="D33" s="50"/>
      <c r="E33" s="18">
        <f>E10+E11+E12+E13+E14+E24+E26+E27+E28+E29+E32+E31</f>
        <v>131858.82399999999</v>
      </c>
      <c r="F33" s="18">
        <f>F10+F11+F12+F13+F14+F24+F26+F27+F28+F29+F31+F32</f>
        <v>1582305.888</v>
      </c>
    </row>
    <row r="34" spans="1:6" ht="15.75" x14ac:dyDescent="0.25">
      <c r="A34" s="58"/>
      <c r="B34" s="3"/>
      <c r="C34" s="59"/>
      <c r="D34" s="60"/>
    </row>
    <row r="35" spans="1:6" ht="15.75" x14ac:dyDescent="0.25">
      <c r="A35" s="58"/>
      <c r="B35" s="3" t="s">
        <v>63</v>
      </c>
      <c r="C35" s="59">
        <v>7.45</v>
      </c>
      <c r="D35" s="60"/>
    </row>
    <row r="36" spans="1:6" ht="15.75" x14ac:dyDescent="0.25">
      <c r="A36" s="58"/>
      <c r="B36" s="3"/>
      <c r="C36" s="59"/>
      <c r="D36" s="60"/>
    </row>
    <row r="37" spans="1:6" ht="15.75" x14ac:dyDescent="0.25">
      <c r="A37" s="58"/>
      <c r="B37" s="87" t="s">
        <v>64</v>
      </c>
      <c r="C37" s="59">
        <f>C33+C35</f>
        <v>31.450000000000003</v>
      </c>
      <c r="D37" s="60"/>
    </row>
    <row r="38" spans="1:6" x14ac:dyDescent="0.2">
      <c r="A38" s="58"/>
      <c r="C38" s="66"/>
      <c r="E38" s="54"/>
    </row>
    <row r="39" spans="1:6" x14ac:dyDescent="0.2">
      <c r="A39" s="58"/>
      <c r="B39" s="2" t="s">
        <v>47</v>
      </c>
      <c r="C39" s="1" t="s">
        <v>58</v>
      </c>
    </row>
    <row r="40" spans="1:6" x14ac:dyDescent="0.2">
      <c r="B40" s="1" t="s">
        <v>48</v>
      </c>
      <c r="D40" s="1" t="s">
        <v>49</v>
      </c>
    </row>
    <row r="42" spans="1:6" x14ac:dyDescent="0.2">
      <c r="B42" s="1" t="s">
        <v>50</v>
      </c>
      <c r="D42" s="1" t="s">
        <v>51</v>
      </c>
    </row>
    <row r="43" spans="1:6" x14ac:dyDescent="0.2">
      <c r="B43" s="1" t="s">
        <v>52</v>
      </c>
      <c r="D43" s="1" t="s">
        <v>51</v>
      </c>
    </row>
    <row r="44" spans="1:6" x14ac:dyDescent="0.2">
      <c r="B44" s="1" t="s">
        <v>52</v>
      </c>
      <c r="D44" s="1" t="s">
        <v>51</v>
      </c>
    </row>
    <row r="45" spans="1:6" x14ac:dyDescent="0.2">
      <c r="B45" s="1" t="s">
        <v>52</v>
      </c>
      <c r="D45" s="1" t="s">
        <v>51</v>
      </c>
    </row>
    <row r="46" spans="1:6" x14ac:dyDescent="0.2">
      <c r="B46" s="1" t="s">
        <v>52</v>
      </c>
      <c r="D46" s="1" t="s">
        <v>51</v>
      </c>
    </row>
  </sheetData>
  <mergeCells count="1">
    <mergeCell ref="A2:D3"/>
  </mergeCells>
  <pageMargins left="0.7" right="0.7" top="0.75" bottom="0.75" header="0.3" footer="0.3"/>
  <pageSetup paperSize="9" scale="84" fitToWidth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I42"/>
  <sheetViews>
    <sheetView topLeftCell="A7" workbookViewId="0">
      <selection activeCell="L35" sqref="L35"/>
    </sheetView>
  </sheetViews>
  <sheetFormatPr defaultColWidth="9" defaultRowHeight="14.25" x14ac:dyDescent="0.2"/>
  <cols>
    <col min="1" max="1" width="6.85546875" style="1" customWidth="1"/>
    <col min="2" max="2" width="43.140625" style="1" customWidth="1"/>
    <col min="3" max="3" width="9" style="1"/>
    <col min="4" max="4" width="22.42578125" style="1" customWidth="1"/>
    <col min="5" max="5" width="16" style="1" customWidth="1"/>
    <col min="6" max="6" width="16.5703125" style="1" customWidth="1"/>
    <col min="7" max="7" width="9" style="1"/>
    <col min="8" max="8" width="10.42578125" style="1" customWidth="1"/>
    <col min="9" max="16384" width="9" style="1"/>
  </cols>
  <sheetData>
    <row r="1" spans="1:7" x14ac:dyDescent="0.2">
      <c r="D1" s="2" t="s">
        <v>2</v>
      </c>
    </row>
    <row r="2" spans="1:7" x14ac:dyDescent="0.2">
      <c r="A2" s="245" t="s">
        <v>3</v>
      </c>
      <c r="B2" s="245"/>
      <c r="C2" s="245"/>
      <c r="D2" s="245"/>
    </row>
    <row r="3" spans="1:7" x14ac:dyDescent="0.2">
      <c r="A3" s="245"/>
      <c r="B3" s="245"/>
      <c r="C3" s="245"/>
      <c r="D3" s="245"/>
    </row>
    <row r="4" spans="1:7" x14ac:dyDescent="0.2">
      <c r="B4" s="3" t="s">
        <v>266</v>
      </c>
      <c r="C4" s="3"/>
      <c r="D4" s="3"/>
    </row>
    <row r="5" spans="1:7" x14ac:dyDescent="0.2">
      <c r="B5" s="3"/>
      <c r="C5" s="3"/>
      <c r="D5" s="3"/>
      <c r="F5" s="1">
        <v>4447.2</v>
      </c>
    </row>
    <row r="6" spans="1:7" ht="15" x14ac:dyDescent="0.25">
      <c r="A6" s="4"/>
      <c r="B6" s="4"/>
      <c r="C6" s="4"/>
      <c r="D6" s="4"/>
      <c r="E6" s="5" t="s">
        <v>4</v>
      </c>
      <c r="F6" s="5" t="s">
        <v>4</v>
      </c>
    </row>
    <row r="7" spans="1:7" ht="15" x14ac:dyDescent="0.25">
      <c r="A7" s="6" t="s">
        <v>0</v>
      </c>
      <c r="B7" s="7"/>
      <c r="C7" s="82" t="s">
        <v>5</v>
      </c>
      <c r="D7" s="7" t="s">
        <v>6</v>
      </c>
      <c r="E7" s="8" t="s">
        <v>7</v>
      </c>
      <c r="F7" s="8" t="s">
        <v>8</v>
      </c>
    </row>
    <row r="8" spans="1:7" ht="15" x14ac:dyDescent="0.25">
      <c r="A8" s="6" t="s">
        <v>1</v>
      </c>
      <c r="B8" s="83" t="s">
        <v>9</v>
      </c>
      <c r="C8" s="83" t="s">
        <v>10</v>
      </c>
      <c r="D8" s="83"/>
      <c r="E8" s="9" t="s">
        <v>11</v>
      </c>
      <c r="F8" s="9" t="s">
        <v>11</v>
      </c>
    </row>
    <row r="9" spans="1:7" ht="25.5" x14ac:dyDescent="0.2">
      <c r="A9" s="10" t="s">
        <v>12</v>
      </c>
      <c r="B9" s="11" t="s">
        <v>13</v>
      </c>
      <c r="C9" s="12"/>
      <c r="D9" s="17"/>
      <c r="E9" s="14"/>
      <c r="F9" s="14"/>
    </row>
    <row r="10" spans="1:7" ht="39" x14ac:dyDescent="0.25">
      <c r="A10" s="10"/>
      <c r="B10" s="15" t="s">
        <v>14</v>
      </c>
      <c r="C10" s="16">
        <v>3.2</v>
      </c>
      <c r="D10" s="50" t="s">
        <v>15</v>
      </c>
      <c r="E10" s="18">
        <f>C10*4447.2</f>
        <v>14231.04</v>
      </c>
      <c r="F10" s="18">
        <f>E10*12</f>
        <v>170772.48000000001</v>
      </c>
    </row>
    <row r="11" spans="1:7" ht="15" x14ac:dyDescent="0.25">
      <c r="A11" s="10"/>
      <c r="B11" s="15" t="s">
        <v>76</v>
      </c>
      <c r="C11" s="16">
        <v>0.18</v>
      </c>
      <c r="D11" s="88" t="s">
        <v>20</v>
      </c>
      <c r="E11" s="18">
        <f t="shared" ref="E11:E32" si="0">C11*4447.2</f>
        <v>800.49599999999998</v>
      </c>
      <c r="F11" s="18">
        <f>E11*12</f>
        <v>9605.9519999999993</v>
      </c>
    </row>
    <row r="12" spans="1:7" ht="39" x14ac:dyDescent="0.25">
      <c r="A12" s="10" t="s">
        <v>16</v>
      </c>
      <c r="B12" s="15" t="s">
        <v>17</v>
      </c>
      <c r="C12" s="21">
        <v>0.9</v>
      </c>
      <c r="D12" s="50" t="s">
        <v>15</v>
      </c>
      <c r="E12" s="18">
        <f t="shared" si="0"/>
        <v>4002.48</v>
      </c>
      <c r="F12" s="18">
        <f t="shared" ref="F12:F13" si="1">E12*12</f>
        <v>48029.760000000002</v>
      </c>
      <c r="G12" s="117"/>
    </row>
    <row r="13" spans="1:7" ht="39" x14ac:dyDescent="0.25">
      <c r="A13" s="22" t="s">
        <v>18</v>
      </c>
      <c r="B13" s="15" t="s">
        <v>19</v>
      </c>
      <c r="C13" s="23">
        <v>0.46</v>
      </c>
      <c r="D13" s="88" t="s">
        <v>20</v>
      </c>
      <c r="E13" s="18">
        <f t="shared" si="0"/>
        <v>2045.712</v>
      </c>
      <c r="F13" s="18">
        <f t="shared" si="1"/>
        <v>24548.544000000002</v>
      </c>
    </row>
    <row r="14" spans="1:7" ht="15.75" x14ac:dyDescent="0.25">
      <c r="A14" s="25" t="s">
        <v>21</v>
      </c>
      <c r="B14" s="26" t="s">
        <v>22</v>
      </c>
      <c r="C14" s="83">
        <f>C15+C16+C17+C19+C20+C21</f>
        <v>1.65</v>
      </c>
      <c r="D14" s="27"/>
      <c r="E14" s="18">
        <f t="shared" si="0"/>
        <v>7337.8799999999992</v>
      </c>
      <c r="F14" s="18">
        <f>F15+F16+F17+F19+F20+F21</f>
        <v>88054.559999999983</v>
      </c>
    </row>
    <row r="15" spans="1:7" ht="15" x14ac:dyDescent="0.25">
      <c r="A15" s="28"/>
      <c r="B15" s="29" t="s">
        <v>23</v>
      </c>
      <c r="C15" s="30">
        <v>0.13</v>
      </c>
      <c r="D15" s="31" t="s">
        <v>24</v>
      </c>
      <c r="E15" s="18">
        <f t="shared" si="0"/>
        <v>578.13599999999997</v>
      </c>
      <c r="F15" s="20">
        <f>E15*12</f>
        <v>6937.6319999999996</v>
      </c>
    </row>
    <row r="16" spans="1:7" ht="24.75" x14ac:dyDescent="0.25">
      <c r="A16" s="28"/>
      <c r="B16" s="29" t="s">
        <v>25</v>
      </c>
      <c r="C16" s="30">
        <v>0.45</v>
      </c>
      <c r="D16" s="32" t="s">
        <v>20</v>
      </c>
      <c r="E16" s="18">
        <f t="shared" si="0"/>
        <v>2001.24</v>
      </c>
      <c r="F16" s="20">
        <f t="shared" ref="F16:F21" si="2">E16*12</f>
        <v>24014.880000000001</v>
      </c>
    </row>
    <row r="17" spans="1:9" ht="15" x14ac:dyDescent="0.25">
      <c r="A17" s="28"/>
      <c r="B17" s="33" t="s">
        <v>26</v>
      </c>
      <c r="C17" s="30">
        <v>0.9</v>
      </c>
      <c r="D17" s="34"/>
      <c r="E17" s="18">
        <f t="shared" si="0"/>
        <v>4002.48</v>
      </c>
      <c r="F17" s="20">
        <f t="shared" si="2"/>
        <v>48029.760000000002</v>
      </c>
    </row>
    <row r="18" spans="1:9" ht="41.1" customHeight="1" x14ac:dyDescent="0.25">
      <c r="A18" s="25"/>
      <c r="B18" s="35" t="s">
        <v>27</v>
      </c>
      <c r="C18" s="36"/>
      <c r="D18" s="37" t="s">
        <v>28</v>
      </c>
      <c r="E18" s="18">
        <f t="shared" si="0"/>
        <v>0</v>
      </c>
      <c r="F18" s="14"/>
    </row>
    <row r="19" spans="1:9" ht="15" x14ac:dyDescent="0.25">
      <c r="A19" s="28"/>
      <c r="B19" s="38" t="s">
        <v>53</v>
      </c>
      <c r="C19" s="39">
        <v>0.02</v>
      </c>
      <c r="D19" s="40" t="s">
        <v>30</v>
      </c>
      <c r="E19" s="18">
        <f t="shared" si="0"/>
        <v>88.944000000000003</v>
      </c>
      <c r="F19" s="20">
        <f>E19*12</f>
        <v>1067.328</v>
      </c>
    </row>
    <row r="20" spans="1:9" ht="15" x14ac:dyDescent="0.25">
      <c r="A20" s="19"/>
      <c r="B20" s="38" t="s">
        <v>54</v>
      </c>
      <c r="C20" s="41">
        <v>0.13</v>
      </c>
      <c r="D20" s="42" t="s">
        <v>29</v>
      </c>
      <c r="E20" s="18">
        <f t="shared" si="0"/>
        <v>578.13599999999997</v>
      </c>
      <c r="F20" s="20">
        <f t="shared" si="2"/>
        <v>6937.6319999999996</v>
      </c>
    </row>
    <row r="21" spans="1:9" ht="24.75" x14ac:dyDescent="0.25">
      <c r="A21" s="28"/>
      <c r="B21" s="38" t="s">
        <v>55</v>
      </c>
      <c r="C21" s="41">
        <v>0.02</v>
      </c>
      <c r="D21" s="42" t="s">
        <v>59</v>
      </c>
      <c r="E21" s="18">
        <f t="shared" si="0"/>
        <v>88.944000000000003</v>
      </c>
      <c r="F21" s="20">
        <f t="shared" si="2"/>
        <v>1067.328</v>
      </c>
    </row>
    <row r="22" spans="1:9" ht="39" x14ac:dyDescent="0.25">
      <c r="A22" s="23" t="s">
        <v>32</v>
      </c>
      <c r="B22" s="43" t="s">
        <v>33</v>
      </c>
      <c r="C22" s="81"/>
      <c r="D22" s="81"/>
      <c r="E22" s="18">
        <f t="shared" si="0"/>
        <v>0</v>
      </c>
      <c r="F22" s="14"/>
      <c r="I22" s="1" t="s">
        <v>56</v>
      </c>
    </row>
    <row r="23" spans="1:9" ht="15" x14ac:dyDescent="0.25">
      <c r="A23" s="81"/>
      <c r="B23" s="4" t="s">
        <v>34</v>
      </c>
      <c r="C23" s="81"/>
      <c r="D23" s="4"/>
      <c r="E23" s="18">
        <f t="shared" si="0"/>
        <v>0</v>
      </c>
      <c r="F23" s="14"/>
    </row>
    <row r="24" spans="1:9" ht="26.25" x14ac:dyDescent="0.25">
      <c r="A24" s="25"/>
      <c r="B24" s="44" t="s">
        <v>35</v>
      </c>
      <c r="C24" s="83">
        <v>1.95</v>
      </c>
      <c r="D24" s="42" t="s">
        <v>59</v>
      </c>
      <c r="E24" s="18">
        <f t="shared" si="0"/>
        <v>8672.0399999999991</v>
      </c>
      <c r="F24" s="18">
        <f>E24*12</f>
        <v>104064.47999999998</v>
      </c>
    </row>
    <row r="25" spans="1:9" ht="15" x14ac:dyDescent="0.25">
      <c r="A25" s="81"/>
      <c r="B25" s="46" t="s">
        <v>37</v>
      </c>
      <c r="C25" s="81"/>
      <c r="D25" s="81"/>
      <c r="E25" s="18">
        <f t="shared" si="0"/>
        <v>0</v>
      </c>
      <c r="F25" s="14"/>
    </row>
    <row r="26" spans="1:9" ht="15" x14ac:dyDescent="0.25">
      <c r="A26" s="82"/>
      <c r="B26" s="47" t="s">
        <v>38</v>
      </c>
      <c r="C26" s="83">
        <v>0</v>
      </c>
      <c r="D26" s="83"/>
      <c r="E26" s="18">
        <f t="shared" si="0"/>
        <v>0</v>
      </c>
      <c r="F26" s="18">
        <f>E26*12</f>
        <v>0</v>
      </c>
    </row>
    <row r="27" spans="1:9" ht="51.75" x14ac:dyDescent="0.25">
      <c r="A27" s="24" t="s">
        <v>39</v>
      </c>
      <c r="B27" s="80" t="s">
        <v>57</v>
      </c>
      <c r="C27" s="79">
        <v>0.12</v>
      </c>
      <c r="D27" s="27" t="s">
        <v>72</v>
      </c>
      <c r="E27" s="18">
        <f t="shared" si="0"/>
        <v>533.66399999999999</v>
      </c>
      <c r="F27" s="18">
        <f t="shared" ref="F27:F28" si="3">E27*12</f>
        <v>6403.9679999999998</v>
      </c>
    </row>
    <row r="28" spans="1:9" ht="15" x14ac:dyDescent="0.25">
      <c r="A28" s="25" t="s">
        <v>41</v>
      </c>
      <c r="B28" s="48" t="s">
        <v>73</v>
      </c>
      <c r="C28" s="49">
        <v>3.15</v>
      </c>
      <c r="D28" s="50" t="s">
        <v>30</v>
      </c>
      <c r="E28" s="18">
        <f t="shared" si="0"/>
        <v>14008.679999999998</v>
      </c>
      <c r="F28" s="51">
        <f t="shared" si="3"/>
        <v>168104.15999999997</v>
      </c>
      <c r="G28" s="215"/>
    </row>
    <row r="29" spans="1:9" ht="34.5" x14ac:dyDescent="0.25">
      <c r="A29" s="25"/>
      <c r="B29" s="52" t="s">
        <v>40</v>
      </c>
      <c r="C29" s="53"/>
      <c r="D29" s="50"/>
      <c r="E29" s="18">
        <f t="shared" si="0"/>
        <v>0</v>
      </c>
      <c r="F29" s="51"/>
    </row>
    <row r="30" spans="1:9" ht="15" x14ac:dyDescent="0.25">
      <c r="A30" s="25" t="s">
        <v>42</v>
      </c>
      <c r="B30" s="47" t="s">
        <v>74</v>
      </c>
      <c r="C30" s="53">
        <v>4.18</v>
      </c>
      <c r="D30" s="50" t="s">
        <v>15</v>
      </c>
      <c r="E30" s="18">
        <f t="shared" si="0"/>
        <v>18589.295999999998</v>
      </c>
      <c r="F30" s="18">
        <f>E30*12</f>
        <v>223071.55199999997</v>
      </c>
    </row>
    <row r="31" spans="1:9" ht="15" x14ac:dyDescent="0.25">
      <c r="A31" s="25" t="s">
        <v>43</v>
      </c>
      <c r="B31" s="55" t="s">
        <v>44</v>
      </c>
      <c r="C31" s="53">
        <v>1.01</v>
      </c>
      <c r="D31" s="50" t="s">
        <v>15</v>
      </c>
      <c r="E31" s="18">
        <f t="shared" si="0"/>
        <v>4491.6719999999996</v>
      </c>
      <c r="F31" s="18">
        <f t="shared" ref="F31" si="4">E31*12</f>
        <v>53900.063999999998</v>
      </c>
    </row>
    <row r="32" spans="1:9" ht="15.75" x14ac:dyDescent="0.25">
      <c r="A32" s="25"/>
      <c r="B32" s="56" t="s">
        <v>46</v>
      </c>
      <c r="C32" s="57">
        <f>C10+C11+C12+C13+C14+C24+C26+C27+C28+C30+C31</f>
        <v>16.8</v>
      </c>
      <c r="D32" s="50"/>
      <c r="E32" s="18">
        <f t="shared" si="0"/>
        <v>74712.960000000006</v>
      </c>
      <c r="F32" s="18">
        <f>F10+F11+F12+F13+F14+F24+F26+F27+F28+F30+F31</f>
        <v>896555.51999999979</v>
      </c>
    </row>
    <row r="33" spans="1:5" ht="15.75" x14ac:dyDescent="0.25">
      <c r="A33" s="58"/>
      <c r="B33" s="3"/>
      <c r="C33" s="59"/>
      <c r="D33" s="60"/>
    </row>
    <row r="34" spans="1:5" x14ac:dyDescent="0.2">
      <c r="A34" s="58"/>
      <c r="C34" s="66"/>
      <c r="E34" s="54"/>
    </row>
    <row r="35" spans="1:5" x14ac:dyDescent="0.2">
      <c r="A35" s="58"/>
      <c r="B35" s="2" t="s">
        <v>47</v>
      </c>
      <c r="C35" s="1" t="s">
        <v>58</v>
      </c>
    </row>
    <row r="36" spans="1:5" x14ac:dyDescent="0.2">
      <c r="B36" s="1" t="s">
        <v>48</v>
      </c>
      <c r="D36" s="1" t="s">
        <v>49</v>
      </c>
    </row>
    <row r="38" spans="1:5" x14ac:dyDescent="0.2">
      <c r="B38" s="1" t="s">
        <v>50</v>
      </c>
      <c r="D38" s="1" t="s">
        <v>51</v>
      </c>
    </row>
    <row r="39" spans="1:5" x14ac:dyDescent="0.2">
      <c r="B39" s="1" t="s">
        <v>52</v>
      </c>
      <c r="D39" s="1" t="s">
        <v>51</v>
      </c>
    </row>
    <row r="40" spans="1:5" x14ac:dyDescent="0.2">
      <c r="B40" s="1" t="s">
        <v>52</v>
      </c>
      <c r="D40" s="1" t="s">
        <v>51</v>
      </c>
    </row>
    <row r="41" spans="1:5" x14ac:dyDescent="0.2">
      <c r="B41" s="1" t="s">
        <v>52</v>
      </c>
      <c r="D41" s="1" t="s">
        <v>51</v>
      </c>
    </row>
    <row r="42" spans="1:5" x14ac:dyDescent="0.2">
      <c r="B42" s="1" t="s">
        <v>52</v>
      </c>
      <c r="D42" s="1" t="s">
        <v>51</v>
      </c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57</vt:i4>
      </vt:variant>
    </vt:vector>
  </HeadingPairs>
  <TitlesOfParts>
    <vt:vector size="57" baseType="lpstr">
      <vt:lpstr>оплата</vt:lpstr>
      <vt:lpstr>А7-21</vt:lpstr>
      <vt:lpstr>А18-21</vt:lpstr>
      <vt:lpstr>А25-21</vt:lpstr>
      <vt:lpstr>В4-21</vt:lpstr>
      <vt:lpstr>В10-21</vt:lpstr>
      <vt:lpstr>В10,7-21</vt:lpstr>
      <vt:lpstr>В10,8-21</vt:lpstr>
      <vt:lpstr>В12-21</vt:lpstr>
      <vt:lpstr>В16-21</vt:lpstr>
      <vt:lpstr>В17-21</vt:lpstr>
      <vt:lpstr>В19-21</vt:lpstr>
      <vt:lpstr>В21-21</vt:lpstr>
      <vt:lpstr>В22-21</vt:lpstr>
      <vt:lpstr>В23-21</vt:lpstr>
      <vt:lpstr>В24-21</vt:lpstr>
      <vt:lpstr>В25-21</vt:lpstr>
      <vt:lpstr>В26-21</vt:lpstr>
      <vt:lpstr>В27-21</vt:lpstr>
      <vt:lpstr>В28-21</vt:lpstr>
      <vt:lpstr>В30-21</vt:lpstr>
      <vt:lpstr>В31-21</vt:lpstr>
      <vt:lpstr>В31-Д</vt:lpstr>
      <vt:lpstr>В32-21</vt:lpstr>
      <vt:lpstr>В34-21</vt:lpstr>
      <vt:lpstr>В36-21</vt:lpstr>
      <vt:lpstr>М 6</vt:lpstr>
      <vt:lpstr>М13,2-21</vt:lpstr>
      <vt:lpstr>М30,1-21</vt:lpstr>
      <vt:lpstr>М18-21</vt:lpstr>
      <vt:lpstr>М19-21</vt:lpstr>
      <vt:lpstr>М28-21</vt:lpstr>
      <vt:lpstr>М30-21</vt:lpstr>
      <vt:lpstr>М39-21</vt:lpstr>
      <vt:lpstr>М41-21</vt:lpstr>
      <vt:lpstr>М45-21</vt:lpstr>
      <vt:lpstr>М47-21</vt:lpstr>
      <vt:lpstr>М,Б34,18-21</vt:lpstr>
      <vt:lpstr>Т3-21</vt:lpstr>
      <vt:lpstr>Т4-21</vt:lpstr>
      <vt:lpstr>Т10-21</vt:lpstr>
      <vt:lpstr>Т13-21</vt:lpstr>
      <vt:lpstr>Т15-21</vt:lpstr>
      <vt:lpstr>Т17,1-21</vt:lpstr>
      <vt:lpstr>Т17,2-21</vt:lpstr>
      <vt:lpstr>Т18-21</vt:lpstr>
      <vt:lpstr>Т21-21</vt:lpstr>
      <vt:lpstr>Т23-21</vt:lpstr>
      <vt:lpstr>Т27-21</vt:lpstr>
      <vt:lpstr>Пл.100-21</vt:lpstr>
      <vt:lpstr>Пл177-21</vt:lpstr>
      <vt:lpstr>пл179а-21</vt:lpstr>
      <vt:lpstr>Пл181-21</vt:lpstr>
      <vt:lpstr>Пл.181а-21</vt:lpstr>
      <vt:lpstr>Пл187-21</vt:lpstr>
      <vt:lpstr>Пл191-21</vt:lpstr>
      <vt:lpstr>ВЛКСМ16-21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МЕДЯНКИНА Л.Д</cp:lastModifiedBy>
  <cp:lastPrinted>2022-11-08T08:26:19Z</cp:lastPrinted>
  <dcterms:created xsi:type="dcterms:W3CDTF">2006-09-28T05:33:00Z</dcterms:created>
  <dcterms:modified xsi:type="dcterms:W3CDTF">2023-01-17T06:39:44Z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