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N16" i="2" l="1"/>
  <c r="AN9" i="2"/>
  <c r="AN4" i="2"/>
  <c r="AN5" i="2"/>
  <c r="AM19" i="2"/>
  <c r="AM4" i="2"/>
  <c r="AM14" i="2"/>
  <c r="AM15" i="2"/>
  <c r="AM16" i="2"/>
  <c r="AM5" i="2"/>
  <c r="AM17" i="2"/>
  <c r="AK4" i="2"/>
  <c r="AP16" i="2" l="1"/>
  <c r="AP4" i="2"/>
  <c r="AP5" i="2"/>
  <c r="AO5" i="2"/>
  <c r="AO4" i="2"/>
  <c r="AO16" i="2"/>
  <c r="AO9" i="2"/>
  <c r="AL4" i="2"/>
  <c r="AL5" i="2"/>
  <c r="AK18" i="2"/>
  <c r="AJ4" i="2"/>
  <c r="AJ5" i="2"/>
  <c r="AI4" i="2"/>
  <c r="AI5" i="2"/>
  <c r="AH9" i="2"/>
  <c r="AH7" i="2"/>
  <c r="AH4" i="2"/>
  <c r="AH5" i="2"/>
  <c r="AG16" i="2"/>
  <c r="AG9" i="2"/>
  <c r="AF9" i="2"/>
  <c r="AG7" i="2"/>
  <c r="AG4" i="2"/>
  <c r="AG5" i="2"/>
  <c r="AF16" i="2"/>
  <c r="AF4" i="2"/>
  <c r="AF5" i="2"/>
  <c r="AE16" i="2"/>
  <c r="AE9" i="2"/>
  <c r="AE7" i="2"/>
  <c r="AE5" i="2"/>
  <c r="AE4" i="2"/>
  <c r="AD4" i="2"/>
  <c r="AD5" i="2"/>
  <c r="AC4" i="2"/>
  <c r="AC5" i="2"/>
  <c r="AC18" i="2" s="1"/>
  <c r="AC16" i="2"/>
  <c r="AC9" i="2"/>
  <c r="AB4" i="2"/>
  <c r="AB5" i="2"/>
  <c r="AA16" i="2"/>
  <c r="AA7" i="2"/>
  <c r="AA9" i="2"/>
  <c r="AA4" i="2"/>
  <c r="AA5" i="2"/>
  <c r="Z16" i="2"/>
  <c r="Z9" i="2"/>
  <c r="Z7" i="2"/>
  <c r="Z4" i="2"/>
  <c r="Z5" i="2"/>
  <c r="Y5" i="2"/>
  <c r="Y16" i="2"/>
  <c r="Y9" i="2"/>
  <c r="Y7" i="2"/>
  <c r="Y4" i="2"/>
  <c r="AP18" i="2"/>
  <c r="AN18" i="2"/>
  <c r="AI18" i="2"/>
  <c r="AO18" i="2" l="1"/>
  <c r="AB18" i="2"/>
  <c r="AD18" i="2"/>
  <c r="AH18" i="2"/>
  <c r="AJ18" i="2"/>
  <c r="AL18" i="2"/>
  <c r="AM18" i="2"/>
  <c r="AG18" i="2"/>
  <c r="AF18" i="2"/>
  <c r="AE18" i="2"/>
  <c r="AA18" i="2"/>
  <c r="Z18" i="2"/>
  <c r="Y18" i="2"/>
  <c r="X16" i="2"/>
  <c r="X7" i="2"/>
  <c r="X4" i="2"/>
  <c r="X5" i="2"/>
  <c r="W5" i="2"/>
  <c r="W16" i="2"/>
  <c r="W9" i="2"/>
  <c r="W7" i="2"/>
  <c r="W4" i="2"/>
  <c r="V16" i="2"/>
  <c r="V7" i="2"/>
  <c r="V5" i="2"/>
  <c r="V4" i="2"/>
  <c r="U16" i="2"/>
  <c r="U9" i="2"/>
  <c r="U7" i="2"/>
  <c r="U4" i="2"/>
  <c r="U5" i="2"/>
  <c r="T16" i="2"/>
  <c r="T4" i="2"/>
  <c r="T5" i="2"/>
  <c r="S5" i="2"/>
  <c r="S16" i="2"/>
  <c r="S9" i="2"/>
  <c r="S4" i="2"/>
  <c r="R4" i="2"/>
  <c r="R5" i="2"/>
  <c r="R9" i="2"/>
  <c r="Q16" i="2"/>
  <c r="Q9" i="2"/>
  <c r="Q4" i="2"/>
  <c r="Q7" i="2"/>
  <c r="Q5" i="2"/>
  <c r="P16" i="2"/>
  <c r="O16" i="2"/>
  <c r="P7" i="2"/>
  <c r="O7" i="2"/>
  <c r="P5" i="2"/>
  <c r="O5" i="2"/>
  <c r="O18" i="2" s="1"/>
  <c r="P4" i="2"/>
  <c r="N16" i="2"/>
  <c r="N9" i="2"/>
  <c r="N7" i="2"/>
  <c r="N4" i="2"/>
  <c r="N5" i="2"/>
  <c r="M16" i="2"/>
  <c r="M9" i="2"/>
  <c r="M7" i="2"/>
  <c r="M4" i="2"/>
  <c r="M5" i="2"/>
  <c r="L9" i="2"/>
  <c r="L4" i="2"/>
  <c r="L5" i="2"/>
  <c r="K5" i="2"/>
  <c r="K4" i="2"/>
  <c r="K16" i="2"/>
  <c r="K9" i="2"/>
  <c r="J4" i="2"/>
  <c r="J5" i="2"/>
  <c r="I4" i="2"/>
  <c r="I5" i="2"/>
  <c r="H4" i="2"/>
  <c r="H5" i="2"/>
  <c r="G9" i="2"/>
  <c r="G5" i="2"/>
  <c r="G4" i="2"/>
  <c r="G16" i="2"/>
  <c r="F9" i="2"/>
  <c r="F4" i="2"/>
  <c r="F5" i="2"/>
  <c r="E9" i="2"/>
  <c r="E4" i="2"/>
  <c r="E5" i="2"/>
  <c r="D4" i="2"/>
  <c r="D5" i="2"/>
  <c r="C9" i="2"/>
  <c r="C4" i="2"/>
  <c r="C5" i="2"/>
  <c r="D16" i="1"/>
  <c r="D18" i="1" s="1"/>
  <c r="D20" i="1" s="1"/>
  <c r="D9" i="1"/>
  <c r="D4" i="1"/>
  <c r="D5" i="1"/>
  <c r="C16" i="1"/>
  <c r="C9" i="1"/>
  <c r="C4" i="1"/>
  <c r="C18" i="1" s="1"/>
  <c r="C20" i="1" s="1"/>
  <c r="C5" i="1"/>
  <c r="P18" i="2" l="1"/>
  <c r="C18" i="2"/>
  <c r="K18" i="2"/>
  <c r="W18" i="2"/>
  <c r="X18" i="2"/>
  <c r="BU16" i="1"/>
  <c r="BU7" i="1"/>
  <c r="BU9" i="1"/>
  <c r="BU4" i="1"/>
  <c r="BU5" i="1"/>
  <c r="BT16" i="1"/>
  <c r="BT7" i="1"/>
  <c r="BT4" i="1"/>
  <c r="BT5" i="1"/>
  <c r="BS16" i="1"/>
  <c r="BS9" i="1"/>
  <c r="BS4" i="1"/>
  <c r="BS5" i="1"/>
  <c r="BR16" i="1"/>
  <c r="BR9" i="1"/>
  <c r="BR4" i="1"/>
  <c r="BR5" i="1"/>
  <c r="BQ16" i="1"/>
  <c r="BQ9" i="1"/>
  <c r="BQ4" i="1"/>
  <c r="BQ5" i="1"/>
  <c r="BP16" i="1"/>
  <c r="BP9" i="1"/>
  <c r="BP4" i="1"/>
  <c r="BP5" i="1"/>
  <c r="BO16" i="1"/>
  <c r="BO9" i="1"/>
  <c r="BO7" i="1"/>
  <c r="BO4" i="1"/>
  <c r="BO5" i="1"/>
  <c r="BN16" i="1"/>
  <c r="BN7" i="1"/>
  <c r="BN9" i="1"/>
  <c r="BN4" i="1"/>
  <c r="BN5" i="1"/>
  <c r="BM16" i="1"/>
  <c r="BM9" i="1"/>
  <c r="BM7" i="1"/>
  <c r="BM4" i="1"/>
  <c r="BM5" i="1"/>
  <c r="BL16" i="1"/>
  <c r="BL9" i="1"/>
  <c r="BL7" i="1"/>
  <c r="BL4" i="1"/>
  <c r="BL5" i="1"/>
  <c r="BK9" i="1"/>
  <c r="BK16" i="1"/>
  <c r="BK7" i="1"/>
  <c r="BK4" i="1"/>
  <c r="BK5" i="1"/>
  <c r="BJ16" i="1"/>
  <c r="BJ7" i="1"/>
  <c r="BJ4" i="1"/>
  <c r="BJ5" i="1"/>
  <c r="BI9" i="1"/>
  <c r="BI7" i="1"/>
  <c r="BI4" i="1"/>
  <c r="BI5" i="1"/>
  <c r="BH16" i="1"/>
  <c r="BH9" i="1"/>
  <c r="BH7" i="1"/>
  <c r="BH4" i="1"/>
  <c r="BH5" i="1"/>
  <c r="BG9" i="1"/>
  <c r="BG16" i="1"/>
  <c r="BG7" i="1"/>
  <c r="BG4" i="1"/>
  <c r="BG5" i="1"/>
  <c r="BF16" i="1"/>
  <c r="BF7" i="1"/>
  <c r="BF4" i="1"/>
  <c r="BF5" i="1"/>
  <c r="BE9" i="1"/>
  <c r="BE4" i="1"/>
  <c r="BE5" i="1"/>
  <c r="BD19" i="1"/>
  <c r="BD15" i="1"/>
  <c r="BD14" i="1"/>
  <c r="BD13" i="1"/>
  <c r="BD12" i="1"/>
  <c r="BD11" i="1"/>
  <c r="BD10" i="1"/>
  <c r="BD9" i="1"/>
  <c r="BD8" i="1"/>
  <c r="BD6" i="1"/>
  <c r="BC17" i="1"/>
  <c r="BD17" i="1" s="1"/>
  <c r="BC16" i="1"/>
  <c r="BD16" i="1" s="1"/>
  <c r="BC4" i="1"/>
  <c r="BD4" i="1" s="1"/>
  <c r="BC7" i="1"/>
  <c r="BD7" i="1" s="1"/>
  <c r="BC5" i="1"/>
  <c r="BD5" i="1" s="1"/>
  <c r="BB16" i="1"/>
  <c r="BB9" i="1"/>
  <c r="BB7" i="1"/>
  <c r="BB4" i="1"/>
  <c r="BB5" i="1"/>
  <c r="BA16" i="1"/>
  <c r="BA9" i="1"/>
  <c r="BA7" i="1"/>
  <c r="BA4" i="1"/>
  <c r="BA5" i="1"/>
  <c r="AZ16" i="1"/>
  <c r="AZ9" i="1"/>
  <c r="AZ7" i="1"/>
  <c r="AZ4" i="1"/>
  <c r="AZ5" i="1"/>
  <c r="AY16" i="1"/>
  <c r="AY9" i="1"/>
  <c r="AY7" i="1"/>
  <c r="AY4" i="1"/>
  <c r="AY5" i="1"/>
  <c r="AX9" i="1"/>
  <c r="AX16" i="1"/>
  <c r="AX7" i="1"/>
  <c r="AX4" i="1"/>
  <c r="AX5" i="1"/>
  <c r="AW16" i="1"/>
  <c r="AW7" i="1"/>
  <c r="AW4" i="1"/>
  <c r="AW5" i="1"/>
  <c r="BS18" i="1" l="1"/>
  <c r="AW18" i="1"/>
  <c r="AY18" i="1"/>
  <c r="AV7" i="1"/>
  <c r="AV4" i="1"/>
  <c r="AV9" i="1"/>
  <c r="AV5" i="1"/>
  <c r="AU9" i="1"/>
  <c r="AU5" i="1"/>
  <c r="AU7" i="1"/>
  <c r="AU16" i="1"/>
  <c r="AT9" i="1"/>
  <c r="AT5" i="1"/>
  <c r="AT16" i="1"/>
  <c r="AT7" i="1"/>
  <c r="AT4" i="1"/>
  <c r="AS16" i="1"/>
  <c r="AS9" i="1"/>
  <c r="AS7" i="1"/>
  <c r="AS4" i="1"/>
  <c r="AS5" i="1"/>
  <c r="AR4" i="1"/>
  <c r="AR5" i="1"/>
  <c r="AQ9" i="1"/>
  <c r="AQ16" i="1"/>
  <c r="AQ4" i="1"/>
  <c r="AQ5" i="1"/>
  <c r="AP16" i="1"/>
  <c r="AP9" i="1"/>
  <c r="AP7" i="1"/>
  <c r="AP4" i="1"/>
  <c r="AP5" i="1"/>
  <c r="AO7" i="1"/>
  <c r="AO16" i="1"/>
  <c r="AO9" i="1"/>
  <c r="AO4" i="1"/>
  <c r="AO5" i="1"/>
  <c r="AN9" i="1"/>
  <c r="AN4" i="1"/>
  <c r="AN5" i="1"/>
  <c r="AM16" i="1"/>
  <c r="AM9" i="1"/>
  <c r="AM4" i="1"/>
  <c r="AM5" i="1"/>
  <c r="AL9" i="1"/>
  <c r="AL7" i="1"/>
  <c r="AL4" i="1"/>
  <c r="AL5" i="1"/>
  <c r="AK16" i="1"/>
  <c r="AK7" i="1"/>
  <c r="AK4" i="1"/>
  <c r="AK5" i="1"/>
  <c r="AJ16" i="1"/>
  <c r="AJ9" i="1"/>
  <c r="AJ4" i="1"/>
  <c r="AJ5" i="1"/>
  <c r="AI16" i="1"/>
  <c r="AI9" i="1"/>
  <c r="AI4" i="1"/>
  <c r="AI5" i="1"/>
  <c r="AI18" i="1" s="1"/>
  <c r="AH9" i="1"/>
  <c r="AH4" i="1"/>
  <c r="AH5" i="1"/>
  <c r="AG16" i="1"/>
  <c r="AG4" i="1"/>
  <c r="AG5" i="1"/>
  <c r="AF16" i="1"/>
  <c r="AF9" i="1"/>
  <c r="AF5" i="1"/>
  <c r="AF4" i="1"/>
  <c r="AE9" i="1"/>
  <c r="AE5" i="1"/>
  <c r="AE16" i="1"/>
  <c r="AE4" i="1"/>
  <c r="AD9" i="1"/>
  <c r="AD7" i="1"/>
  <c r="AD4" i="1"/>
  <c r="AD5" i="1"/>
  <c r="AC16" i="1"/>
  <c r="AC9" i="1"/>
  <c r="AC7" i="1"/>
  <c r="AC4" i="1"/>
  <c r="AC5" i="1"/>
  <c r="AB9" i="1"/>
  <c r="AB4" i="1"/>
  <c r="AB5" i="1"/>
  <c r="BU18" i="1"/>
  <c r="BU20" i="1" s="1"/>
  <c r="BT18" i="1"/>
  <c r="BT20" i="1" s="1"/>
  <c r="BS20" i="1"/>
  <c r="BR18" i="1"/>
  <c r="BR20" i="1" s="1"/>
  <c r="BQ18" i="1"/>
  <c r="BQ20" i="1" s="1"/>
  <c r="BP18" i="1"/>
  <c r="BP20" i="1" s="1"/>
  <c r="BO18" i="1"/>
  <c r="BO20" i="1" s="1"/>
  <c r="BN18" i="1"/>
  <c r="BN20" i="1" s="1"/>
  <c r="BM18" i="1"/>
  <c r="BM20" i="1" s="1"/>
  <c r="BL18" i="1"/>
  <c r="BL20" i="1" s="1"/>
  <c r="BK18" i="1"/>
  <c r="BK20" i="1" s="1"/>
  <c r="BJ18" i="1"/>
  <c r="BJ20" i="1" s="1"/>
  <c r="BI18" i="1"/>
  <c r="BI20" i="1" s="1"/>
  <c r="BH18" i="1"/>
  <c r="BH20" i="1" s="1"/>
  <c r="BG18" i="1"/>
  <c r="BG20" i="1" s="1"/>
  <c r="BF18" i="1"/>
  <c r="BF20" i="1" s="1"/>
  <c r="BE18" i="1"/>
  <c r="BE20" i="1" s="1"/>
  <c r="BC18" i="1"/>
  <c r="BB18" i="1"/>
  <c r="BB20" i="1" s="1"/>
  <c r="BA18" i="1"/>
  <c r="BA20" i="1" s="1"/>
  <c r="AZ18" i="1"/>
  <c r="AZ20" i="1" s="1"/>
  <c r="AY20" i="1"/>
  <c r="AX18" i="1"/>
  <c r="AX20" i="1" s="1"/>
  <c r="AW20" i="1"/>
  <c r="AR18" i="1"/>
  <c r="AR20" i="1" s="1"/>
  <c r="AA16" i="1"/>
  <c r="AA9" i="1"/>
  <c r="AA4" i="1"/>
  <c r="AA5" i="1"/>
  <c r="AK18" i="1" l="1"/>
  <c r="AC18" i="1"/>
  <c r="AE18" i="1"/>
  <c r="AE20" i="1" s="1"/>
  <c r="AG18" i="1"/>
  <c r="AG20" i="1" s="1"/>
  <c r="AM18" i="1"/>
  <c r="AO18" i="1"/>
  <c r="AP18" i="1"/>
  <c r="AP20" i="1" s="1"/>
  <c r="AU18" i="1"/>
  <c r="AU20" i="1" s="1"/>
  <c r="AA18" i="1"/>
  <c r="AA20" i="1" s="1"/>
  <c r="BC20" i="1"/>
  <c r="BD18" i="1"/>
  <c r="AQ18" i="1"/>
  <c r="AS18" i="1"/>
  <c r="AS20" i="1" s="1"/>
  <c r="AK20" i="1"/>
  <c r="AN18" i="1"/>
  <c r="AN20" i="1" s="1"/>
  <c r="AQ20" i="1"/>
  <c r="AV18" i="1"/>
  <c r="AV20" i="1" s="1"/>
  <c r="AT18" i="1"/>
  <c r="AT20" i="1" s="1"/>
  <c r="AO20" i="1"/>
  <c r="AM20" i="1"/>
  <c r="AL18" i="1"/>
  <c r="AL20" i="1" s="1"/>
  <c r="AJ18" i="1"/>
  <c r="AJ20" i="1" s="1"/>
  <c r="AI20" i="1"/>
  <c r="AH18" i="1"/>
  <c r="AH20" i="1" s="1"/>
  <c r="AF18" i="1"/>
  <c r="AF20" i="1" s="1"/>
  <c r="AD18" i="1"/>
  <c r="AD20" i="1" s="1"/>
  <c r="AC20" i="1"/>
  <c r="AB18" i="1"/>
  <c r="AB20" i="1" s="1"/>
  <c r="Z7" i="1"/>
  <c r="Z9" i="1"/>
  <c r="Z5" i="1"/>
  <c r="Z4" i="1"/>
  <c r="Y16" i="1"/>
  <c r="Y9" i="1"/>
  <c r="Y7" i="1"/>
  <c r="Y5" i="1"/>
  <c r="Y4" i="1"/>
  <c r="X16" i="1"/>
  <c r="X9" i="1"/>
  <c r="X7" i="1"/>
  <c r="X4" i="1"/>
  <c r="X5" i="1"/>
  <c r="W16" i="1"/>
  <c r="W9" i="1"/>
  <c r="W7" i="1"/>
  <c r="W4" i="1"/>
  <c r="W5" i="1"/>
  <c r="V9" i="1"/>
  <c r="V7" i="1"/>
  <c r="V5" i="1"/>
  <c r="V4" i="1"/>
  <c r="U7" i="1"/>
  <c r="U4" i="1"/>
  <c r="U9" i="1"/>
  <c r="U5" i="1"/>
  <c r="T16" i="1"/>
  <c r="T18" i="1" s="1"/>
  <c r="T20" i="1" s="1"/>
  <c r="T9" i="1"/>
  <c r="T4" i="1"/>
  <c r="T5" i="1"/>
  <c r="S9" i="1"/>
  <c r="S16" i="1"/>
  <c r="S4" i="1"/>
  <c r="S5" i="1"/>
  <c r="T18" i="2"/>
  <c r="S18" i="2"/>
  <c r="D18" i="2"/>
  <c r="U18" i="2"/>
  <c r="V18" i="2"/>
  <c r="N18" i="2"/>
  <c r="H18" i="2"/>
  <c r="F18" i="2"/>
  <c r="R9" i="1"/>
  <c r="R5" i="1"/>
  <c r="R4" i="1"/>
  <c r="Q5" i="1"/>
  <c r="Q16" i="1"/>
  <c r="Q9" i="1"/>
  <c r="Q4" i="1"/>
  <c r="P9" i="1"/>
  <c r="P7" i="1"/>
  <c r="P5" i="1"/>
  <c r="P4" i="1"/>
  <c r="O4" i="1"/>
  <c r="O9" i="1"/>
  <c r="O7" i="1"/>
  <c r="O5" i="1"/>
  <c r="R18" i="1"/>
  <c r="R20" i="1" s="1"/>
  <c r="N19" i="1"/>
  <c r="N16" i="1"/>
  <c r="N9" i="1"/>
  <c r="N4" i="1"/>
  <c r="N18" i="1" s="1"/>
  <c r="N5" i="1"/>
  <c r="M5" i="1"/>
  <c r="M9" i="1"/>
  <c r="M16" i="1"/>
  <c r="M4" i="1"/>
  <c r="Q18" i="1" l="1"/>
  <c r="Q20" i="1" s="1"/>
  <c r="S18" i="1"/>
  <c r="S20" i="1" s="1"/>
  <c r="W18" i="1"/>
  <c r="W20" i="1" s="1"/>
  <c r="O18" i="1"/>
  <c r="O20" i="1" s="1"/>
  <c r="E18" i="2"/>
  <c r="G18" i="2"/>
  <c r="I18" i="2"/>
  <c r="M18" i="2"/>
  <c r="Q18" i="2"/>
  <c r="J18" i="2"/>
  <c r="L18" i="2"/>
  <c r="R18" i="2"/>
  <c r="M18" i="1"/>
  <c r="U18" i="1"/>
  <c r="U20" i="1" s="1"/>
  <c r="X18" i="1"/>
  <c r="X20" i="1" s="1"/>
  <c r="Z18" i="1"/>
  <c r="Z20" i="1" s="1"/>
  <c r="P18" i="1"/>
  <c r="P20" i="1" s="1"/>
  <c r="V18" i="1"/>
  <c r="V20" i="1" s="1"/>
  <c r="Y18" i="1"/>
  <c r="Y20" i="1" s="1"/>
  <c r="N20" i="1"/>
  <c r="M20" i="1"/>
  <c r="L16" i="1"/>
  <c r="L9" i="1"/>
  <c r="L7" i="1"/>
  <c r="L4" i="1"/>
  <c r="L5" i="1"/>
  <c r="K5" i="1"/>
  <c r="K7" i="1"/>
  <c r="K16" i="1"/>
  <c r="K9" i="1"/>
  <c r="K4" i="1"/>
  <c r="H16" i="1"/>
  <c r="H5" i="1"/>
  <c r="H4" i="1"/>
  <c r="G5" i="1"/>
  <c r="J7" i="1"/>
  <c r="J11" i="1"/>
  <c r="J16" i="1"/>
  <c r="J9" i="1"/>
  <c r="J4" i="1"/>
  <c r="J18" i="1" s="1"/>
  <c r="J20" i="1" s="1"/>
  <c r="J5" i="1"/>
  <c r="I17" i="1"/>
  <c r="I16" i="1"/>
  <c r="I9" i="1"/>
  <c r="I7" i="1"/>
  <c r="I4" i="1"/>
  <c r="I5" i="1"/>
  <c r="E16" i="1"/>
  <c r="E7" i="1"/>
  <c r="E5" i="1"/>
  <c r="E4" i="1"/>
  <c r="F5" i="1"/>
  <c r="F16" i="1"/>
  <c r="F9" i="1"/>
  <c r="F7" i="1"/>
  <c r="F4" i="1"/>
  <c r="I18" i="1" l="1"/>
  <c r="E18" i="1"/>
  <c r="F18" i="1"/>
  <c r="K18" i="1"/>
  <c r="K20" i="1" s="1"/>
  <c r="L18" i="1"/>
  <c r="L20" i="1" s="1"/>
  <c r="H18" i="1"/>
  <c r="I20" i="1"/>
  <c r="G4" i="1"/>
  <c r="G9" i="1"/>
  <c r="G16" i="1"/>
  <c r="G18" i="1" l="1"/>
</calcChain>
</file>

<file path=xl/sharedStrings.xml><?xml version="1.0" encoding="utf-8"?>
<sst xmlns="http://schemas.openxmlformats.org/spreadsheetml/2006/main" count="205" uniqueCount="77">
  <si>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</si>
  <si>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</si>
  <si>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</si>
  <si>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</si>
  <si>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</si>
  <si>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</si>
  <si>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</si>
  <si>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</si>
  <si>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</si>
  <si>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</si>
  <si>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</si>
  <si>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план</t>
  </si>
  <si>
    <t>факт</t>
  </si>
  <si>
    <t>Работы по содержанию помещений, входящих в состав общего имущества в многоквартирном доме (лестницы и теплоузлы)</t>
  </si>
  <si>
    <t>Работы по содержанию и ремонту конструктивных элементов (несущих конструкций и ненесущих конструкций) многоквартирных домов (тек. Ремонт)</t>
  </si>
  <si>
    <t>ИТОГО:</t>
  </si>
  <si>
    <t>Абр. 25</t>
  </si>
  <si>
    <t>общая площадь</t>
  </si>
  <si>
    <t>оплач. Площадь</t>
  </si>
  <si>
    <t>Прочая работа (услуга) Общеэксп. , налог, транспорт, прочие)</t>
  </si>
  <si>
    <t>Абр. 18</t>
  </si>
  <si>
    <t>Абр. 23-а</t>
  </si>
  <si>
    <t>виш. 4</t>
  </si>
  <si>
    <t>виш.10</t>
  </si>
  <si>
    <t>виш.10 7</t>
  </si>
  <si>
    <t>виш.12</t>
  </si>
  <si>
    <t>виш.13</t>
  </si>
  <si>
    <t>Центр</t>
  </si>
  <si>
    <t>КСМ</t>
  </si>
  <si>
    <t>виш.16</t>
  </si>
  <si>
    <t>виш.17</t>
  </si>
  <si>
    <t>виш.18</t>
  </si>
  <si>
    <t>виш.19</t>
  </si>
  <si>
    <t>виш.21</t>
  </si>
  <si>
    <t>виш.22</t>
  </si>
  <si>
    <t>виш.23</t>
  </si>
  <si>
    <t>виш.24</t>
  </si>
  <si>
    <t>виш.25</t>
  </si>
  <si>
    <t>виш.26</t>
  </si>
  <si>
    <t>виш.27</t>
  </si>
  <si>
    <t>виш.28</t>
  </si>
  <si>
    <t>виш.30</t>
  </si>
  <si>
    <t xml:space="preserve"> </t>
  </si>
  <si>
    <t>виш.31</t>
  </si>
  <si>
    <t>виш.32</t>
  </si>
  <si>
    <t>виш.34</t>
  </si>
  <si>
    <t>виш.36</t>
  </si>
  <si>
    <t>мак. 18</t>
  </si>
  <si>
    <t>не понятно какой</t>
  </si>
  <si>
    <t>мак.19</t>
  </si>
  <si>
    <t>мак. 28</t>
  </si>
  <si>
    <t>мак.39</t>
  </si>
  <si>
    <t>мак. 41</t>
  </si>
  <si>
    <t>мак.43</t>
  </si>
  <si>
    <t>мак. 45</t>
  </si>
  <si>
    <t>мак. 47</t>
  </si>
  <si>
    <t>60лет ВЛКСМ</t>
  </si>
  <si>
    <t>труда 3</t>
  </si>
  <si>
    <t>труда 4</t>
  </si>
  <si>
    <t>труда 10</t>
  </si>
  <si>
    <t>труда 13</t>
  </si>
  <si>
    <t>труда 15</t>
  </si>
  <si>
    <t>труда 17/1</t>
  </si>
  <si>
    <t>труда 17/2</t>
  </si>
  <si>
    <t>труда 18</t>
  </si>
  <si>
    <t>труда 21</t>
  </si>
  <si>
    <t>труда 23</t>
  </si>
  <si>
    <t>труда 27</t>
  </si>
  <si>
    <t>Плас. 100</t>
  </si>
  <si>
    <t>Пласт. 177</t>
  </si>
  <si>
    <t>Пласт. 179 а</t>
  </si>
  <si>
    <t>Плас. 181</t>
  </si>
  <si>
    <t>Плас. 181 а</t>
  </si>
  <si>
    <t>Плас. 183</t>
  </si>
  <si>
    <t>Плас. 185</t>
  </si>
  <si>
    <t>Плас. 187</t>
  </si>
  <si>
    <t>Плас.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</si>
</sst>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0" applyFont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3" borderId="6" xfId="0" applyNumberFormat="1" applyFill="1" applyBorder="1"/>
    <xf numFmtId="3" fontId="0" fillId="3" borderId="5" xfId="0" applyNumberFormat="1" applyFill="1" applyBorder="1"/>
    <xf numFmtId="3" fontId="0" fillId="0" borderId="15" xfId="0" applyNumberFormat="1" applyBorder="1"/>
    <xf numFmtId="3" fontId="0" fillId="0" borderId="2" xfId="0" applyNumberFormat="1" applyBorder="1"/>
    <xf numFmtId="3" fontId="0" fillId="3" borderId="2" xfId="0" applyNumberFormat="1" applyFill="1" applyBorder="1"/>
    <xf numFmtId="3" fontId="0" fillId="3" borderId="0" xfId="0" applyNumberFormat="1" applyFill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7" xfId="0" applyNumberFormat="1" applyBorder="1"/>
    <xf numFmtId="3" fontId="0" fillId="0" borderId="0" xfId="0" applyNumberFormat="1" applyFill="1"/>
    <xf numFmtId="3" fontId="0" fillId="0" borderId="5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9" xfId="0" applyNumberFormat="1" applyFill="1" applyBorder="1"/>
    <xf numFmtId="3" fontId="0" fillId="7" borderId="5" xfId="0" applyNumberFormat="1" applyFill="1" applyBorder="1"/>
    <xf numFmtId="3" fontId="0" fillId="7" borderId="0" xfId="0" applyNumberFormat="1" applyFill="1"/>
    <xf numFmtId="3" fontId="0" fillId="7" borderId="2" xfId="0" applyNumberFormat="1" applyFill="1" applyBorder="1"/>
    <xf numFmtId="3" fontId="0" fillId="7" borderId="7" xfId="0" applyNumberFormat="1" applyFill="1" applyBorder="1"/>
    <xf numFmtId="3" fontId="0" fillId="7" borderId="9" xfId="0" applyNumberFormat="1" applyFill="1" applyBorder="1"/>
    <xf numFmtId="0" fontId="0" fillId="7" borderId="1" xfId="0" applyFill="1" applyBorder="1" applyAlignment="1">
      <alignment wrapText="1"/>
    </xf>
    <xf numFmtId="0" fontId="0" fillId="7" borderId="15" xfId="0" applyFill="1" applyBorder="1" applyAlignment="1">
      <alignment wrapText="1"/>
    </xf>
    <xf numFmtId="3" fontId="0" fillId="7" borderId="6" xfId="0" applyNumberFormat="1" applyFill="1" applyBorder="1"/>
    <xf numFmtId="0" fontId="0" fillId="7" borderId="0" xfId="0" applyFill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0" fillId="7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tabSelected="1" zoomScaleNormal="100" workbookViewId="0">
      <pane xSplit="1" topLeftCell="BI1" activePane="topRight" state="frozen"/>
      <selection pane="topRight" activeCell="D26" sqref="D26"/>
    </sheetView>
  </sheetViews>
  <sheetFormatPr defaultRowHeight="15" x14ac:dyDescent="0.25"/>
  <cols>
    <col min="1" max="1" width="44.5703125" customWidth="1"/>
    <col min="2" max="2" width="3.7109375" customWidth="1"/>
    <col min="3" max="73" width="8.7109375" style="11" customWidth="1"/>
  </cols>
  <sheetData>
    <row r="1" spans="1:73" ht="19.5" thickBot="1" x14ac:dyDescent="0.35">
      <c r="A1" s="10" t="s">
        <v>27</v>
      </c>
      <c r="BC1" s="11" t="s">
        <v>48</v>
      </c>
    </row>
    <row r="2" spans="1:73" x14ac:dyDescent="0.25">
      <c r="C2" s="42" t="s">
        <v>56</v>
      </c>
      <c r="D2" s="43"/>
      <c r="E2" s="44" t="s">
        <v>20</v>
      </c>
      <c r="F2" s="45"/>
      <c r="G2" s="44" t="s">
        <v>16</v>
      </c>
      <c r="H2" s="45"/>
      <c r="I2" s="44" t="s">
        <v>21</v>
      </c>
      <c r="J2" s="45"/>
      <c r="K2" s="42" t="s">
        <v>22</v>
      </c>
      <c r="L2" s="43"/>
      <c r="M2" s="42" t="s">
        <v>23</v>
      </c>
      <c r="N2" s="43"/>
      <c r="O2" s="42" t="s">
        <v>24</v>
      </c>
      <c r="P2" s="43"/>
      <c r="Q2" s="42" t="s">
        <v>25</v>
      </c>
      <c r="R2" s="43"/>
      <c r="S2" s="42" t="s">
        <v>26</v>
      </c>
      <c r="T2" s="43"/>
      <c r="U2" s="42" t="s">
        <v>29</v>
      </c>
      <c r="V2" s="43"/>
      <c r="W2" s="42" t="s">
        <v>30</v>
      </c>
      <c r="X2" s="43"/>
      <c r="Y2" s="42" t="s">
        <v>31</v>
      </c>
      <c r="Z2" s="43"/>
      <c r="AA2" s="42" t="s">
        <v>32</v>
      </c>
      <c r="AB2" s="43"/>
      <c r="AC2" s="42" t="s">
        <v>33</v>
      </c>
      <c r="AD2" s="43"/>
      <c r="AE2" s="42" t="s">
        <v>34</v>
      </c>
      <c r="AF2" s="43"/>
      <c r="AG2" s="42" t="s">
        <v>35</v>
      </c>
      <c r="AH2" s="43"/>
      <c r="AI2" s="42" t="s">
        <v>36</v>
      </c>
      <c r="AJ2" s="43"/>
      <c r="AK2" s="46" t="s">
        <v>37</v>
      </c>
      <c r="AL2" s="47"/>
      <c r="AM2" s="46" t="s">
        <v>38</v>
      </c>
      <c r="AN2" s="47"/>
      <c r="AO2" s="46" t="s">
        <v>39</v>
      </c>
      <c r="AP2" s="47"/>
      <c r="AQ2" s="42" t="s">
        <v>40</v>
      </c>
      <c r="AR2" s="43"/>
      <c r="AS2" s="42" t="s">
        <v>41</v>
      </c>
      <c r="AT2" s="43"/>
      <c r="AU2" s="42" t="s">
        <v>43</v>
      </c>
      <c r="AV2" s="43"/>
      <c r="AW2" s="42" t="s">
        <v>44</v>
      </c>
      <c r="AX2" s="43"/>
      <c r="AY2" s="42" t="s">
        <v>45</v>
      </c>
      <c r="AZ2" s="43"/>
      <c r="BA2" s="42" t="s">
        <v>46</v>
      </c>
      <c r="BB2" s="43"/>
      <c r="BC2" s="46" t="s">
        <v>47</v>
      </c>
      <c r="BD2" s="48"/>
      <c r="BE2" s="47"/>
      <c r="BF2" s="42" t="s">
        <v>49</v>
      </c>
      <c r="BG2" s="43"/>
      <c r="BH2" s="42" t="s">
        <v>50</v>
      </c>
      <c r="BI2" s="43"/>
      <c r="BJ2" s="42" t="s">
        <v>47</v>
      </c>
      <c r="BK2" s="43"/>
      <c r="BL2" s="42" t="s">
        <v>51</v>
      </c>
      <c r="BM2" s="43"/>
      <c r="BN2" s="42" t="s">
        <v>52</v>
      </c>
      <c r="BO2" s="43"/>
      <c r="BP2" s="42" t="s">
        <v>53</v>
      </c>
      <c r="BQ2" s="43"/>
      <c r="BR2" s="42" t="s">
        <v>54</v>
      </c>
      <c r="BS2" s="43"/>
      <c r="BT2" s="42" t="s">
        <v>55</v>
      </c>
      <c r="BU2" s="43"/>
    </row>
    <row r="3" spans="1:73" x14ac:dyDescent="0.25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2" t="s">
        <v>11</v>
      </c>
      <c r="L3" s="13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3" t="s">
        <v>12</v>
      </c>
      <c r="AC3" s="12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12" t="s">
        <v>11</v>
      </c>
      <c r="AJ3" s="13" t="s">
        <v>12</v>
      </c>
      <c r="AK3" s="12" t="s">
        <v>11</v>
      </c>
      <c r="AL3" s="14" t="s">
        <v>12</v>
      </c>
      <c r="AM3" s="15" t="s">
        <v>11</v>
      </c>
      <c r="AN3" s="13" t="s">
        <v>12</v>
      </c>
      <c r="AO3" s="12" t="s">
        <v>11</v>
      </c>
      <c r="AP3" s="14" t="s">
        <v>12</v>
      </c>
      <c r="AQ3" s="12" t="s">
        <v>11</v>
      </c>
      <c r="AR3" s="13" t="s">
        <v>12</v>
      </c>
      <c r="AS3" s="12" t="s">
        <v>11</v>
      </c>
      <c r="AT3" s="13" t="s">
        <v>12</v>
      </c>
      <c r="AU3" s="12" t="s">
        <v>11</v>
      </c>
      <c r="AV3" s="13" t="s">
        <v>12</v>
      </c>
      <c r="AW3" s="12" t="s">
        <v>11</v>
      </c>
      <c r="AX3" s="13" t="s">
        <v>12</v>
      </c>
      <c r="AY3" s="12" t="s">
        <v>11</v>
      </c>
      <c r="AZ3" s="13" t="s">
        <v>12</v>
      </c>
      <c r="BA3" s="12" t="s">
        <v>11</v>
      </c>
      <c r="BB3" s="13" t="s">
        <v>12</v>
      </c>
      <c r="BC3" s="15" t="s">
        <v>11</v>
      </c>
      <c r="BD3" s="15" t="s">
        <v>11</v>
      </c>
      <c r="BE3" s="13" t="s">
        <v>12</v>
      </c>
      <c r="BF3" s="12" t="s">
        <v>11</v>
      </c>
      <c r="BG3" s="13" t="s">
        <v>12</v>
      </c>
      <c r="BH3" s="12" t="s">
        <v>11</v>
      </c>
      <c r="BI3" s="13" t="s">
        <v>12</v>
      </c>
      <c r="BJ3" s="12" t="s">
        <v>11</v>
      </c>
      <c r="BK3" s="13" t="s">
        <v>12</v>
      </c>
      <c r="BL3" s="12" t="s">
        <v>11</v>
      </c>
      <c r="BM3" s="13" t="s">
        <v>12</v>
      </c>
      <c r="BN3" s="12" t="s">
        <v>11</v>
      </c>
      <c r="BO3" s="13" t="s">
        <v>12</v>
      </c>
      <c r="BP3" s="12" t="s">
        <v>11</v>
      </c>
      <c r="BQ3" s="13" t="s">
        <v>12</v>
      </c>
      <c r="BR3" s="12" t="s">
        <v>11</v>
      </c>
      <c r="BS3" s="13" t="s">
        <v>12</v>
      </c>
      <c r="BT3" s="12" t="s">
        <v>11</v>
      </c>
      <c r="BU3" s="13" t="s">
        <v>12</v>
      </c>
    </row>
    <row r="4" spans="1:73" ht="37.5" customHeight="1" x14ac:dyDescent="0.25">
      <c r="A4" s="2" t="s">
        <v>19</v>
      </c>
      <c r="B4" s="5">
        <v>1</v>
      </c>
      <c r="C4" s="12">
        <f>8185.15+136078.15+42460.48</f>
        <v>186723.78</v>
      </c>
      <c r="D4" s="13">
        <f>4004.84+135291.6+16886.26</f>
        <v>156182.70000000001</v>
      </c>
      <c r="E4" s="12">
        <f>192331.86+59662.13+12560.45</f>
        <v>264554.44</v>
      </c>
      <c r="F4" s="13">
        <f>204074.2+33385.6+8966.18</f>
        <v>246425.98</v>
      </c>
      <c r="G4" s="12">
        <f>203610.93+63395.35+13424.9</f>
        <v>280431.18</v>
      </c>
      <c r="H4" s="13">
        <f>191901.92+25318.44+9576.15</f>
        <v>226796.51</v>
      </c>
      <c r="I4" s="12">
        <f>26745.62+434223.07+133728.12</f>
        <v>594696.81000000006</v>
      </c>
      <c r="J4" s="13">
        <f>421078.06+74846.64+11949.59</f>
        <v>507874.29000000004</v>
      </c>
      <c r="K4" s="12">
        <f>318022.74+98660.52+16793.28</f>
        <v>433476.54000000004</v>
      </c>
      <c r="L4" s="13">
        <f>270813.7+49027.94+17090.14</f>
        <v>336931.78</v>
      </c>
      <c r="M4" s="12">
        <f>9166.82+111529.69+34630.22</f>
        <v>155326.73000000001</v>
      </c>
      <c r="N4" s="13">
        <f>7126.9+15299.58+131601.36</f>
        <v>154027.84</v>
      </c>
      <c r="O4" s="12">
        <f>24753.9+90840+3860.7+38152.8+14761.5</f>
        <v>172368.9</v>
      </c>
      <c r="P4" s="13">
        <f>18431.33+58292.22+12548.99+1728.84</f>
        <v>91001.38</v>
      </c>
      <c r="Q4" s="12">
        <f>8614.96+143223.76+44690.12</f>
        <v>196528.84</v>
      </c>
      <c r="R4" s="13">
        <f>4098.94+138204.52+14814.57</f>
        <v>157118.03</v>
      </c>
      <c r="S4" s="12">
        <f>7637.98+112872.31+28430.24</f>
        <v>148940.53</v>
      </c>
      <c r="T4" s="13">
        <f>3230.31+109645.7+11021.74</f>
        <v>123897.75</v>
      </c>
      <c r="U4" s="12">
        <f>101374.56+16148.16+327448.8</f>
        <v>444971.52000000002</v>
      </c>
      <c r="V4" s="13">
        <f>83982.56+231695.7+6829.51</f>
        <v>322507.77</v>
      </c>
      <c r="W4" s="12">
        <f>7808.01+117120.168+36003.61</f>
        <v>160931.788</v>
      </c>
      <c r="X4" s="13">
        <f>3302.22+111342.6+19027.03</f>
        <v>133671.85</v>
      </c>
      <c r="Y4" s="12">
        <f>10781.47+184632.71+57276.57</f>
        <v>252690.75</v>
      </c>
      <c r="Z4" s="13">
        <f>173107.7+30964.05+5136.53</f>
        <v>209208.28</v>
      </c>
      <c r="AA4" s="12">
        <f>5797.2+102320.58+31594.74</f>
        <v>139712.51999999999</v>
      </c>
      <c r="AB4" s="13">
        <f>2206.62+74401.46+18273.23</f>
        <v>94881.31</v>
      </c>
      <c r="AC4" s="12">
        <f>22187.09+71916.77+4080.38</f>
        <v>98184.24</v>
      </c>
      <c r="AD4" s="13">
        <f>1941.42+65894.45+8610.19</f>
        <v>76446.06</v>
      </c>
      <c r="AE4" s="12">
        <f>8479.872+125608.104+39219.408</f>
        <v>173307.38399999999</v>
      </c>
      <c r="AF4" s="13">
        <f>4037.8+136093.32+17210.87</f>
        <v>157341.99</v>
      </c>
      <c r="AG4" s="12">
        <f>4795.24+54845.54+17083.04</f>
        <v>76723.820000000007</v>
      </c>
      <c r="AH4" s="13">
        <f>2281.54+76927.88+9663.74</f>
        <v>88873.16</v>
      </c>
      <c r="AI4" s="12">
        <f>8351.42+123705.47+38625.34</f>
        <v>170682.23</v>
      </c>
      <c r="AJ4" s="13">
        <f>3893.16+129201.6+16295.11</f>
        <v>149389.87</v>
      </c>
      <c r="AK4" s="12">
        <f>8827.22+127215.86+39462.88</f>
        <v>175505.96</v>
      </c>
      <c r="AL4" s="13">
        <f>3952.88+133281.1+19631.96</f>
        <v>156865.94</v>
      </c>
      <c r="AM4" s="12">
        <f>10296.384+193700.724+59847.732</f>
        <v>263844.83999999997</v>
      </c>
      <c r="AN4" s="13">
        <f>7505.55+165322+29211.56</f>
        <v>202039.11</v>
      </c>
      <c r="AO4" s="12">
        <f>6744.38+128564.82+39623.256</f>
        <v>174932.45600000001</v>
      </c>
      <c r="AP4" s="13">
        <f>3208.94+107890.3+18158.77</f>
        <v>129258.01000000001</v>
      </c>
      <c r="AQ4" s="12">
        <f>7585.75+171221.31+53100.28</f>
        <v>231907.34</v>
      </c>
      <c r="AR4" s="13">
        <f>2248.38+86357.79+13489.73</f>
        <v>102095.9</v>
      </c>
      <c r="AS4" s="12">
        <f>5839.45+114518.142+35361.123</f>
        <v>155718.715</v>
      </c>
      <c r="AT4" s="13">
        <f>5069.67+83921.34+15150.79</f>
        <v>104141.79999999999</v>
      </c>
      <c r="AU4" s="12"/>
      <c r="AV4" s="13">
        <f>8154.52+279337.9+41777.93</f>
        <v>329270.35000000003</v>
      </c>
      <c r="AW4" s="12">
        <f>4746.28+129204.18+40079.66</f>
        <v>174030.12</v>
      </c>
      <c r="AX4" s="13">
        <f>4014.66+139961.8+22104.08</f>
        <v>166080.53999999998</v>
      </c>
      <c r="AY4" s="12">
        <f>5472.14+107314.824+33136.872</f>
        <v>145923.83600000001</v>
      </c>
      <c r="AZ4" s="13">
        <f>2314.32+14497.98+79109.7</f>
        <v>95922</v>
      </c>
      <c r="BA4" s="12">
        <f>5157.62+109277.06+33846.88</f>
        <v>148281.56</v>
      </c>
      <c r="BB4" s="13">
        <f>6935.72+80110.51+16149.78</f>
        <v>103196.01</v>
      </c>
      <c r="BC4" s="12">
        <f>806.97+1075.96</f>
        <v>1882.93</v>
      </c>
      <c r="BD4" s="16">
        <f>BC4*12</f>
        <v>22595.16</v>
      </c>
      <c r="BE4" s="13">
        <f>2523.7+85092.78+11746.55</f>
        <v>99363.03</v>
      </c>
      <c r="BF4" s="12">
        <f>6452.06+99603.74+26211.51</f>
        <v>132267.31</v>
      </c>
      <c r="BG4" s="13">
        <f>3069.85+115527.6+16759.99</f>
        <v>135357.44</v>
      </c>
      <c r="BH4" s="12">
        <f>10821+212211.74+65527.14</f>
        <v>288559.88</v>
      </c>
      <c r="BI4" s="13">
        <f>10042.51+155500.1+30386.12</f>
        <v>195928.73</v>
      </c>
      <c r="BJ4" s="12">
        <f>12431.4+52364.56+168917.93</f>
        <v>233713.88999999998</v>
      </c>
      <c r="BK4" s="13">
        <f>6557.58+28722.21+178409.92</f>
        <v>213689.71000000002</v>
      </c>
      <c r="BL4" s="12">
        <f>7458.53+83399.9+269863.1</f>
        <v>360721.52999999997</v>
      </c>
      <c r="BM4" s="13">
        <f>5172.27+174267.2+38306.64</f>
        <v>217746.11</v>
      </c>
      <c r="BN4" s="12">
        <f>9731.17+186716.91+57778.85</f>
        <v>254226.93000000002</v>
      </c>
      <c r="BO4" s="13">
        <f>7230.03+155712.9+25427.78</f>
        <v>188370.71</v>
      </c>
      <c r="BP4" s="12">
        <f>7686.36+176087.52+54503.28</f>
        <v>238277.15999999997</v>
      </c>
      <c r="BQ4" s="13">
        <f>5319.45+186989.42+49740.45</f>
        <v>242049.32</v>
      </c>
      <c r="BR4" s="12">
        <f>11173.73+167605.92+52376.85</f>
        <v>231156.50000000003</v>
      </c>
      <c r="BS4" s="13">
        <f>6784.36+183793.1+30119.95</f>
        <v>220697.41</v>
      </c>
      <c r="BT4" s="12">
        <f>6016.8+147411.6+45126</f>
        <v>198554.4</v>
      </c>
      <c r="BU4" s="13">
        <f>4580.41+159586.1+24906.18</f>
        <v>189072.69</v>
      </c>
    </row>
    <row r="5" spans="1:73" ht="64.5" customHeight="1" x14ac:dyDescent="0.25">
      <c r="A5" s="2" t="s">
        <v>0</v>
      </c>
      <c r="B5" s="7">
        <v>2</v>
      </c>
      <c r="C5" s="12">
        <f>145798.02+7673.58+31717.46+511.57</f>
        <v>185700.62999999998</v>
      </c>
      <c r="D5" s="13">
        <f>94843.55+6950+19236+478.82</f>
        <v>121508.37000000001</v>
      </c>
      <c r="E5" s="12">
        <f>188406.72+13345.48+41606.48+549.52</f>
        <v>243908.2</v>
      </c>
      <c r="F5" s="13">
        <f>165130.65+48180+13586+478.82</f>
        <v>227375.47</v>
      </c>
      <c r="G5" s="13">
        <f>216290+13424.9+69361.97</f>
        <v>299076.87</v>
      </c>
      <c r="H5" s="13">
        <f>174917.98+12615.22+46973+776.18</f>
        <v>235282.38</v>
      </c>
      <c r="I5" s="12">
        <f>342973.3+34611.98+95969.59+7866.36</f>
        <v>481421.23</v>
      </c>
      <c r="J5" s="13">
        <f>356194.13+17652.4+94656+1073.84</f>
        <v>469576.37000000005</v>
      </c>
      <c r="K5" s="12">
        <f>264494.16+13644.54+46181.52+1049.58</f>
        <v>325369.8</v>
      </c>
      <c r="L5" s="13">
        <f>228952.14+11305.74+46180+1370.9</f>
        <v>287808.78000000003</v>
      </c>
      <c r="M5" s="12">
        <f>151252.6+8657.56+38195.1+1018.54</f>
        <v>199123.80000000002</v>
      </c>
      <c r="N5" s="13">
        <f>107551.86+9181+28644+627.5</f>
        <v>146004.35999999999</v>
      </c>
      <c r="O5" s="12">
        <f>24299.7+9311.1</f>
        <v>33610.800000000003</v>
      </c>
      <c r="P5" s="13">
        <f>46976.8+18994.89</f>
        <v>65971.69</v>
      </c>
      <c r="Q5" s="12">
        <f>156146.21+9691.83+27460.2+1076.87</f>
        <v>194375.11</v>
      </c>
      <c r="R5" s="13">
        <f>478.82+101834.98+9460.7+48333</f>
        <v>160107.5</v>
      </c>
      <c r="S5" s="12">
        <f>119661.62+6789.31+25035.59+424.33</f>
        <v>151910.84999999998</v>
      </c>
      <c r="T5" s="13">
        <f>94039.49+7344+25035.6+478.82</f>
        <v>126897.91</v>
      </c>
      <c r="U5" s="12">
        <f>268238.88+21530.88+50238.72+4485.6</f>
        <v>344494.07999999996</v>
      </c>
      <c r="V5" s="13">
        <f>205903.56+12556+50236.12+776.18</f>
        <v>269471.86</v>
      </c>
      <c r="W5" s="12">
        <f>87189.46+7808.01+22990.26+433.78</f>
        <v>118421.51</v>
      </c>
      <c r="X5" s="13">
        <f>98693.53+8036+27132+850.52</f>
        <v>134712.04999999999</v>
      </c>
      <c r="Y5" s="12">
        <f>673.84+177894.29+10545.63+37735.15</f>
        <v>226848.91</v>
      </c>
      <c r="Z5" s="13">
        <f>478.82+138286.76+9726+49886.25</f>
        <v>198377.83000000002</v>
      </c>
      <c r="AA5" s="12">
        <f>91016.04+5217.48+24638.1+289.86</f>
        <v>121161.48</v>
      </c>
      <c r="AB5" s="13">
        <f>75547.83+5843+12486+553.16</f>
        <v>94429.99</v>
      </c>
      <c r="AC5" s="12">
        <f>54830.16+2550.24+17086.61+1020.1</f>
        <v>75487.110000000015</v>
      </c>
      <c r="AD5" s="13">
        <f>52340.33+3960+18956+850.52</f>
        <v>76106.850000000006</v>
      </c>
      <c r="AE5" s="12">
        <f>154757.66+9539.86+37629.43+529.992</f>
        <v>202456.94200000001</v>
      </c>
      <c r="AF5" s="13">
        <f>107021.43+9879+33628.8+478.82</f>
        <v>151008.04999999999</v>
      </c>
      <c r="AG5" s="12">
        <f>83317.27+4795.24+20379.76+599.4</f>
        <v>109091.67</v>
      </c>
      <c r="AH5" s="13">
        <f>67957.1+5803+12319.08+553.16</f>
        <v>86632.340000000011</v>
      </c>
      <c r="AI5" s="12">
        <f>151369.56+8873.39+29751.95+521.96</f>
        <v>190516.86000000002</v>
      </c>
      <c r="AJ5" s="13">
        <f>105356.61+9874+38656+478.82</f>
        <v>154365.43</v>
      </c>
      <c r="AK5" s="12">
        <f>156813.02+7165.63+31154.9+1038.5</f>
        <v>196172.05</v>
      </c>
      <c r="AL5" s="13">
        <f>113149.34+7160+23604.66+553.16</f>
        <v>144467.16</v>
      </c>
      <c r="AM5" s="12">
        <f>180186.72+9652.86+39254.964+643.524</f>
        <v>229738.06800000003</v>
      </c>
      <c r="AN5" s="13">
        <f>137455.44+9213+40656+563.16</f>
        <v>187887.6</v>
      </c>
      <c r="AO5" s="12">
        <f>121398.91+8008.96+23605.34+421.52</f>
        <v>153434.73000000001</v>
      </c>
      <c r="AP5" s="13">
        <f>96298.45+8340.2+23604.66+776.18</f>
        <v>129019.48999999999</v>
      </c>
      <c r="AQ5" s="12">
        <f>154424.29+8127.59+33594.06+541.84</f>
        <v>196687.78</v>
      </c>
      <c r="AR5" s="13">
        <f>71311.77+8546.4+18462.4+478.82</f>
        <v>98799.390000000014</v>
      </c>
      <c r="AS5" s="12">
        <f>84347.64+7137.11+17518.36+648.83</f>
        <v>109651.94</v>
      </c>
      <c r="AT5" s="13">
        <f>71306.45+7698.84+13449.16+553.16</f>
        <v>93007.61</v>
      </c>
      <c r="AU5" s="12">
        <f>21423.48+53558.7+58914.57+24637+32135.22</f>
        <v>190668.97</v>
      </c>
      <c r="AV5" s="13">
        <f>218390.11+15160.23+63582.45+1073.54</f>
        <v>298206.32999999996</v>
      </c>
      <c r="AW5" s="12">
        <f>128149.45+7383.1+15820.92+580.1</f>
        <v>151933.57</v>
      </c>
      <c r="AX5" s="13">
        <f>110860.15+9246.5+32656.4+553.16</f>
        <v>153316.21</v>
      </c>
      <c r="AY5" s="12">
        <f>87858.31+8208.22+21280.56+304.01</f>
        <v>117651.09999999999</v>
      </c>
      <c r="AZ5" s="13">
        <f>50855.49+8940+25467.6+553.16</f>
        <v>85816.25</v>
      </c>
      <c r="BA5" s="12">
        <f>87679.53+7091.73+21919.88+322.35</f>
        <v>117013.49</v>
      </c>
      <c r="BB5" s="13">
        <f>61969.24+7738+21988.32+553.16</f>
        <v>92248.72</v>
      </c>
      <c r="BC5" s="12">
        <f>2555.41+1694.64+780.07+941.47</f>
        <v>5971.59</v>
      </c>
      <c r="BD5" s="16">
        <f t="shared" ref="BD5:BD19" si="0">BC5*12</f>
        <v>71659.08</v>
      </c>
      <c r="BE5" s="13">
        <f>73795.37+6264+21446.54+478.82</f>
        <v>101984.73000000001</v>
      </c>
      <c r="BF5" s="12">
        <f>95571.2+6452.06+14113.89+806.51</f>
        <v>116943.65999999999</v>
      </c>
      <c r="BG5" s="13">
        <f>87602.37+8616+21566.2+776.18</f>
        <v>118560.74999999999</v>
      </c>
      <c r="BH5" s="12">
        <f>147285.77+7214+35468.82+601.17</f>
        <v>190569.76</v>
      </c>
      <c r="BI5" s="13">
        <f>117490.3+7930+51644.2+478.82</f>
        <v>177543.32</v>
      </c>
      <c r="BJ5" s="12">
        <f>165752.06+8978.24+35912.95+690.63</f>
        <v>211333.88</v>
      </c>
      <c r="BK5" s="13">
        <f>138859.58+10500+48967.12+478.82</f>
        <v>198805.52</v>
      </c>
      <c r="BL5" s="12">
        <f>197311.97+9492.67+37292.64+678.05</f>
        <v>244775.33000000002</v>
      </c>
      <c r="BM5" s="13">
        <f>156352.94+1890+56899.65+478.82</f>
        <v>215621.41</v>
      </c>
      <c r="BN5" s="12">
        <f>174552.94+13380.36+34059.11+608.2</f>
        <v>222600.61</v>
      </c>
      <c r="BO5" s="13">
        <f>131547.61+13932+34059.12+776.18</f>
        <v>180314.90999999997</v>
      </c>
      <c r="BP5" s="12">
        <f>182376.36+9083.88+44021.88+698.76</f>
        <v>236180.88</v>
      </c>
      <c r="BQ5" s="13">
        <f>163540.88+9017.52+41493.77+1073.54</f>
        <v>215125.71</v>
      </c>
      <c r="BR5" s="12">
        <f>201825.46+12570.44+34917.9+698.36</f>
        <v>250012.15999999997</v>
      </c>
      <c r="BS5" s="13">
        <f>150459.26+10306.2+34917.9+776.18</f>
        <v>196459.54</v>
      </c>
      <c r="BT5" s="12">
        <f>169072.08+12033.6+31287.36+1203.36</f>
        <v>213596.39999999997</v>
      </c>
      <c r="BU5" s="13">
        <f>131003.37+13156+40231.22+776.18</f>
        <v>185166.77</v>
      </c>
    </row>
    <row r="6" spans="1:73" ht="30" x14ac:dyDescent="0.25">
      <c r="A6" s="2" t="s">
        <v>1</v>
      </c>
      <c r="B6" s="8">
        <v>3</v>
      </c>
      <c r="C6" s="12">
        <v>64969.64</v>
      </c>
      <c r="D6" s="13">
        <v>6941.2</v>
      </c>
      <c r="E6" s="12">
        <v>74577.66</v>
      </c>
      <c r="F6" s="13">
        <v>0</v>
      </c>
      <c r="G6" s="12">
        <v>94720.11</v>
      </c>
      <c r="H6" s="13">
        <v>25408.59</v>
      </c>
      <c r="I6" s="12">
        <v>199805.54</v>
      </c>
      <c r="J6" s="13">
        <v>195518.4</v>
      </c>
      <c r="K6" s="12">
        <v>99710.1</v>
      </c>
      <c r="L6" s="13">
        <v>26631.97</v>
      </c>
      <c r="M6" s="12">
        <v>64677.04</v>
      </c>
      <c r="N6" s="13">
        <v>20729.82</v>
      </c>
      <c r="O6" s="12">
        <v>31112.7</v>
      </c>
      <c r="P6" s="13">
        <v>31112.7</v>
      </c>
      <c r="Q6" s="12">
        <v>68381.27</v>
      </c>
      <c r="R6" s="13">
        <v>14611.38</v>
      </c>
      <c r="S6" s="12">
        <v>53890.16</v>
      </c>
      <c r="T6" s="13">
        <v>13472.55</v>
      </c>
      <c r="U6" s="12">
        <v>147127.67999999999</v>
      </c>
      <c r="V6" s="13">
        <v>147127.70000000001</v>
      </c>
      <c r="W6" s="12">
        <v>32533.38</v>
      </c>
      <c r="X6" s="13">
        <v>10427.370000000001</v>
      </c>
      <c r="Y6" s="12">
        <v>64014.99</v>
      </c>
      <c r="Z6" s="13">
        <v>0</v>
      </c>
      <c r="AA6" s="12">
        <v>36812.22</v>
      </c>
      <c r="AB6" s="13">
        <v>11798.79</v>
      </c>
      <c r="AC6" s="12">
        <v>32388.05</v>
      </c>
      <c r="AD6" s="13">
        <v>3460.26</v>
      </c>
      <c r="AE6" s="12">
        <v>67308.983999999997</v>
      </c>
      <c r="AF6" s="13">
        <v>25168.959999999999</v>
      </c>
      <c r="AG6" s="12">
        <v>27572.62</v>
      </c>
      <c r="AH6" s="13">
        <v>0</v>
      </c>
      <c r="AI6" s="12">
        <v>66289.429999999993</v>
      </c>
      <c r="AJ6" s="13">
        <v>14787.71</v>
      </c>
      <c r="AK6" s="12">
        <v>49328.6</v>
      </c>
      <c r="AL6" s="13">
        <v>0</v>
      </c>
      <c r="AM6" s="12">
        <v>48264.3</v>
      </c>
      <c r="AN6" s="13">
        <v>18047.55</v>
      </c>
      <c r="AO6" s="12">
        <v>31614.3</v>
      </c>
      <c r="AP6" s="13">
        <v>0</v>
      </c>
      <c r="AQ6" s="12">
        <v>40637.97</v>
      </c>
      <c r="AR6" s="13">
        <v>15195.82</v>
      </c>
      <c r="AS6" s="12">
        <v>41200.578000000001</v>
      </c>
      <c r="AT6" s="13">
        <v>11004.43</v>
      </c>
      <c r="AU6" s="12">
        <v>101761.53</v>
      </c>
      <c r="AV6" s="13">
        <v>0</v>
      </c>
      <c r="AW6" s="12">
        <v>0</v>
      </c>
      <c r="AX6" s="13">
        <v>0</v>
      </c>
      <c r="AY6" s="12">
        <v>38609.016000000003</v>
      </c>
      <c r="AZ6" s="13">
        <v>6187.34</v>
      </c>
      <c r="BA6" s="12">
        <v>40938.6</v>
      </c>
      <c r="BB6" s="13">
        <v>10630.39</v>
      </c>
      <c r="BC6" s="12">
        <v>0</v>
      </c>
      <c r="BD6" s="16">
        <f t="shared" si="0"/>
        <v>0</v>
      </c>
      <c r="BE6" s="13">
        <v>0</v>
      </c>
      <c r="BF6" s="12">
        <v>10081.35</v>
      </c>
      <c r="BG6" s="13">
        <v>0</v>
      </c>
      <c r="BH6" s="12">
        <v>76348.13</v>
      </c>
      <c r="BI6" s="13">
        <v>16313.7</v>
      </c>
      <c r="BJ6" s="12">
        <v>65610.19</v>
      </c>
      <c r="BK6" s="13">
        <v>17524.09</v>
      </c>
      <c r="BL6" s="12">
        <v>86112.1</v>
      </c>
      <c r="BM6" s="13">
        <v>32200.04</v>
      </c>
      <c r="BN6" s="12">
        <v>57778.85</v>
      </c>
      <c r="BO6" s="13">
        <v>18518.86</v>
      </c>
      <c r="BP6" s="12">
        <v>47515.68</v>
      </c>
      <c r="BQ6" s="13">
        <v>17767.62</v>
      </c>
      <c r="BR6" s="12">
        <v>52376.85</v>
      </c>
      <c r="BS6" s="13">
        <v>13989.54</v>
      </c>
      <c r="BT6" s="12">
        <v>76413.36</v>
      </c>
      <c r="BU6" s="13">
        <v>0</v>
      </c>
    </row>
    <row r="7" spans="1:73" ht="47.25" customHeight="1" x14ac:dyDescent="0.25">
      <c r="A7" s="2" t="s">
        <v>13</v>
      </c>
      <c r="B7" s="6">
        <v>4</v>
      </c>
      <c r="C7" s="12">
        <v>0</v>
      </c>
      <c r="D7" s="13">
        <v>0</v>
      </c>
      <c r="E7" s="12">
        <f>55736.99+75362.69</f>
        <v>131099.68</v>
      </c>
      <c r="F7" s="13">
        <f>48186.24+65748.74+13466.18</f>
        <v>127401.16</v>
      </c>
      <c r="G7" s="12">
        <v>2983.31</v>
      </c>
      <c r="H7" s="13">
        <v>0</v>
      </c>
      <c r="I7" s="12">
        <f>158900.47+173059.92+9439.63+69223.97</f>
        <v>410623.99</v>
      </c>
      <c r="J7" s="13">
        <f>120054.6+144806+15745.24+48000</f>
        <v>328605.83999999997</v>
      </c>
      <c r="K7" s="12">
        <f>83966.4+107057.16+11545.38</f>
        <v>202568.94</v>
      </c>
      <c r="L7" s="13">
        <f>80292.9+105942.8+12722.24</f>
        <v>198957.94</v>
      </c>
      <c r="M7" s="12">
        <v>0</v>
      </c>
      <c r="N7" s="13">
        <v>0</v>
      </c>
      <c r="O7" s="12">
        <f>114231.3-3406.5</f>
        <v>110824.8</v>
      </c>
      <c r="P7" s="13">
        <f>100078.09-3406.56</f>
        <v>96671.53</v>
      </c>
      <c r="Q7" s="12">
        <v>0</v>
      </c>
      <c r="R7" s="13">
        <v>0</v>
      </c>
      <c r="S7" s="12">
        <v>0</v>
      </c>
      <c r="T7" s="13">
        <v>0</v>
      </c>
      <c r="U7" s="12">
        <f>182115.36+199160.64+4485.6+57415.68</f>
        <v>443177.27999999997</v>
      </c>
      <c r="V7" s="13">
        <f>114116+149280+1200+56730.66</f>
        <v>321326.66000000003</v>
      </c>
      <c r="W7" s="12">
        <f>34702.27+45546.73+3904.01</f>
        <v>84153.01</v>
      </c>
      <c r="X7" s="13">
        <f>38718.51-3253.32</f>
        <v>35465.19</v>
      </c>
      <c r="Y7" s="12">
        <f>53907.36+66710.36</f>
        <v>120617.72</v>
      </c>
      <c r="Z7" s="13">
        <f>41015.6+56932.14+10056.72</f>
        <v>108004.45999999999</v>
      </c>
      <c r="AA7" s="12">
        <v>0</v>
      </c>
      <c r="AB7" s="13">
        <v>0</v>
      </c>
      <c r="AC7" s="12">
        <f>24992.35+31112.93</f>
        <v>56105.279999999999</v>
      </c>
      <c r="AD7" s="13">
        <f>19170.45+25573.17</f>
        <v>44743.619999999995</v>
      </c>
      <c r="AE7" s="12">
        <v>0</v>
      </c>
      <c r="AF7" s="13">
        <v>0</v>
      </c>
      <c r="AG7" s="12">
        <v>0</v>
      </c>
      <c r="AH7" s="13">
        <v>0</v>
      </c>
      <c r="AI7" s="12">
        <v>0</v>
      </c>
      <c r="AJ7" s="13">
        <v>0</v>
      </c>
      <c r="AK7" s="12">
        <f>41539.87+57117.32</f>
        <v>98657.19</v>
      </c>
      <c r="AL7" s="13">
        <f>30189.82+44689.66+4402.47</f>
        <v>79281.950000000012</v>
      </c>
      <c r="AM7" s="12">
        <v>0</v>
      </c>
      <c r="AN7" s="13">
        <v>0</v>
      </c>
      <c r="AO7" s="12">
        <f>41309.35+47210.69+3793.72</f>
        <v>92313.760000000009</v>
      </c>
      <c r="AP7" s="13">
        <f>31065.23+40226.37+2784.08</f>
        <v>74075.680000000008</v>
      </c>
      <c r="AQ7" s="12">
        <v>0</v>
      </c>
      <c r="AR7" s="13"/>
      <c r="AS7" s="12">
        <f>24331.05+28872.85+2919.73</f>
        <v>56123.63</v>
      </c>
      <c r="AT7" s="13">
        <f>16999.89+19864.92+3986.33</f>
        <v>40851.14</v>
      </c>
      <c r="AU7" s="12">
        <f>114615.62+110330.92</f>
        <v>224946.53999999998</v>
      </c>
      <c r="AV7" s="13">
        <f>102883.42+130852.83+5121.18</f>
        <v>238857.43</v>
      </c>
      <c r="AW7" s="12">
        <f>36915.48+50626.94</f>
        <v>87542.420000000013</v>
      </c>
      <c r="AX7" s="13">
        <f>29999.89+38795.06+9898.17</f>
        <v>78693.119999999995</v>
      </c>
      <c r="AY7" s="12">
        <f>20064.53+32224.85+2736.07</f>
        <v>55025.45</v>
      </c>
      <c r="AZ7" s="13">
        <f>16988.65+20245.34+6319.03</f>
        <v>43553.020000000004</v>
      </c>
      <c r="BA7" s="12">
        <f>22564.58+29656.31+2901.16</f>
        <v>55122.05</v>
      </c>
      <c r="BB7" s="13">
        <f>19998.99+24828.25+8650.51</f>
        <v>53477.750000000007</v>
      </c>
      <c r="BC7" s="12">
        <f>3631.37</f>
        <v>3631.37</v>
      </c>
      <c r="BD7" s="16">
        <f t="shared" si="0"/>
        <v>43576.44</v>
      </c>
      <c r="BE7" s="13">
        <v>0</v>
      </c>
      <c r="BF7" s="12">
        <f>36292.86+47987.23+3629.29</f>
        <v>87909.37999999999</v>
      </c>
      <c r="BG7" s="13">
        <f>30002.46+38830.01+6827.95</f>
        <v>75660.42</v>
      </c>
      <c r="BH7" s="12">
        <f>66128.3+78151.63+5410.5</f>
        <v>149690.43</v>
      </c>
      <c r="BI7" s="13">
        <f>50886.32+67439.22+10057.69</f>
        <v>128383.23000000001</v>
      </c>
      <c r="BJ7" s="12">
        <f>64228.92+78732.23+6215.7</f>
        <v>149176.85</v>
      </c>
      <c r="BK7" s="13">
        <f>49998.99+61025.71+8353.87</f>
        <v>119378.56999999999</v>
      </c>
      <c r="BL7" s="12">
        <f>54243.84+79331.62+0</f>
        <v>133575.46</v>
      </c>
      <c r="BM7" s="13">
        <f>60221.3+77590.5+14544.82</f>
        <v>152356.62</v>
      </c>
      <c r="BN7" s="12">
        <f>26152.53+37100.1+5472.79</f>
        <v>68725.42</v>
      </c>
      <c r="BO7" s="13">
        <f>22654.32+29865.58+7919.89</f>
        <v>60439.79</v>
      </c>
      <c r="BP7" s="12">
        <v>0</v>
      </c>
      <c r="BQ7" s="13">
        <v>0</v>
      </c>
      <c r="BR7" s="12">
        <v>0</v>
      </c>
      <c r="BS7" s="13">
        <v>0</v>
      </c>
      <c r="BT7" s="12">
        <f>36100.8+57159.6</f>
        <v>93260.4</v>
      </c>
      <c r="BU7" s="13">
        <f>29988.26+35384.07+14236.54</f>
        <v>79608.87</v>
      </c>
    </row>
    <row r="8" spans="1:73" ht="30" x14ac:dyDescent="0.25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3">
        <v>0</v>
      </c>
      <c r="AG8" s="12">
        <v>0</v>
      </c>
      <c r="AH8" s="13">
        <v>0</v>
      </c>
      <c r="AI8" s="12">
        <v>0</v>
      </c>
      <c r="AJ8" s="13">
        <v>0</v>
      </c>
      <c r="AK8" s="12">
        <v>0</v>
      </c>
      <c r="AL8" s="13">
        <v>0</v>
      </c>
      <c r="AM8" s="12">
        <v>0</v>
      </c>
      <c r="AN8" s="13">
        <v>0</v>
      </c>
      <c r="AO8" s="12">
        <v>0</v>
      </c>
      <c r="AP8" s="13">
        <v>0</v>
      </c>
      <c r="AQ8" s="12">
        <v>0</v>
      </c>
      <c r="AR8" s="13"/>
      <c r="AS8" s="12">
        <v>0</v>
      </c>
      <c r="AT8" s="13">
        <v>0</v>
      </c>
      <c r="AU8" s="12">
        <v>0</v>
      </c>
      <c r="AV8" s="13">
        <v>0</v>
      </c>
      <c r="AW8" s="12">
        <v>0</v>
      </c>
      <c r="AX8" s="13">
        <v>0</v>
      </c>
      <c r="AY8" s="12">
        <v>0</v>
      </c>
      <c r="AZ8" s="13">
        <v>0</v>
      </c>
      <c r="BA8" s="12">
        <v>0</v>
      </c>
      <c r="BB8" s="13">
        <v>0</v>
      </c>
      <c r="BC8" s="12">
        <v>0</v>
      </c>
      <c r="BD8" s="16">
        <f t="shared" si="0"/>
        <v>0</v>
      </c>
      <c r="BE8" s="13">
        <v>0</v>
      </c>
      <c r="BF8" s="12">
        <v>0</v>
      </c>
      <c r="BG8" s="13">
        <v>0</v>
      </c>
      <c r="BH8" s="12">
        <v>0</v>
      </c>
      <c r="BI8" s="13">
        <v>0</v>
      </c>
      <c r="BJ8" s="12">
        <v>0</v>
      </c>
      <c r="BK8" s="13">
        <v>0</v>
      </c>
      <c r="BL8" s="12">
        <v>0</v>
      </c>
      <c r="BM8" s="13">
        <v>0</v>
      </c>
      <c r="BN8" s="12">
        <v>0</v>
      </c>
      <c r="BO8" s="13">
        <v>0</v>
      </c>
      <c r="BP8" s="12">
        <v>0</v>
      </c>
      <c r="BQ8" s="13">
        <v>0</v>
      </c>
      <c r="BR8" s="12">
        <v>0</v>
      </c>
      <c r="BS8" s="13">
        <v>0</v>
      </c>
      <c r="BT8" s="12">
        <v>0</v>
      </c>
      <c r="BU8" s="13">
        <v>0</v>
      </c>
    </row>
    <row r="9" spans="1:73" ht="60" x14ac:dyDescent="0.25">
      <c r="A9" s="2" t="s">
        <v>14</v>
      </c>
      <c r="B9" s="4">
        <v>6</v>
      </c>
      <c r="C9" s="12">
        <f>107430.12+6138.86+7673.58</f>
        <v>121242.56</v>
      </c>
      <c r="D9" s="13">
        <f>37957.67+1200</f>
        <v>39157.67</v>
      </c>
      <c r="E9" s="12">
        <v>6280.22</v>
      </c>
      <c r="F9" s="13">
        <f>1400+172375.63</f>
        <v>173775.63</v>
      </c>
      <c r="G9" s="12">
        <f>19391.52+223748.28</f>
        <v>243139.8</v>
      </c>
      <c r="H9" s="13">
        <v>86485.36</v>
      </c>
      <c r="I9" s="12">
        <f>56637.79+330387.12</f>
        <v>387024.91</v>
      </c>
      <c r="J9" s="13">
        <f>1520+25176.17</f>
        <v>26696.17</v>
      </c>
      <c r="K9" s="12">
        <f>19942.02+209916</f>
        <v>229858.02</v>
      </c>
      <c r="L9" s="13">
        <f>9992.72+613742.2</f>
        <v>623734.91999999993</v>
      </c>
      <c r="M9" s="12">
        <f>59075.09-43287.78+152780.4</f>
        <v>168567.71</v>
      </c>
      <c r="N9" s="13">
        <f>96150.95+3600</f>
        <v>99750.95</v>
      </c>
      <c r="O9" s="12">
        <f>3406.5+22710</f>
        <v>26116.5</v>
      </c>
      <c r="P9" s="13">
        <f>1935.5+19832.63</f>
        <v>21768.13</v>
      </c>
      <c r="Q9" s="12">
        <f>161530.56+31767.68-17768.36</f>
        <v>175529.88</v>
      </c>
      <c r="R9" s="13">
        <f>109796.07+3499.83</f>
        <v>113295.90000000001</v>
      </c>
      <c r="S9" s="12">
        <f>4667.65+5516.32</f>
        <v>10183.969999999999</v>
      </c>
      <c r="T9" s="13">
        <f>37906.86+2366.91</f>
        <v>40273.770000000004</v>
      </c>
      <c r="U9" s="12">
        <f>14353.92+179424</f>
        <v>193777.92000000001</v>
      </c>
      <c r="V9" s="13">
        <f>79473.54+3911.5+1060685</f>
        <v>1144070.04</v>
      </c>
      <c r="W9" s="12">
        <f>91093.46+6506.68+6940.45</f>
        <v>104540.59000000001</v>
      </c>
      <c r="X9" s="13">
        <f>183473.41+0</f>
        <v>183473.41</v>
      </c>
      <c r="Y9" s="12">
        <f>40430.52+24932.15</f>
        <v>65362.67</v>
      </c>
      <c r="Z9" s="13">
        <f>3660+219804.12</f>
        <v>223464.12</v>
      </c>
      <c r="AA9" s="12">
        <f>7536.36+115944</f>
        <v>123480.36</v>
      </c>
      <c r="AB9" s="13">
        <f>2660+45401.15</f>
        <v>48061.15</v>
      </c>
      <c r="AC9" s="12">
        <f>20146.896+5865.55</f>
        <v>26012.446</v>
      </c>
      <c r="AD9" s="13">
        <f>1920+20830.15</f>
        <v>22750.15</v>
      </c>
      <c r="AE9" s="12">
        <f>11129.832+111298.32</f>
        <v>122428.152</v>
      </c>
      <c r="AF9" s="13">
        <f>380509.69+4515.36</f>
        <v>385025.05</v>
      </c>
      <c r="AG9" s="12">
        <v>0</v>
      </c>
      <c r="AH9" s="13">
        <f>74848.14+3893.6</f>
        <v>78741.740000000005</v>
      </c>
      <c r="AI9" s="12">
        <f>6263.57+104392.8</f>
        <v>110656.37</v>
      </c>
      <c r="AJ9" s="13">
        <f>1990+51609.54</f>
        <v>53599.54</v>
      </c>
      <c r="AK9" s="12">
        <v>10384.969999999999</v>
      </c>
      <c r="AL9" s="13">
        <f>76185.8+3680</f>
        <v>79865.8</v>
      </c>
      <c r="AM9" s="12">
        <f>8365.812+11583.432+257409.6</f>
        <v>277358.84399999998</v>
      </c>
      <c r="AN9" s="13">
        <f>296965.1+3556</f>
        <v>300521.09999999998</v>
      </c>
      <c r="AO9" s="12">
        <f>11802.672+126457.2</f>
        <v>138259.872</v>
      </c>
      <c r="AP9" s="13">
        <f>2660.66+21005.76</f>
        <v>23666.42</v>
      </c>
      <c r="AQ9" s="12">
        <f>7043.91+3792.88+270919.8</f>
        <v>281756.58999999997</v>
      </c>
      <c r="AR9" s="13">
        <v>3820.3</v>
      </c>
      <c r="AS9" s="12">
        <f>97324.2+8759.18</f>
        <v>106083.38</v>
      </c>
      <c r="AT9" s="13">
        <f>1685+18398.52</f>
        <v>20083.52</v>
      </c>
      <c r="AU9" s="12">
        <f>321352.2+21423.48</f>
        <v>342775.68</v>
      </c>
      <c r="AV9" s="13">
        <f>66654.47+5758.24</f>
        <v>72412.710000000006</v>
      </c>
      <c r="AW9" s="12">
        <v>0</v>
      </c>
      <c r="AX9" s="13">
        <f>31277.89+3328</f>
        <v>34605.89</v>
      </c>
      <c r="AY9" s="12">
        <f>91202.4+10944.29</f>
        <v>102146.69</v>
      </c>
      <c r="AZ9" s="13">
        <f>5096.33+2764</f>
        <v>7860.33</v>
      </c>
      <c r="BA9" s="12">
        <f>67693.75+7736.43</f>
        <v>75430.179999999993</v>
      </c>
      <c r="BB9" s="13">
        <f>87520.38+3595.26</f>
        <v>91115.64</v>
      </c>
      <c r="BC9" s="12">
        <v>8069.7</v>
      </c>
      <c r="BD9" s="16">
        <f t="shared" si="0"/>
        <v>96836.4</v>
      </c>
      <c r="BE9" s="13">
        <f>56964.2+1640</f>
        <v>58604.2</v>
      </c>
      <c r="BF9" s="12">
        <v>0</v>
      </c>
      <c r="BG9" s="13">
        <f>1200+12310.11</f>
        <v>13510.11</v>
      </c>
      <c r="BH9" s="12">
        <f>20439.66+180349.92</f>
        <v>200789.58000000002</v>
      </c>
      <c r="BI9" s="13">
        <f>427632.9+4180</f>
        <v>431812.9</v>
      </c>
      <c r="BJ9" s="12">
        <v>3453.17</v>
      </c>
      <c r="BK9" s="13">
        <f>142870+1980</f>
        <v>144850</v>
      </c>
      <c r="BL9" s="12">
        <f>203414+25087.78</f>
        <v>228501.78</v>
      </c>
      <c r="BM9" s="13">
        <f>291416.7+5990.45</f>
        <v>297407.15000000002</v>
      </c>
      <c r="BN9" s="12">
        <f>13380.36+182459.52</f>
        <v>195839.88</v>
      </c>
      <c r="BO9" s="13">
        <f>5689.99+69310.08</f>
        <v>75000.070000000007</v>
      </c>
      <c r="BP9" s="12">
        <f>18167.76+258541.2</f>
        <v>276708.96000000002</v>
      </c>
      <c r="BQ9" s="13">
        <f>82409+0</f>
        <v>82409</v>
      </c>
      <c r="BR9" s="12">
        <f>146655.18+7681.94+10475.37</f>
        <v>164812.49</v>
      </c>
      <c r="BS9" s="13">
        <f>7070.6+71013.97</f>
        <v>78084.570000000007</v>
      </c>
      <c r="BT9" s="12">
        <v>0</v>
      </c>
      <c r="BU9" s="13">
        <f>133923.45+0</f>
        <v>133923.45000000001</v>
      </c>
    </row>
    <row r="10" spans="1:73" ht="30" x14ac:dyDescent="0.25">
      <c r="A10" s="2" t="s">
        <v>3</v>
      </c>
      <c r="B10" s="3">
        <v>7</v>
      </c>
      <c r="C10" s="12">
        <v>0</v>
      </c>
      <c r="D10" s="13">
        <v>0</v>
      </c>
      <c r="E10" s="12">
        <v>152295.43</v>
      </c>
      <c r="F10" s="13">
        <v>140421.25</v>
      </c>
      <c r="G10" s="12">
        <v>0</v>
      </c>
      <c r="H10" s="13">
        <v>0</v>
      </c>
      <c r="I10" s="12">
        <v>0</v>
      </c>
      <c r="J10" s="13">
        <v>0</v>
      </c>
      <c r="K10" s="12">
        <v>167932.79999999999</v>
      </c>
      <c r="L10" s="13">
        <v>164317.57999999999</v>
      </c>
      <c r="M10" s="12"/>
      <c r="N10" s="13"/>
      <c r="O10" s="12">
        <v>0</v>
      </c>
      <c r="P10" s="13">
        <v>0</v>
      </c>
      <c r="Q10" s="12">
        <v>0</v>
      </c>
      <c r="R10" s="13">
        <v>0</v>
      </c>
      <c r="S10" s="12">
        <v>0</v>
      </c>
      <c r="T10" s="13">
        <v>0</v>
      </c>
      <c r="U10" s="12">
        <v>95991.84</v>
      </c>
      <c r="V10" s="13">
        <v>45304.800000000003</v>
      </c>
      <c r="W10" s="12">
        <v>0</v>
      </c>
      <c r="X10" s="13">
        <v>0</v>
      </c>
      <c r="Y10" s="12">
        <v>120617.72</v>
      </c>
      <c r="Z10" s="13">
        <v>112916.1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3">
        <v>0</v>
      </c>
      <c r="AG10" s="12">
        <v>0</v>
      </c>
      <c r="AH10" s="13">
        <v>0</v>
      </c>
      <c r="AI10" s="12">
        <v>0</v>
      </c>
      <c r="AJ10" s="13">
        <v>0</v>
      </c>
      <c r="AK10" s="12">
        <v>0</v>
      </c>
      <c r="AL10" s="13">
        <v>0</v>
      </c>
      <c r="AM10" s="12">
        <v>0</v>
      </c>
      <c r="AN10" s="13">
        <v>0</v>
      </c>
      <c r="AO10" s="12">
        <v>0</v>
      </c>
      <c r="AP10" s="13">
        <v>0</v>
      </c>
      <c r="AQ10" s="12">
        <v>0</v>
      </c>
      <c r="AR10" s="13">
        <v>0</v>
      </c>
      <c r="AS10" s="12">
        <v>57096.86</v>
      </c>
      <c r="AT10" s="13">
        <v>51693.78</v>
      </c>
      <c r="AU10" s="12">
        <v>119971.49</v>
      </c>
      <c r="AV10" s="13">
        <v>0</v>
      </c>
      <c r="AW10" s="12">
        <v>95980.25</v>
      </c>
      <c r="AX10" s="13">
        <v>91353.33</v>
      </c>
      <c r="AY10" s="12">
        <v>60801.599999999999</v>
      </c>
      <c r="AZ10" s="13">
        <v>50367.45</v>
      </c>
      <c r="BA10" s="12">
        <v>53187.95</v>
      </c>
      <c r="BB10" s="13">
        <v>46569.279999999999</v>
      </c>
      <c r="BC10" s="12">
        <v>0</v>
      </c>
      <c r="BD10" s="16">
        <f t="shared" si="0"/>
        <v>0</v>
      </c>
      <c r="BE10" s="13">
        <v>0</v>
      </c>
      <c r="BF10" s="12">
        <v>77828.02</v>
      </c>
      <c r="BG10" s="13">
        <v>69536.960000000006</v>
      </c>
      <c r="BH10" s="12">
        <v>107608.79</v>
      </c>
      <c r="BI10" s="13">
        <v>102617.78</v>
      </c>
      <c r="BJ10" s="12">
        <v>112573.28</v>
      </c>
      <c r="BK10" s="13">
        <v>107500.1</v>
      </c>
      <c r="BL10" s="12">
        <v>127473.02</v>
      </c>
      <c r="BM10" s="13">
        <v>102682</v>
      </c>
      <c r="BN10" s="12">
        <v>84539.58</v>
      </c>
      <c r="BO10" s="13">
        <v>71696.72</v>
      </c>
      <c r="BP10" s="12">
        <v>0</v>
      </c>
      <c r="BQ10" s="13">
        <v>0</v>
      </c>
      <c r="BR10" s="12">
        <v>0</v>
      </c>
      <c r="BS10" s="13">
        <v>0</v>
      </c>
      <c r="BT10" s="12">
        <v>89650.32</v>
      </c>
      <c r="BU10" s="13">
        <v>81741.87</v>
      </c>
    </row>
    <row r="11" spans="1:73" ht="30" x14ac:dyDescent="0.25">
      <c r="A11" s="2" t="s">
        <v>4</v>
      </c>
      <c r="B11" s="3">
        <v>8</v>
      </c>
      <c r="C11" s="12">
        <v>0</v>
      </c>
      <c r="D11" s="13">
        <v>0</v>
      </c>
      <c r="E11" s="12">
        <v>11775.42</v>
      </c>
      <c r="F11" s="13">
        <v>9900</v>
      </c>
      <c r="G11" s="12">
        <v>0</v>
      </c>
      <c r="H11" s="13">
        <v>0</v>
      </c>
      <c r="I11" s="12">
        <v>23599.08</v>
      </c>
      <c r="J11" s="13">
        <f>36000+38566.2</f>
        <v>74566.2</v>
      </c>
      <c r="K11" s="12">
        <v>15743.7</v>
      </c>
      <c r="L11" s="13">
        <v>9900</v>
      </c>
      <c r="M11" s="12"/>
      <c r="N11" s="13"/>
      <c r="O11" s="12">
        <v>3406.5</v>
      </c>
      <c r="P11" s="13">
        <v>3406.56</v>
      </c>
      <c r="Q11" s="12">
        <v>0</v>
      </c>
      <c r="R11" s="13">
        <v>0</v>
      </c>
      <c r="S11" s="12">
        <v>0</v>
      </c>
      <c r="T11" s="13">
        <v>0</v>
      </c>
      <c r="U11" s="12">
        <v>13456.8</v>
      </c>
      <c r="V11" s="13">
        <v>13456.8</v>
      </c>
      <c r="W11" s="12">
        <v>6506.68</v>
      </c>
      <c r="X11" s="13">
        <v>3253.32</v>
      </c>
      <c r="Y11" s="12">
        <v>10107.629999999999</v>
      </c>
      <c r="Z11" s="13">
        <v>11285</v>
      </c>
      <c r="AA11" s="12">
        <v>0</v>
      </c>
      <c r="AB11" s="13">
        <v>0</v>
      </c>
      <c r="AC11" s="12">
        <v>3825.36</v>
      </c>
      <c r="AD11" s="13">
        <v>6375.6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7788.73</v>
      </c>
      <c r="AL11" s="13">
        <v>8262.5400000000009</v>
      </c>
      <c r="AM11" s="12">
        <v>0</v>
      </c>
      <c r="AN11" s="13">
        <v>0</v>
      </c>
      <c r="AO11" s="12">
        <v>6322.86</v>
      </c>
      <c r="AP11" s="13">
        <v>12856</v>
      </c>
      <c r="AQ11" s="12">
        <v>0</v>
      </c>
      <c r="AR11" s="13">
        <v>0</v>
      </c>
      <c r="AS11" s="12">
        <v>4866.21</v>
      </c>
      <c r="AT11" s="13">
        <v>3846.2</v>
      </c>
      <c r="AU11" s="12">
        <v>16067.61</v>
      </c>
      <c r="AV11" s="13">
        <v>18656</v>
      </c>
      <c r="AW11" s="12">
        <v>7910.46</v>
      </c>
      <c r="AX11" s="13">
        <v>10664.2</v>
      </c>
      <c r="AY11" s="12">
        <v>4560.12</v>
      </c>
      <c r="AZ11" s="13">
        <v>6220.2</v>
      </c>
      <c r="BA11" s="12">
        <v>4835.2700000000004</v>
      </c>
      <c r="BB11" s="13">
        <v>4834.88</v>
      </c>
      <c r="BC11" s="12">
        <v>0</v>
      </c>
      <c r="BD11" s="16">
        <f t="shared" si="0"/>
        <v>0</v>
      </c>
      <c r="BE11" s="13">
        <v>0</v>
      </c>
      <c r="BF11" s="12">
        <v>6048.81</v>
      </c>
      <c r="BG11" s="13">
        <v>12455.6</v>
      </c>
      <c r="BH11" s="12">
        <v>9017.5</v>
      </c>
      <c r="BI11" s="13">
        <v>8915.2000000000007</v>
      </c>
      <c r="BJ11" s="12">
        <v>10359.5</v>
      </c>
      <c r="BK11" s="13">
        <v>16835.2</v>
      </c>
      <c r="BL11" s="12">
        <v>10170.719999999999</v>
      </c>
      <c r="BM11" s="13">
        <v>18446.2</v>
      </c>
      <c r="BN11" s="12">
        <v>9122.98</v>
      </c>
      <c r="BO11" s="13">
        <v>8564</v>
      </c>
      <c r="BP11" s="12">
        <v>0</v>
      </c>
      <c r="BQ11" s="13">
        <v>0</v>
      </c>
      <c r="BR11" s="12">
        <v>0</v>
      </c>
      <c r="BS11" s="13">
        <v>0</v>
      </c>
      <c r="BT11" s="12">
        <v>9025.2000000000007</v>
      </c>
      <c r="BU11" s="13">
        <v>10211.32</v>
      </c>
    </row>
    <row r="12" spans="1:73" ht="30" x14ac:dyDescent="0.25">
      <c r="A12" s="9" t="s">
        <v>5</v>
      </c>
      <c r="B12" s="3">
        <v>9</v>
      </c>
      <c r="C12" s="12">
        <v>14835.59</v>
      </c>
      <c r="D12" s="13">
        <v>0</v>
      </c>
      <c r="E12" s="12">
        <v>7850.28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14694.12</v>
      </c>
      <c r="L12" s="13">
        <v>0</v>
      </c>
      <c r="M12" s="12">
        <v>14768.77</v>
      </c>
      <c r="N12" s="13">
        <v>0</v>
      </c>
      <c r="O12" s="12">
        <v>0</v>
      </c>
      <c r="P12" s="13">
        <v>0</v>
      </c>
      <c r="Q12" s="12">
        <v>15076.19</v>
      </c>
      <c r="R12" s="13">
        <v>0</v>
      </c>
      <c r="S12" s="12">
        <v>14851.62</v>
      </c>
      <c r="T12" s="13">
        <v>0</v>
      </c>
      <c r="U12" s="12">
        <v>17045.28</v>
      </c>
      <c r="V12" s="13">
        <v>0</v>
      </c>
      <c r="W12" s="12">
        <v>14748.47</v>
      </c>
      <c r="X12" s="13">
        <v>0</v>
      </c>
      <c r="Y12" s="12">
        <v>15161.45</v>
      </c>
      <c r="Z12" s="13">
        <v>0</v>
      </c>
      <c r="AA12" s="12">
        <v>15072.72</v>
      </c>
      <c r="AB12" s="13">
        <v>0</v>
      </c>
      <c r="AC12" s="12">
        <v>7395.7</v>
      </c>
      <c r="AD12" s="13">
        <v>0</v>
      </c>
      <c r="AE12" s="12">
        <v>14839.78</v>
      </c>
      <c r="AF12" s="13">
        <v>0</v>
      </c>
      <c r="AG12" s="12">
        <v>0</v>
      </c>
      <c r="AH12" s="13">
        <v>0</v>
      </c>
      <c r="AI12" s="12">
        <v>7307.5</v>
      </c>
      <c r="AJ12" s="13">
        <v>0</v>
      </c>
      <c r="AK12" s="12">
        <v>15058.2</v>
      </c>
      <c r="AL12" s="13">
        <v>0</v>
      </c>
      <c r="AM12" s="12">
        <v>14801.052</v>
      </c>
      <c r="AN12" s="13">
        <v>0</v>
      </c>
      <c r="AO12" s="12">
        <v>7165.91</v>
      </c>
      <c r="AP12" s="13">
        <v>0</v>
      </c>
      <c r="AQ12" s="12">
        <v>13545.99</v>
      </c>
      <c r="AR12" s="13">
        <v>0</v>
      </c>
      <c r="AS12" s="12">
        <v>10056.83</v>
      </c>
      <c r="AT12" s="13">
        <v>0</v>
      </c>
      <c r="AU12" s="12">
        <v>16067.61</v>
      </c>
      <c r="AV12" s="13">
        <v>0</v>
      </c>
      <c r="AW12" s="12">
        <v>0</v>
      </c>
      <c r="AX12" s="13">
        <v>0</v>
      </c>
      <c r="AY12" s="12">
        <v>9728.26</v>
      </c>
      <c r="AZ12" s="13">
        <v>0</v>
      </c>
      <c r="BA12" s="12">
        <v>15472.86</v>
      </c>
      <c r="BB12" s="13">
        <v>0</v>
      </c>
      <c r="BC12" s="12">
        <v>1344.95</v>
      </c>
      <c r="BD12" s="16">
        <f t="shared" si="0"/>
        <v>16139.400000000001</v>
      </c>
      <c r="BE12" s="13">
        <v>0</v>
      </c>
      <c r="BF12" s="12">
        <v>0</v>
      </c>
      <c r="BG12" s="13">
        <v>0</v>
      </c>
      <c r="BH12" s="12">
        <v>15029.16</v>
      </c>
      <c r="BI12" s="13">
        <v>0</v>
      </c>
      <c r="BJ12" s="12">
        <v>7596.97</v>
      </c>
      <c r="BK12" s="13">
        <v>0</v>
      </c>
      <c r="BL12" s="12">
        <v>25765.82</v>
      </c>
      <c r="BM12" s="13">
        <v>0</v>
      </c>
      <c r="BN12" s="12">
        <v>14596.76</v>
      </c>
      <c r="BO12" s="13">
        <v>0</v>
      </c>
      <c r="BP12" s="12">
        <v>14673.96</v>
      </c>
      <c r="BQ12" s="13">
        <v>0</v>
      </c>
      <c r="BR12" s="12">
        <v>14665.52</v>
      </c>
      <c r="BS12" s="13">
        <v>0</v>
      </c>
      <c r="BT12" s="12">
        <v>0</v>
      </c>
      <c r="BU12" s="13">
        <v>0</v>
      </c>
    </row>
    <row r="13" spans="1:73" ht="30" x14ac:dyDescent="0.25">
      <c r="A13" s="2" t="s">
        <v>6</v>
      </c>
      <c r="B13" s="3">
        <v>10</v>
      </c>
      <c r="C13" s="12">
        <v>25578.6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43287.78</v>
      </c>
      <c r="N13" s="13">
        <v>0</v>
      </c>
      <c r="O13" s="12">
        <v>0</v>
      </c>
      <c r="P13" s="13">
        <v>0</v>
      </c>
      <c r="Q13" s="12">
        <v>17768.36</v>
      </c>
      <c r="R13" s="13">
        <v>0</v>
      </c>
      <c r="S13" s="12">
        <v>25035.59</v>
      </c>
      <c r="T13" s="13">
        <v>0</v>
      </c>
      <c r="U13" s="12">
        <v>0</v>
      </c>
      <c r="V13" s="13">
        <v>0</v>
      </c>
      <c r="W13" s="12">
        <v>21255.14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39254.964</v>
      </c>
      <c r="AN13" s="13">
        <v>0</v>
      </c>
      <c r="AO13" s="12">
        <v>0</v>
      </c>
      <c r="AP13" s="13">
        <v>0</v>
      </c>
      <c r="AQ13" s="12">
        <v>15171.51</v>
      </c>
      <c r="AR13" s="13">
        <v>0</v>
      </c>
      <c r="AS13" s="12">
        <v>0</v>
      </c>
      <c r="AT13" s="13">
        <v>0</v>
      </c>
      <c r="AU13" s="12">
        <v>19281.13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215.19</v>
      </c>
      <c r="BD13" s="16">
        <f t="shared" si="0"/>
        <v>2582.2799999999997</v>
      </c>
      <c r="BE13" s="13">
        <v>0</v>
      </c>
      <c r="BF13" s="12">
        <v>0</v>
      </c>
      <c r="BG13" s="13">
        <v>0</v>
      </c>
      <c r="BH13" s="12">
        <v>0</v>
      </c>
      <c r="BI13" s="13">
        <v>0</v>
      </c>
      <c r="BJ13" s="12">
        <v>0</v>
      </c>
      <c r="BK13" s="13">
        <v>0</v>
      </c>
      <c r="BL13" s="12">
        <v>0</v>
      </c>
      <c r="BM13" s="13">
        <v>0</v>
      </c>
      <c r="BN13" s="12">
        <v>0</v>
      </c>
      <c r="BO13" s="13">
        <v>0</v>
      </c>
      <c r="BP13" s="12">
        <v>0</v>
      </c>
      <c r="BQ13" s="13">
        <v>0</v>
      </c>
      <c r="BR13" s="12">
        <v>20252.38</v>
      </c>
      <c r="BS13" s="13">
        <v>0</v>
      </c>
      <c r="BT13" s="12">
        <v>0</v>
      </c>
      <c r="BU13" s="13">
        <v>0</v>
      </c>
    </row>
    <row r="14" spans="1:73" ht="30" x14ac:dyDescent="0.25">
      <c r="A14" s="2" t="s">
        <v>7</v>
      </c>
      <c r="B14" s="3">
        <v>11</v>
      </c>
      <c r="C14" s="12">
        <v>4604.1499999999996</v>
      </c>
      <c r="D14" s="13">
        <v>0</v>
      </c>
      <c r="E14" s="12">
        <v>3140.11</v>
      </c>
      <c r="F14" s="13">
        <v>0</v>
      </c>
      <c r="G14" s="12">
        <v>6712.45</v>
      </c>
      <c r="H14" s="13">
        <v>0</v>
      </c>
      <c r="I14" s="12">
        <v>0</v>
      </c>
      <c r="J14" s="13">
        <v>0</v>
      </c>
      <c r="K14" s="12">
        <v>9446.2199999999993</v>
      </c>
      <c r="L14" s="13">
        <v>0</v>
      </c>
      <c r="M14" s="12">
        <v>5092.68</v>
      </c>
      <c r="N14" s="13">
        <v>0</v>
      </c>
      <c r="O14" s="12">
        <v>2043.9</v>
      </c>
      <c r="P14" s="13">
        <v>0</v>
      </c>
      <c r="Q14" s="12">
        <v>4845.92</v>
      </c>
      <c r="R14" s="13">
        <v>0</v>
      </c>
      <c r="S14" s="12">
        <v>3818.99</v>
      </c>
      <c r="T14" s="13">
        <v>0</v>
      </c>
      <c r="U14" s="12">
        <v>0</v>
      </c>
      <c r="V14" s="13">
        <v>0</v>
      </c>
      <c r="W14" s="12">
        <v>3904.01</v>
      </c>
      <c r="X14" s="13">
        <v>0</v>
      </c>
      <c r="Y14" s="12">
        <v>4043.05</v>
      </c>
      <c r="Z14" s="13">
        <v>0</v>
      </c>
      <c r="AA14" s="12">
        <v>2608.7399999999998</v>
      </c>
      <c r="AB14" s="13">
        <v>0</v>
      </c>
      <c r="AC14" s="12">
        <v>2040.19</v>
      </c>
      <c r="AD14" s="13">
        <v>0</v>
      </c>
      <c r="AE14" s="12">
        <v>4769.9279999999999</v>
      </c>
      <c r="AF14" s="13">
        <v>0</v>
      </c>
      <c r="AG14" s="12">
        <v>0</v>
      </c>
      <c r="AH14" s="13">
        <v>0</v>
      </c>
      <c r="AI14" s="12">
        <v>4175.71</v>
      </c>
      <c r="AJ14" s="13">
        <v>0</v>
      </c>
      <c r="AK14" s="12">
        <v>4673.24</v>
      </c>
      <c r="AL14" s="13">
        <v>0</v>
      </c>
      <c r="AM14" s="12">
        <v>5791.7160000000003</v>
      </c>
      <c r="AN14" s="13">
        <v>0</v>
      </c>
      <c r="AO14" s="12">
        <v>3793.72</v>
      </c>
      <c r="AP14" s="13">
        <v>0</v>
      </c>
      <c r="AQ14" s="12">
        <v>4334.72</v>
      </c>
      <c r="AR14" s="13">
        <v>0</v>
      </c>
      <c r="AS14" s="12">
        <v>0</v>
      </c>
      <c r="AT14" s="13">
        <v>0</v>
      </c>
      <c r="AU14" s="12">
        <v>5355.87</v>
      </c>
      <c r="AV14" s="13">
        <v>0</v>
      </c>
      <c r="AW14" s="12">
        <v>0</v>
      </c>
      <c r="AX14" s="13">
        <v>0</v>
      </c>
      <c r="AY14" s="12">
        <v>0</v>
      </c>
      <c r="AZ14" s="13">
        <v>0</v>
      </c>
      <c r="BA14" s="12">
        <v>0</v>
      </c>
      <c r="BB14" s="13">
        <v>0</v>
      </c>
      <c r="BC14" s="12">
        <v>134.5</v>
      </c>
      <c r="BD14" s="16">
        <f t="shared" si="0"/>
        <v>1614</v>
      </c>
      <c r="BE14" s="13">
        <v>0</v>
      </c>
      <c r="BF14" s="12">
        <v>0</v>
      </c>
      <c r="BG14" s="13">
        <v>0</v>
      </c>
      <c r="BH14" s="12">
        <v>2404.67</v>
      </c>
      <c r="BI14" s="13">
        <v>0</v>
      </c>
      <c r="BJ14" s="12">
        <v>2071.9</v>
      </c>
      <c r="BK14" s="13">
        <v>0</v>
      </c>
      <c r="BL14" s="12">
        <v>3390.24</v>
      </c>
      <c r="BM14" s="13">
        <v>0</v>
      </c>
      <c r="BN14" s="12">
        <v>0</v>
      </c>
      <c r="BO14" s="13">
        <v>0</v>
      </c>
      <c r="BP14" s="12">
        <v>6288.84</v>
      </c>
      <c r="BQ14" s="13">
        <v>0</v>
      </c>
      <c r="BR14" s="12">
        <v>6285.22</v>
      </c>
      <c r="BS14" s="13">
        <v>0</v>
      </c>
      <c r="BT14" s="12">
        <v>0</v>
      </c>
      <c r="BU14" s="13">
        <v>0</v>
      </c>
    </row>
    <row r="15" spans="1:73" ht="45" x14ac:dyDescent="0.25">
      <c r="A15" s="2" t="s">
        <v>8</v>
      </c>
      <c r="B15" s="3">
        <v>12</v>
      </c>
      <c r="C15" s="12">
        <v>15347.16</v>
      </c>
      <c r="D15" s="13">
        <v>13285.06</v>
      </c>
      <c r="E15" s="12">
        <v>25905.923999999999</v>
      </c>
      <c r="F15" s="13">
        <v>19781.169999999998</v>
      </c>
      <c r="G15" s="12">
        <v>26103.97</v>
      </c>
      <c r="H15" s="13">
        <v>18787.95</v>
      </c>
      <c r="I15" s="12">
        <v>39331.800000000003</v>
      </c>
      <c r="J15" s="13">
        <v>39635.43</v>
      </c>
      <c r="K15" s="12">
        <v>29388.240000000002</v>
      </c>
      <c r="L15" s="13">
        <v>26447.360000000001</v>
      </c>
      <c r="M15" s="12">
        <v>17824.38</v>
      </c>
      <c r="N15" s="13">
        <v>12832.55</v>
      </c>
      <c r="O15" s="12">
        <v>6813</v>
      </c>
      <c r="P15" s="13">
        <v>5722.48</v>
      </c>
      <c r="Q15" s="12">
        <v>18845.23</v>
      </c>
      <c r="R15" s="13">
        <v>13567.51</v>
      </c>
      <c r="S15" s="12">
        <v>14851.62</v>
      </c>
      <c r="T15" s="13">
        <v>10692.34</v>
      </c>
      <c r="U15" s="12">
        <v>26913.599999999999</v>
      </c>
      <c r="V15" s="13">
        <v>22605.67</v>
      </c>
      <c r="W15" s="12">
        <v>15182.24</v>
      </c>
      <c r="X15" s="13">
        <v>10930.37</v>
      </c>
      <c r="Y15" s="12">
        <v>23584.47</v>
      </c>
      <c r="Z15" s="13">
        <v>16989.36</v>
      </c>
      <c r="AA15" s="12">
        <v>10145.1</v>
      </c>
      <c r="AB15" s="13">
        <v>7303.9</v>
      </c>
      <c r="AC15" s="12">
        <v>7140.6719999999996</v>
      </c>
      <c r="AD15" s="13">
        <v>6426.11</v>
      </c>
      <c r="AE15" s="12">
        <v>15899.76</v>
      </c>
      <c r="AF15" s="13">
        <v>13359.32</v>
      </c>
      <c r="AG15" s="12">
        <v>8991.07</v>
      </c>
      <c r="AH15" s="13">
        <v>7551.91</v>
      </c>
      <c r="AI15" s="12">
        <v>15658.92</v>
      </c>
      <c r="AJ15" s="13">
        <v>13133.96</v>
      </c>
      <c r="AK15" s="12">
        <v>17135.2</v>
      </c>
      <c r="AL15" s="13">
        <v>13084</v>
      </c>
      <c r="AM15" s="12">
        <v>22523.34</v>
      </c>
      <c r="AN15" s="13">
        <v>16225.16</v>
      </c>
      <c r="AO15" s="12">
        <v>14753.34</v>
      </c>
      <c r="AP15" s="13">
        <v>10624.57</v>
      </c>
      <c r="AQ15" s="12">
        <v>18964.39</v>
      </c>
      <c r="AR15" s="13">
        <v>8087.64</v>
      </c>
      <c r="AS15" s="12">
        <v>9732.42</v>
      </c>
      <c r="AT15" s="13">
        <v>8174.6</v>
      </c>
      <c r="AU15" s="12">
        <v>69626.31</v>
      </c>
      <c r="AV15" s="13">
        <v>26991.49</v>
      </c>
      <c r="AW15" s="12">
        <v>15820.92</v>
      </c>
      <c r="AX15" s="13">
        <v>13288.54</v>
      </c>
      <c r="AY15" s="12">
        <v>10640.28</v>
      </c>
      <c r="AZ15" s="13">
        <v>7660.41</v>
      </c>
      <c r="BA15" s="12">
        <v>9670.5400000000009</v>
      </c>
      <c r="BB15" s="13">
        <v>7896.74</v>
      </c>
      <c r="BC15" s="12">
        <v>2017.43</v>
      </c>
      <c r="BD15" s="16">
        <f t="shared" si="0"/>
        <v>24209.16</v>
      </c>
      <c r="BE15" s="13">
        <v>8356.4500000000007</v>
      </c>
      <c r="BF15" s="12">
        <v>12097.62</v>
      </c>
      <c r="BG15" s="13">
        <v>10161.209999999999</v>
      </c>
      <c r="BH15" s="12">
        <v>21040.82</v>
      </c>
      <c r="BI15" s="13">
        <v>15156.96</v>
      </c>
      <c r="BJ15" s="12">
        <v>22790.91</v>
      </c>
      <c r="BK15" s="13">
        <v>17402.61</v>
      </c>
      <c r="BL15" s="12">
        <v>20341.439999999999</v>
      </c>
      <c r="BM15" s="13">
        <v>17100.77</v>
      </c>
      <c r="BN15" s="12">
        <v>18245.95</v>
      </c>
      <c r="BO15" s="13">
        <v>15325.41</v>
      </c>
      <c r="BP15" s="12">
        <v>24456.6</v>
      </c>
      <c r="BQ15" s="13">
        <v>17613.38</v>
      </c>
      <c r="BR15" s="12">
        <v>23045.81</v>
      </c>
      <c r="BS15" s="13">
        <v>17841.88</v>
      </c>
      <c r="BT15" s="12">
        <v>16245.36</v>
      </c>
      <c r="BU15" s="13">
        <v>15161.16</v>
      </c>
    </row>
    <row r="16" spans="1:73" ht="45" x14ac:dyDescent="0.25">
      <c r="A16" s="2" t="s">
        <v>9</v>
      </c>
      <c r="B16" s="3">
        <v>13</v>
      </c>
      <c r="C16" s="12">
        <f>4604.15+14324.02</f>
        <v>18928.169999999998</v>
      </c>
      <c r="D16" s="13">
        <f>2868+23236.25</f>
        <v>26104.25</v>
      </c>
      <c r="E16" s="12">
        <f>6280.224+19625.7</f>
        <v>25905.923999999999</v>
      </c>
      <c r="F16" s="13">
        <f>5661.6+13000</f>
        <v>18661.599999999999</v>
      </c>
      <c r="G16" s="12">
        <f>11187.41+31324.76</f>
        <v>42512.17</v>
      </c>
      <c r="H16" s="12">
        <f>3011.46+7663.54</f>
        <v>10675</v>
      </c>
      <c r="I16" s="12">
        <f>6293.09+15732.72</f>
        <v>22025.809999999998</v>
      </c>
      <c r="J16" s="13">
        <f>888.6</f>
        <v>888.6</v>
      </c>
      <c r="K16" s="12">
        <f>9446.22+17842.86</f>
        <v>27289.08</v>
      </c>
      <c r="L16" s="13">
        <f>7963.32+0</f>
        <v>7963.32</v>
      </c>
      <c r="M16" s="12">
        <f>7639.02+12731.7</f>
        <v>20370.72</v>
      </c>
      <c r="N16" s="13">
        <f>3291.6+7663.54</f>
        <v>10955.14</v>
      </c>
      <c r="O16" s="12">
        <v>0</v>
      </c>
      <c r="P16" s="13">
        <v>0</v>
      </c>
      <c r="Q16" s="12">
        <f>8076.53+15614.62</f>
        <v>23691.15</v>
      </c>
      <c r="R16" s="13">
        <v>5147.5200000000004</v>
      </c>
      <c r="S16" s="12">
        <f>4667.65+10608.3</f>
        <v>15275.949999999999</v>
      </c>
      <c r="T16" s="13">
        <f>3696.84+13000</f>
        <v>16696.84</v>
      </c>
      <c r="U16" s="12">
        <v>0</v>
      </c>
      <c r="V16" s="13">
        <v>0</v>
      </c>
      <c r="W16" s="12">
        <f>6506.68+10844.46</f>
        <v>17351.14</v>
      </c>
      <c r="X16" s="13">
        <f>1792.92+7663.54</f>
        <v>9456.4599999999991</v>
      </c>
      <c r="Y16" s="12">
        <f>4043.05+14824.52</f>
        <v>18867.57</v>
      </c>
      <c r="Z16" s="13">
        <v>1970.04</v>
      </c>
      <c r="AA16" s="12">
        <f>4347.9+14203.14</f>
        <v>18551.04</v>
      </c>
      <c r="AB16" s="13">
        <v>2032.2</v>
      </c>
      <c r="AC16" s="12">
        <f>1530.144+5610.528</f>
        <v>7140.6720000000005</v>
      </c>
      <c r="AD16" s="13">
        <v>1179</v>
      </c>
      <c r="AE16" s="12">
        <f>5299.92+13249.8</f>
        <v>18549.72</v>
      </c>
      <c r="AF16" s="13">
        <f>2098.32+7663.54</f>
        <v>9761.86</v>
      </c>
      <c r="AG16" s="12">
        <f>2997.02+10189.88</f>
        <v>13186.9</v>
      </c>
      <c r="AH16" s="13">
        <v>2755.8</v>
      </c>
      <c r="AI16" s="12">
        <f>6263.57+14614.99</f>
        <v>20878.559999999998</v>
      </c>
      <c r="AJ16" s="13">
        <f>4678.44+7280.36</f>
        <v>11958.8</v>
      </c>
      <c r="AK16" s="12">
        <f>2596.24+18173.69</f>
        <v>20769.93</v>
      </c>
      <c r="AL16" s="13">
        <v>1996.32</v>
      </c>
      <c r="AM16" s="12">
        <f>9652.86+16088.1</f>
        <v>25740.959999999999</v>
      </c>
      <c r="AN16" s="13">
        <v>2702.76</v>
      </c>
      <c r="AO16" s="12">
        <f>3793.72+10538.1</f>
        <v>14331.82</v>
      </c>
      <c r="AP16" s="13">
        <f>1974.64+10000</f>
        <v>11974.64</v>
      </c>
      <c r="AQ16" s="12">
        <f>13004.15+6502.08</f>
        <v>19506.23</v>
      </c>
      <c r="AR16" s="13">
        <v>1543.48</v>
      </c>
      <c r="AS16" s="12">
        <f>2595.31+9732.42</f>
        <v>12327.73</v>
      </c>
      <c r="AT16" s="13">
        <f>926.88+2682.24</f>
        <v>3609.12</v>
      </c>
      <c r="AU16" s="12">
        <f>53558.7+8569.392</f>
        <v>62128.091999999997</v>
      </c>
      <c r="AV16" s="13">
        <v>13000</v>
      </c>
      <c r="AW16" s="12">
        <f>2795.03+7910.46</f>
        <v>10705.49</v>
      </c>
      <c r="AX16" s="13">
        <f>2791.8+7663.54</f>
        <v>10455.34</v>
      </c>
      <c r="AY16" s="12">
        <f>2736.07+7600.2</f>
        <v>10336.27</v>
      </c>
      <c r="AZ16" s="13">
        <f>927.6+2682.24</f>
        <v>3609.8399999999997</v>
      </c>
      <c r="BA16" s="12">
        <f>1934.11+8058.78</f>
        <v>9992.89</v>
      </c>
      <c r="BB16" s="13">
        <f>965.16+12682.24</f>
        <v>13647.4</v>
      </c>
      <c r="BC16" s="12">
        <f>268.99+322.79</f>
        <v>591.78</v>
      </c>
      <c r="BD16" s="16">
        <f t="shared" si="0"/>
        <v>7101.36</v>
      </c>
      <c r="BE16" s="13">
        <v>1787.64</v>
      </c>
      <c r="BF16" s="12">
        <f>2218.9+10887.86</f>
        <v>13106.76</v>
      </c>
      <c r="BG16" s="13">
        <f>2189.16+7663.54</f>
        <v>9852.7000000000007</v>
      </c>
      <c r="BH16" s="12">
        <f>4809.33+18034.99</f>
        <v>22844.32</v>
      </c>
      <c r="BI16" s="13">
        <v>3707.4</v>
      </c>
      <c r="BJ16" s="12">
        <f>6215.7+17265.84</f>
        <v>23481.54</v>
      </c>
      <c r="BK16" s="13">
        <f>5098.08+7663.54</f>
        <v>12761.619999999999</v>
      </c>
      <c r="BL16" s="12">
        <f>6780.48+19663.39</f>
        <v>26443.87</v>
      </c>
      <c r="BM16" s="13">
        <f>5103.96+17663.54</f>
        <v>22767.5</v>
      </c>
      <c r="BN16" s="12">
        <f>6690.18+13380.36</f>
        <v>20070.54</v>
      </c>
      <c r="BO16" s="13">
        <f>3218.04+2000</f>
        <v>5218.04</v>
      </c>
      <c r="BP16" s="12">
        <f>7686.36+17469</f>
        <v>25155.360000000001</v>
      </c>
      <c r="BQ16" s="13">
        <f>6245.52+28091.5</f>
        <v>34337.020000000004</v>
      </c>
      <c r="BR16" s="12">
        <f>6285.22+17458.95</f>
        <v>23744.170000000002</v>
      </c>
      <c r="BS16" s="13">
        <f>5853+10000</f>
        <v>15853</v>
      </c>
      <c r="BT16" s="12">
        <f>4211.76+13838.64</f>
        <v>18050.400000000001</v>
      </c>
      <c r="BU16" s="13">
        <f>3263.88+8236.25</f>
        <v>11500.130000000001</v>
      </c>
    </row>
    <row r="17" spans="1:73" ht="75.75" thickBot="1" x14ac:dyDescent="0.3">
      <c r="A17" s="2" t="s">
        <v>10</v>
      </c>
      <c r="B17" s="3">
        <v>14</v>
      </c>
      <c r="C17" s="12">
        <v>107941.69</v>
      </c>
      <c r="D17" s="13">
        <v>106983.79</v>
      </c>
      <c r="E17" s="12">
        <v>104801.238</v>
      </c>
      <c r="F17" s="13">
        <v>92268.23</v>
      </c>
      <c r="G17" s="12">
        <v>119332.42</v>
      </c>
      <c r="H17" s="12">
        <v>122263.73</v>
      </c>
      <c r="I17" s="12">
        <f>26745.62+176206.46</f>
        <v>202952.08</v>
      </c>
      <c r="J17" s="13">
        <v>131923.29</v>
      </c>
      <c r="K17" s="12">
        <v>186825.24</v>
      </c>
      <c r="L17" s="13">
        <v>169904.03</v>
      </c>
      <c r="M17" s="12">
        <v>74862.399999999994</v>
      </c>
      <c r="N17" s="13">
        <v>74191.27</v>
      </c>
      <c r="O17" s="12">
        <v>26116.5</v>
      </c>
      <c r="P17" s="13">
        <v>26562.03</v>
      </c>
      <c r="Q17" s="12">
        <v>69996.58</v>
      </c>
      <c r="R17" s="13">
        <v>55047.37</v>
      </c>
      <c r="S17" s="12">
        <v>84017.74</v>
      </c>
      <c r="T17" s="13">
        <v>75942.899999999994</v>
      </c>
      <c r="U17" s="12">
        <v>67284</v>
      </c>
      <c r="V17" s="13">
        <v>124718.47</v>
      </c>
      <c r="W17" s="12">
        <v>62464.09</v>
      </c>
      <c r="X17" s="13">
        <v>41257.449999999997</v>
      </c>
      <c r="Y17" s="12">
        <v>88947.14</v>
      </c>
      <c r="Z17" s="13">
        <v>82029.179999999993</v>
      </c>
      <c r="AA17" s="12">
        <v>92755.199999999997</v>
      </c>
      <c r="AB17" s="13">
        <v>91043.03</v>
      </c>
      <c r="AC17" s="12">
        <v>70641.649999999994</v>
      </c>
      <c r="AD17" s="13">
        <v>69084.3</v>
      </c>
      <c r="AE17" s="12">
        <v>69428.95</v>
      </c>
      <c r="AF17" s="13">
        <v>22460.7</v>
      </c>
      <c r="AG17" s="12">
        <v>64136.31</v>
      </c>
      <c r="AH17" s="13">
        <v>62920.82</v>
      </c>
      <c r="AI17" s="12">
        <v>92387.63</v>
      </c>
      <c r="AJ17" s="13">
        <v>86575.67</v>
      </c>
      <c r="AK17" s="12">
        <v>100214.9412</v>
      </c>
      <c r="AL17" s="13">
        <v>83708.31</v>
      </c>
      <c r="AM17" s="12">
        <v>134496.516</v>
      </c>
      <c r="AN17" s="13">
        <v>108234.6</v>
      </c>
      <c r="AO17" s="12">
        <v>68286.89</v>
      </c>
      <c r="AP17" s="13">
        <v>65396.62</v>
      </c>
      <c r="AQ17" s="12">
        <v>113786.32</v>
      </c>
      <c r="AR17" s="13">
        <v>60530.46</v>
      </c>
      <c r="AS17" s="12">
        <v>64233.97</v>
      </c>
      <c r="AT17" s="13">
        <v>57517.75</v>
      </c>
      <c r="AU17" s="12">
        <v>266722.33</v>
      </c>
      <c r="AV17" s="13">
        <v>78615.73</v>
      </c>
      <c r="AW17" s="12">
        <v>73303.596000000005</v>
      </c>
      <c r="AX17" s="13">
        <v>69705.350000000006</v>
      </c>
      <c r="AY17" s="12">
        <v>32224.85</v>
      </c>
      <c r="AZ17" s="13">
        <v>26622.29</v>
      </c>
      <c r="BA17" s="12">
        <v>68016.100000000006</v>
      </c>
      <c r="BB17" s="13">
        <v>61514.36</v>
      </c>
      <c r="BC17" s="12">
        <f>5352.9+2178.82+833.87</f>
        <v>8365.59</v>
      </c>
      <c r="BD17" s="16">
        <f t="shared" si="0"/>
        <v>100387.08</v>
      </c>
      <c r="BE17" s="13">
        <v>96656.22</v>
      </c>
      <c r="BF17" s="12">
        <v>83876.831999999995</v>
      </c>
      <c r="BG17" s="13">
        <v>80855.13</v>
      </c>
      <c r="BH17" s="12">
        <v>78151.631999999998</v>
      </c>
      <c r="BI17" s="13">
        <v>85856.4</v>
      </c>
      <c r="BJ17" s="12">
        <v>82945.100000000006</v>
      </c>
      <c r="BK17" s="13">
        <v>71519.75</v>
      </c>
      <c r="BL17" s="12">
        <v>208228.54</v>
      </c>
      <c r="BM17" s="13">
        <v>163982.84</v>
      </c>
      <c r="BN17" s="12">
        <v>76024.800000000003</v>
      </c>
      <c r="BO17" s="13">
        <v>66658.789999999994</v>
      </c>
      <c r="BP17" s="12">
        <v>95031.360000000001</v>
      </c>
      <c r="BQ17" s="13">
        <v>96745.14</v>
      </c>
      <c r="BR17" s="12">
        <v>133386.38</v>
      </c>
      <c r="BS17" s="13">
        <v>147909.43</v>
      </c>
      <c r="BT17" s="12">
        <v>91455.360000000001</v>
      </c>
      <c r="BU17" s="13">
        <v>76223.429999999993</v>
      </c>
    </row>
    <row r="18" spans="1:73" ht="15.75" thickBot="1" x14ac:dyDescent="0.3">
      <c r="A18" s="1" t="s">
        <v>15</v>
      </c>
      <c r="B18" s="1"/>
      <c r="C18" s="17">
        <f t="shared" ref="C18" si="1">SUM(C4:C17)</f>
        <v>745871.97</v>
      </c>
      <c r="D18" s="17">
        <f t="shared" ref="D18" si="2">SUM(D4:D17)</f>
        <v>470163.04</v>
      </c>
      <c r="E18" s="17">
        <f t="shared" ref="E18:P18" si="3">SUM(E4:E17)</f>
        <v>1052094.5259999998</v>
      </c>
      <c r="F18" s="17">
        <f t="shared" si="3"/>
        <v>1056010.49</v>
      </c>
      <c r="G18" s="17">
        <f t="shared" si="3"/>
        <v>1115012.28</v>
      </c>
      <c r="H18" s="17">
        <f t="shared" si="3"/>
        <v>725699.52</v>
      </c>
      <c r="I18" s="17">
        <f t="shared" si="3"/>
        <v>2361481.25</v>
      </c>
      <c r="J18" s="17">
        <f t="shared" si="3"/>
        <v>1775284.5899999999</v>
      </c>
      <c r="K18" s="17">
        <f t="shared" si="3"/>
        <v>1742302.8000000003</v>
      </c>
      <c r="L18" s="17">
        <f t="shared" si="3"/>
        <v>1852597.6800000002</v>
      </c>
      <c r="M18" s="17">
        <f t="shared" si="3"/>
        <v>763902.01000000013</v>
      </c>
      <c r="N18" s="17">
        <f t="shared" si="3"/>
        <v>518491.93</v>
      </c>
      <c r="O18" s="17">
        <f t="shared" si="3"/>
        <v>412413.60000000003</v>
      </c>
      <c r="P18" s="17">
        <f t="shared" si="3"/>
        <v>342216.5</v>
      </c>
      <c r="Q18" s="17">
        <f>SUM(Q2:Q17)</f>
        <v>785038.52999999991</v>
      </c>
      <c r="R18" s="17">
        <f>SUM(R4:R17)</f>
        <v>518895.21000000008</v>
      </c>
      <c r="S18" s="17">
        <f>SUM(S4:S17)</f>
        <v>522777.02</v>
      </c>
      <c r="T18" s="17">
        <f>SUM(T4:T17)</f>
        <v>407874.06000000006</v>
      </c>
      <c r="U18" s="17">
        <f>SUM(U2:U17)</f>
        <v>1794240.0000000002</v>
      </c>
      <c r="V18" s="17">
        <f>SUM(V4:V17)</f>
        <v>2410589.77</v>
      </c>
      <c r="W18" s="17">
        <f>SUM(W2:W17)</f>
        <v>641992.04799999995</v>
      </c>
      <c r="X18" s="17">
        <f t="shared" ref="X18:AJ18" si="4">SUM(X4:X17)</f>
        <v>562647.47</v>
      </c>
      <c r="Y18" s="17">
        <f t="shared" si="4"/>
        <v>1010864.07</v>
      </c>
      <c r="Z18" s="17">
        <f t="shared" si="4"/>
        <v>964244.36999999988</v>
      </c>
      <c r="AA18" s="17">
        <f t="shared" si="4"/>
        <v>560299.37999999989</v>
      </c>
      <c r="AB18" s="17">
        <f t="shared" si="4"/>
        <v>349550.37</v>
      </c>
      <c r="AC18" s="17">
        <f t="shared" si="4"/>
        <v>386361.37000000011</v>
      </c>
      <c r="AD18" s="17">
        <f t="shared" si="4"/>
        <v>306571.95</v>
      </c>
      <c r="AE18" s="17">
        <f t="shared" si="4"/>
        <v>688989.6</v>
      </c>
      <c r="AF18" s="17">
        <f t="shared" si="4"/>
        <v>764125.92999999993</v>
      </c>
      <c r="AG18" s="17">
        <f t="shared" si="4"/>
        <v>299702.39</v>
      </c>
      <c r="AH18" s="17">
        <f t="shared" si="4"/>
        <v>327475.77</v>
      </c>
      <c r="AI18" s="17">
        <f t="shared" si="4"/>
        <v>678553.21000000008</v>
      </c>
      <c r="AJ18" s="17">
        <f t="shared" si="4"/>
        <v>483810.98</v>
      </c>
      <c r="AK18" s="17">
        <f>SUM(AK2:AK17)</f>
        <v>695689.01119999995</v>
      </c>
      <c r="AL18" s="18">
        <f>SUM(AL4:AL17)</f>
        <v>567532.02</v>
      </c>
      <c r="AM18" s="18">
        <f>SUM(AM4:AM17)</f>
        <v>1061814.5999999999</v>
      </c>
      <c r="AN18" s="17">
        <f>SUM(AN4:AN17)</f>
        <v>835657.87999999989</v>
      </c>
      <c r="AO18" s="17">
        <f>SUM(AO2:AO17)</f>
        <v>705209.65799999994</v>
      </c>
      <c r="AP18" s="18">
        <f>SUM(AP2:AP17)</f>
        <v>456871.43</v>
      </c>
      <c r="AQ18" s="17">
        <f>SUM(AQ4:AQ17)</f>
        <v>936298.83999999985</v>
      </c>
      <c r="AR18" s="17">
        <f>SUM(AR4:AR17)</f>
        <v>290072.99000000005</v>
      </c>
      <c r="AS18" s="17">
        <f>SUM(AS2:AS17)</f>
        <v>627092.26299999992</v>
      </c>
      <c r="AT18" s="17">
        <f>SUM(AT4:AT17)</f>
        <v>393929.95</v>
      </c>
      <c r="AU18" s="17">
        <f>SUM(AU4:AU17)</f>
        <v>1435373.162</v>
      </c>
      <c r="AV18" s="17">
        <f>SUM(AV4:AV17)</f>
        <v>1076010.0399999998</v>
      </c>
      <c r="AW18" s="17">
        <f>SUM(AW2:AW17)</f>
        <v>617226.826</v>
      </c>
      <c r="AX18" s="17">
        <f t="shared" ref="AX18:BC18" si="5">SUM(AX4:AX17)</f>
        <v>628162.52</v>
      </c>
      <c r="AY18" s="17">
        <f t="shared" si="5"/>
        <v>587647.47200000007</v>
      </c>
      <c r="AZ18" s="17">
        <f t="shared" si="5"/>
        <v>333819.12999999995</v>
      </c>
      <c r="BA18" s="17">
        <f t="shared" si="5"/>
        <v>597961.48999999987</v>
      </c>
      <c r="BB18" s="17">
        <f t="shared" si="5"/>
        <v>485131.17000000004</v>
      </c>
      <c r="BC18" s="17">
        <f t="shared" si="5"/>
        <v>32225.03</v>
      </c>
      <c r="BD18" s="16">
        <f t="shared" si="0"/>
        <v>386700.36</v>
      </c>
      <c r="BE18" s="17">
        <f t="shared" ref="BE18:BU18" si="6">SUM(BE4:BE17)</f>
        <v>366752.27</v>
      </c>
      <c r="BF18" s="17">
        <f t="shared" si="6"/>
        <v>540159.74199999997</v>
      </c>
      <c r="BG18" s="17">
        <f t="shared" si="6"/>
        <v>525950.32000000007</v>
      </c>
      <c r="BH18" s="17">
        <f t="shared" si="6"/>
        <v>1162054.6720000003</v>
      </c>
      <c r="BI18" s="17">
        <f t="shared" si="6"/>
        <v>1166235.6199999999</v>
      </c>
      <c r="BJ18" s="17">
        <f t="shared" si="6"/>
        <v>925107.18000000017</v>
      </c>
      <c r="BK18" s="17">
        <f t="shared" si="6"/>
        <v>920267.16999999993</v>
      </c>
      <c r="BL18" s="17">
        <f t="shared" si="6"/>
        <v>1475499.85</v>
      </c>
      <c r="BM18" s="17">
        <f t="shared" si="6"/>
        <v>1240310.6399999999</v>
      </c>
      <c r="BN18" s="17">
        <f t="shared" si="6"/>
        <v>1021772.3</v>
      </c>
      <c r="BO18" s="17">
        <f t="shared" si="6"/>
        <v>690107.3</v>
      </c>
      <c r="BP18" s="17">
        <f t="shared" si="6"/>
        <v>964288.79999999981</v>
      </c>
      <c r="BQ18" s="17">
        <f t="shared" si="6"/>
        <v>706047.19000000006</v>
      </c>
      <c r="BR18" s="17">
        <f t="shared" si="6"/>
        <v>919737.4800000001</v>
      </c>
      <c r="BS18" s="17">
        <f t="shared" si="6"/>
        <v>690835.36999999988</v>
      </c>
      <c r="BT18" s="17">
        <f t="shared" si="6"/>
        <v>806251.19999999984</v>
      </c>
      <c r="BU18" s="17">
        <f t="shared" si="6"/>
        <v>782609.69</v>
      </c>
    </row>
    <row r="19" spans="1:73" x14ac:dyDescent="0.25">
      <c r="A19" s="1"/>
      <c r="B19" s="1"/>
      <c r="C19" s="11">
        <v>745871.98</v>
      </c>
      <c r="D19" s="11">
        <v>470163.04</v>
      </c>
      <c r="I19" s="11">
        <v>2361481.27</v>
      </c>
      <c r="J19" s="11">
        <v>1775284.59</v>
      </c>
      <c r="K19" s="11">
        <v>1742302.8</v>
      </c>
      <c r="L19" s="11">
        <v>1852597.68</v>
      </c>
      <c r="M19" s="11">
        <v>763902</v>
      </c>
      <c r="N19" s="11">
        <f>422340.98+96150.95</f>
        <v>518491.93</v>
      </c>
      <c r="O19" s="11">
        <v>412413.6</v>
      </c>
      <c r="P19" s="11">
        <v>342216.5</v>
      </c>
      <c r="Q19" s="11">
        <v>785038.52</v>
      </c>
      <c r="R19" s="11">
        <v>518895.21</v>
      </c>
      <c r="S19" s="11">
        <v>522777.02</v>
      </c>
      <c r="T19" s="11">
        <v>407874.06</v>
      </c>
      <c r="U19" s="11">
        <v>1794240</v>
      </c>
      <c r="V19" s="11">
        <v>2410589.77</v>
      </c>
      <c r="W19" s="11">
        <v>641992.03</v>
      </c>
      <c r="X19" s="11">
        <v>562647.67000000004</v>
      </c>
      <c r="Y19" s="11">
        <v>1010864.08</v>
      </c>
      <c r="Z19" s="11">
        <v>964244.37</v>
      </c>
      <c r="AA19" s="11">
        <v>560299.38</v>
      </c>
      <c r="AB19" s="11">
        <v>349550.37</v>
      </c>
      <c r="AC19" s="11">
        <v>386361.36</v>
      </c>
      <c r="AD19" s="11">
        <v>306571.95</v>
      </c>
      <c r="AE19" s="11">
        <v>688989.6</v>
      </c>
      <c r="AF19" s="11">
        <v>764125.93</v>
      </c>
      <c r="AG19" s="11">
        <v>299702.40000000002</v>
      </c>
      <c r="AH19" s="11">
        <v>327475.77</v>
      </c>
      <c r="AI19" s="11">
        <v>678553.2</v>
      </c>
      <c r="AJ19" s="11">
        <v>483810.98</v>
      </c>
      <c r="AK19" s="11">
        <v>695689.01</v>
      </c>
      <c r="AL19" s="11">
        <v>560372.02</v>
      </c>
      <c r="AM19" s="19">
        <v>1002610.392</v>
      </c>
      <c r="AN19" s="11">
        <v>835657.88</v>
      </c>
      <c r="AO19" s="11">
        <v>705209.65</v>
      </c>
      <c r="AP19" s="19">
        <v>448531.23</v>
      </c>
      <c r="AQ19" s="11">
        <v>936298.83</v>
      </c>
      <c r="AR19" s="11">
        <v>290072.99</v>
      </c>
      <c r="AS19" s="11">
        <v>627092.26</v>
      </c>
      <c r="AT19" s="11">
        <v>393929.95</v>
      </c>
      <c r="AU19" s="11">
        <v>1435373.16</v>
      </c>
      <c r="AV19" s="11">
        <v>1076010.04</v>
      </c>
      <c r="AW19" s="11">
        <v>617226.82999999996</v>
      </c>
      <c r="AX19" s="11">
        <v>628162.52</v>
      </c>
      <c r="AY19" s="11">
        <v>587647.46</v>
      </c>
      <c r="AZ19" s="11">
        <v>333819.13</v>
      </c>
      <c r="BA19" s="11">
        <v>597961.48</v>
      </c>
      <c r="BB19" s="11">
        <v>485131.17</v>
      </c>
      <c r="BC19" s="11">
        <v>32225</v>
      </c>
      <c r="BD19" s="16">
        <f t="shared" si="0"/>
        <v>386700</v>
      </c>
      <c r="BE19" s="11">
        <v>366749.27</v>
      </c>
      <c r="BF19" s="11">
        <v>540158.73</v>
      </c>
      <c r="BG19" s="11">
        <v>525950.31999999995</v>
      </c>
      <c r="BH19" s="11">
        <v>1162054.6499999999</v>
      </c>
      <c r="BI19" s="11">
        <v>1166235.6200000001</v>
      </c>
      <c r="BJ19" s="11">
        <v>925107.19</v>
      </c>
      <c r="BK19" s="11">
        <v>920267.17</v>
      </c>
      <c r="BL19" s="11">
        <v>1475500.25</v>
      </c>
      <c r="BM19" s="11">
        <v>1240310.6399999999</v>
      </c>
      <c r="BN19" s="11">
        <v>1021773.31</v>
      </c>
      <c r="BO19" s="11">
        <v>690107.3</v>
      </c>
      <c r="BP19" s="11">
        <v>964288.8</v>
      </c>
      <c r="BQ19" s="11">
        <v>706047.19</v>
      </c>
      <c r="BR19" s="11">
        <v>919737.49</v>
      </c>
      <c r="BS19" s="11">
        <v>690835.37</v>
      </c>
      <c r="BT19" s="11">
        <v>806251.2</v>
      </c>
      <c r="BU19" s="11">
        <v>782609.69</v>
      </c>
    </row>
    <row r="20" spans="1:73" x14ac:dyDescent="0.25">
      <c r="A20" s="1"/>
      <c r="B20" s="1"/>
      <c r="C20" s="11">
        <f t="shared" ref="C20:D20" si="7">C19-C18</f>
        <v>1.0000000009313226E-2</v>
      </c>
      <c r="D20" s="11">
        <f t="shared" si="7"/>
        <v>0</v>
      </c>
      <c r="I20" s="11">
        <f>I19-I18</f>
        <v>2.0000000018626451E-2</v>
      </c>
      <c r="J20" s="11">
        <f>J19-J18</f>
        <v>0</v>
      </c>
      <c r="K20" s="11">
        <f>K19-K18</f>
        <v>0</v>
      </c>
      <c r="L20" s="11">
        <f t="shared" ref="L20:N20" si="8">L19-L18</f>
        <v>0</v>
      </c>
      <c r="M20" s="11">
        <f t="shared" si="8"/>
        <v>-1.0000000125728548E-2</v>
      </c>
      <c r="N20" s="11">
        <f t="shared" si="8"/>
        <v>0</v>
      </c>
      <c r="O20" s="11">
        <f t="shared" ref="O20:T20" si="9">O19-O18</f>
        <v>0</v>
      </c>
      <c r="P20" s="11">
        <f t="shared" si="9"/>
        <v>0</v>
      </c>
      <c r="Q20" s="11">
        <f t="shared" si="9"/>
        <v>-9.9999998928979039E-3</v>
      </c>
      <c r="R20" s="11">
        <f t="shared" si="9"/>
        <v>0</v>
      </c>
      <c r="S20" s="11">
        <f t="shared" si="9"/>
        <v>0</v>
      </c>
      <c r="T20" s="11">
        <f t="shared" si="9"/>
        <v>0</v>
      </c>
      <c r="U20" s="11">
        <f>U19-U18</f>
        <v>0</v>
      </c>
      <c r="V20" s="11">
        <f t="shared" ref="V20" si="10">V19-V18</f>
        <v>0</v>
      </c>
      <c r="W20" s="11">
        <f>W19-W18</f>
        <v>-1.7999999923631549E-2</v>
      </c>
      <c r="X20" s="11">
        <f t="shared" ref="X20:BU20" si="11">X19-X18</f>
        <v>0.20000000006984919</v>
      </c>
      <c r="Y20" s="11">
        <f>Y19-Y18</f>
        <v>1.0000000009313226E-2</v>
      </c>
      <c r="Z20" s="11">
        <f t="shared" si="11"/>
        <v>0</v>
      </c>
      <c r="AA20" s="11">
        <f t="shared" si="11"/>
        <v>0</v>
      </c>
      <c r="AB20" s="11">
        <f t="shared" si="11"/>
        <v>0</v>
      </c>
      <c r="AC20" s="11">
        <f t="shared" si="11"/>
        <v>-1.0000000125728548E-2</v>
      </c>
      <c r="AD20" s="11">
        <f t="shared" si="11"/>
        <v>0</v>
      </c>
      <c r="AE20" s="11">
        <f t="shared" si="11"/>
        <v>0</v>
      </c>
      <c r="AF20" s="11">
        <f t="shared" si="11"/>
        <v>0</v>
      </c>
      <c r="AG20" s="11">
        <f t="shared" si="11"/>
        <v>1.0000000009313226E-2</v>
      </c>
      <c r="AH20" s="11">
        <f t="shared" si="11"/>
        <v>0</v>
      </c>
      <c r="AI20" s="11">
        <f t="shared" si="11"/>
        <v>-1.0000000125728548E-2</v>
      </c>
      <c r="AJ20" s="11">
        <f t="shared" si="11"/>
        <v>0</v>
      </c>
      <c r="AK20" s="11">
        <f t="shared" si="11"/>
        <v>-1.1999999405816197E-3</v>
      </c>
      <c r="AL20" s="11">
        <f t="shared" si="11"/>
        <v>-7160</v>
      </c>
      <c r="AM20" s="11">
        <f t="shared" si="11"/>
        <v>-59204.207999999868</v>
      </c>
      <c r="AN20" s="11">
        <f t="shared" si="11"/>
        <v>0</v>
      </c>
      <c r="AO20" s="11">
        <f t="shared" si="11"/>
        <v>-7.9999999143183231E-3</v>
      </c>
      <c r="AP20" s="11">
        <f t="shared" si="11"/>
        <v>-8340.2000000000116</v>
      </c>
      <c r="AQ20" s="11">
        <f t="shared" si="11"/>
        <v>-9.9999998928979039E-3</v>
      </c>
      <c r="AR20" s="11">
        <f t="shared" si="11"/>
        <v>0</v>
      </c>
      <c r="AS20" s="11">
        <f t="shared" si="11"/>
        <v>-2.9999999096617103E-3</v>
      </c>
      <c r="AT20" s="11">
        <f t="shared" si="11"/>
        <v>0</v>
      </c>
      <c r="AU20" s="11">
        <f t="shared" si="11"/>
        <v>-2.0000000949949026E-3</v>
      </c>
      <c r="AV20" s="11">
        <f t="shared" si="11"/>
        <v>0</v>
      </c>
      <c r="AW20" s="11">
        <f t="shared" si="11"/>
        <v>3.9999999571591616E-3</v>
      </c>
      <c r="AX20" s="11">
        <f t="shared" si="11"/>
        <v>0</v>
      </c>
      <c r="AY20" s="11">
        <f t="shared" si="11"/>
        <v>-1.2000000104308128E-2</v>
      </c>
      <c r="AZ20" s="11">
        <f t="shared" si="11"/>
        <v>0</v>
      </c>
      <c r="BA20" s="11">
        <f t="shared" si="11"/>
        <v>-9.9999998928979039E-3</v>
      </c>
      <c r="BB20" s="11">
        <f t="shared" si="11"/>
        <v>0</v>
      </c>
      <c r="BC20" s="11">
        <f t="shared" si="11"/>
        <v>-2.9999999998835847E-2</v>
      </c>
      <c r="BE20" s="11">
        <f t="shared" si="11"/>
        <v>-3</v>
      </c>
      <c r="BF20" s="11">
        <f t="shared" si="11"/>
        <v>-1.0119999999878928</v>
      </c>
      <c r="BG20" s="11">
        <f t="shared" si="11"/>
        <v>0</v>
      </c>
      <c r="BH20" s="11">
        <f t="shared" si="11"/>
        <v>-2.2000000346451998E-2</v>
      </c>
      <c r="BI20" s="11">
        <f t="shared" si="11"/>
        <v>0</v>
      </c>
      <c r="BJ20" s="11">
        <f t="shared" si="11"/>
        <v>9.9999997764825821E-3</v>
      </c>
      <c r="BK20" s="11">
        <f t="shared" si="11"/>
        <v>0</v>
      </c>
      <c r="BL20" s="11">
        <f t="shared" si="11"/>
        <v>0.39999999990686774</v>
      </c>
      <c r="BM20" s="11">
        <f t="shared" si="11"/>
        <v>0</v>
      </c>
      <c r="BN20" s="11">
        <f t="shared" si="11"/>
        <v>1.0100000000093132</v>
      </c>
      <c r="BO20" s="11">
        <f t="shared" si="11"/>
        <v>0</v>
      </c>
      <c r="BP20" s="11">
        <f t="shared" si="11"/>
        <v>0</v>
      </c>
      <c r="BQ20" s="11">
        <f t="shared" si="11"/>
        <v>0</v>
      </c>
      <c r="BR20" s="11">
        <f t="shared" si="11"/>
        <v>9.9999998928979039E-3</v>
      </c>
      <c r="BS20" s="11">
        <f t="shared" si="11"/>
        <v>0</v>
      </c>
      <c r="BT20" s="11">
        <f t="shared" si="11"/>
        <v>0</v>
      </c>
      <c r="BU20" s="11">
        <f t="shared" si="11"/>
        <v>0</v>
      </c>
    </row>
    <row r="21" spans="1:73" x14ac:dyDescent="0.25">
      <c r="A21" s="1"/>
      <c r="B21" s="1"/>
    </row>
    <row r="22" spans="1:73" x14ac:dyDescent="0.25">
      <c r="A22" s="1" t="s">
        <v>17</v>
      </c>
      <c r="B22" s="1"/>
      <c r="C22" s="20">
        <v>5776.1</v>
      </c>
      <c r="D22" s="21"/>
      <c r="E22" s="22">
        <v>8134.1</v>
      </c>
      <c r="F22" s="23"/>
      <c r="G22" s="22">
        <v>8417.7000000000007</v>
      </c>
      <c r="H22" s="23"/>
      <c r="I22" s="20"/>
      <c r="J22" s="21">
        <v>14632.4</v>
      </c>
      <c r="K22" s="20"/>
      <c r="L22" s="21">
        <v>11857</v>
      </c>
      <c r="M22" s="20">
        <v>5182.7</v>
      </c>
      <c r="N22" s="21"/>
      <c r="O22" s="20"/>
      <c r="P22" s="21"/>
      <c r="Q22" s="20">
        <v>5726.8</v>
      </c>
      <c r="R22" s="21"/>
      <c r="S22" s="20">
        <v>4428.1000000000004</v>
      </c>
      <c r="T22" s="21"/>
      <c r="U22" s="20">
        <v>9663.44</v>
      </c>
      <c r="V22" s="21"/>
      <c r="W22" s="20">
        <v>5024.3100000000004</v>
      </c>
      <c r="X22" s="21"/>
      <c r="Y22" s="20"/>
      <c r="Z22" s="21"/>
      <c r="AA22" s="20">
        <v>4036</v>
      </c>
      <c r="AB22" s="21"/>
      <c r="AC22" s="20">
        <v>3011.34</v>
      </c>
      <c r="AD22" s="21"/>
      <c r="AE22" s="20">
        <v>5460.6</v>
      </c>
      <c r="AF22" s="21"/>
      <c r="AG22" s="20">
        <v>4143.2</v>
      </c>
      <c r="AH22" s="21"/>
      <c r="AI22" s="20">
        <v>5388.2</v>
      </c>
      <c r="AJ22" s="21"/>
      <c r="AK22" s="20">
        <v>6439.15</v>
      </c>
      <c r="AL22" s="21"/>
      <c r="AM22" s="20">
        <v>6610.9</v>
      </c>
      <c r="AN22" s="21"/>
      <c r="AO22" s="20">
        <v>5109.3</v>
      </c>
      <c r="AP22" s="21"/>
      <c r="AQ22" s="21">
        <v>5631.46</v>
      </c>
      <c r="AR22" s="21"/>
      <c r="AS22" s="20">
        <v>3614.7</v>
      </c>
      <c r="AT22" s="21"/>
      <c r="AU22" s="20">
        <v>10288.6</v>
      </c>
      <c r="AV22" s="21"/>
      <c r="AW22" s="20">
        <v>5453.7</v>
      </c>
      <c r="AX22" s="21"/>
      <c r="AY22" s="20">
        <v>3607.56</v>
      </c>
      <c r="AZ22" s="21"/>
      <c r="BA22" s="20">
        <v>3706.66</v>
      </c>
      <c r="BB22" s="21"/>
      <c r="BC22" s="20"/>
      <c r="BD22" s="24">
        <v>4103.3999999999996</v>
      </c>
      <c r="BE22" s="21"/>
      <c r="BF22" s="20">
        <v>6474.6</v>
      </c>
      <c r="BG22" s="21"/>
      <c r="BH22" s="20">
        <v>6784.41</v>
      </c>
      <c r="BI22" s="21"/>
      <c r="BJ22" s="20">
        <v>7643.96</v>
      </c>
      <c r="BK22" s="21"/>
      <c r="BL22" s="20">
        <v>8318.36</v>
      </c>
      <c r="BM22" s="21"/>
      <c r="BN22" s="20">
        <v>7083</v>
      </c>
      <c r="BO22" s="21"/>
      <c r="BP22" s="20">
        <v>9546.7999999999993</v>
      </c>
      <c r="BQ22" s="21"/>
      <c r="BR22" s="20">
        <v>9568.5</v>
      </c>
      <c r="BS22" s="21"/>
      <c r="BT22" s="20">
        <v>6474.6</v>
      </c>
      <c r="BU22" s="21"/>
    </row>
    <row r="23" spans="1:73" ht="15.75" thickBot="1" x14ac:dyDescent="0.3">
      <c r="A23" s="1" t="s">
        <v>18</v>
      </c>
      <c r="B23" s="1"/>
      <c r="C23" s="25">
        <v>4263.1000000000004</v>
      </c>
      <c r="D23" s="26"/>
      <c r="E23" s="25">
        <v>6541.9</v>
      </c>
      <c r="F23" s="26"/>
      <c r="G23" s="25">
        <v>6213.43</v>
      </c>
      <c r="H23" s="26"/>
      <c r="I23" s="25"/>
      <c r="J23" s="26">
        <v>13110.6</v>
      </c>
      <c r="K23" s="25"/>
      <c r="L23" s="26">
        <v>8746.5</v>
      </c>
      <c r="M23" s="25">
        <v>4243.8999999999996</v>
      </c>
      <c r="N23" s="26"/>
      <c r="O23" s="25"/>
      <c r="P23" s="26"/>
      <c r="Q23" s="25">
        <v>4486.96</v>
      </c>
      <c r="R23" s="26"/>
      <c r="S23" s="25">
        <v>3536.1</v>
      </c>
      <c r="T23" s="26"/>
      <c r="U23" s="25">
        <v>7476</v>
      </c>
      <c r="V23" s="26"/>
      <c r="W23" s="25">
        <v>3614.82</v>
      </c>
      <c r="X23" s="26"/>
      <c r="Y23" s="25"/>
      <c r="Z23" s="26"/>
      <c r="AA23" s="25">
        <v>2415.5</v>
      </c>
      <c r="AB23" s="26"/>
      <c r="AC23" s="25">
        <v>2125.1999999999998</v>
      </c>
      <c r="AD23" s="26"/>
      <c r="AE23" s="25">
        <v>4416.6000000000004</v>
      </c>
      <c r="AF23" s="26"/>
      <c r="AG23" s="25">
        <v>2497.52</v>
      </c>
      <c r="AH23" s="26"/>
      <c r="AI23" s="25">
        <v>4349.7</v>
      </c>
      <c r="AJ23" s="26"/>
      <c r="AK23" s="25">
        <v>4327.07</v>
      </c>
      <c r="AL23" s="26"/>
      <c r="AM23" s="25">
        <v>5362.7</v>
      </c>
      <c r="AN23" s="26"/>
      <c r="AO23" s="25">
        <v>3512.7</v>
      </c>
      <c r="AP23" s="26"/>
      <c r="AQ23" s="26">
        <v>4516.33</v>
      </c>
      <c r="AR23" s="26"/>
      <c r="AS23" s="25">
        <v>2703.45</v>
      </c>
      <c r="AT23" s="26"/>
      <c r="AU23" s="25">
        <v>8926.4500000000007</v>
      </c>
      <c r="AV23" s="26"/>
      <c r="AW23" s="25">
        <v>4394.7</v>
      </c>
      <c r="AX23" s="26"/>
      <c r="AY23" s="25">
        <v>2533.4</v>
      </c>
      <c r="AZ23" s="26"/>
      <c r="BA23" s="25">
        <v>2686.26</v>
      </c>
      <c r="BB23" s="26"/>
      <c r="BC23" s="25"/>
      <c r="BD23" s="27">
        <v>2762.6</v>
      </c>
      <c r="BE23" s="26"/>
      <c r="BF23" s="25">
        <v>3360.45</v>
      </c>
      <c r="BG23" s="26"/>
      <c r="BH23" s="25">
        <v>5009.72</v>
      </c>
      <c r="BI23" s="26"/>
      <c r="BJ23" s="25">
        <v>5755.28</v>
      </c>
      <c r="BK23" s="26"/>
      <c r="BL23" s="25">
        <v>5650.4</v>
      </c>
      <c r="BM23" s="26"/>
      <c r="BN23" s="25">
        <v>5068.32</v>
      </c>
      <c r="BO23" s="26"/>
      <c r="BP23" s="25">
        <v>5823</v>
      </c>
      <c r="BQ23" s="26"/>
      <c r="BR23" s="25">
        <v>5819.65</v>
      </c>
      <c r="BS23" s="26"/>
      <c r="BT23" s="25">
        <v>5014</v>
      </c>
      <c r="BU23" s="26"/>
    </row>
    <row r="24" spans="1:73" x14ac:dyDescent="0.25">
      <c r="A24" s="1"/>
      <c r="B24" s="1"/>
    </row>
    <row r="25" spans="1:73" x14ac:dyDescent="0.25">
      <c r="A25" s="1"/>
      <c r="B25" s="1"/>
    </row>
    <row r="26" spans="1:73" x14ac:dyDescent="0.25">
      <c r="A26" s="1"/>
      <c r="B26" s="1"/>
    </row>
    <row r="27" spans="1:73" x14ac:dyDescent="0.25">
      <c r="A27" s="1"/>
      <c r="B27" s="1"/>
    </row>
    <row r="28" spans="1:73" x14ac:dyDescent="0.25">
      <c r="A28" s="1"/>
      <c r="B28" s="1"/>
      <c r="AW28" s="11" t="s">
        <v>42</v>
      </c>
    </row>
    <row r="29" spans="1:73" x14ac:dyDescent="0.25">
      <c r="A29" s="1"/>
      <c r="B29" s="1"/>
    </row>
    <row r="30" spans="1:73" x14ac:dyDescent="0.25">
      <c r="A30" s="1"/>
      <c r="B30" s="1"/>
    </row>
    <row r="31" spans="1:73" x14ac:dyDescent="0.25">
      <c r="A31" s="1"/>
      <c r="B31" s="1"/>
    </row>
    <row r="32" spans="1:73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</sheetData>
  <mergeCells count="35">
    <mergeCell ref="BP2:BQ2"/>
    <mergeCell ref="BR2:BS2"/>
    <mergeCell ref="BT2:BU2"/>
    <mergeCell ref="BF2:BG2"/>
    <mergeCell ref="BH2:BI2"/>
    <mergeCell ref="BJ2:BK2"/>
    <mergeCell ref="BL2:BM2"/>
    <mergeCell ref="BN2:BO2"/>
    <mergeCell ref="AU2:AV2"/>
    <mergeCell ref="AW2:AX2"/>
    <mergeCell ref="AY2:AZ2"/>
    <mergeCell ref="BA2:BB2"/>
    <mergeCell ref="BC2:BE2"/>
    <mergeCell ref="AK2:AL2"/>
    <mergeCell ref="AM2:AN2"/>
    <mergeCell ref="AO2:AP2"/>
    <mergeCell ref="AQ2:AR2"/>
    <mergeCell ref="AS2:AT2"/>
    <mergeCell ref="AA2:AB2"/>
    <mergeCell ref="AC2:AD2"/>
    <mergeCell ref="AE2:AF2"/>
    <mergeCell ref="AG2:AH2"/>
    <mergeCell ref="AI2:AJ2"/>
    <mergeCell ref="O2:P2"/>
    <mergeCell ref="E2:F2"/>
    <mergeCell ref="C2:D2"/>
    <mergeCell ref="G2:H2"/>
    <mergeCell ref="I2:J2"/>
    <mergeCell ref="K2:L2"/>
    <mergeCell ref="M2:N2"/>
    <mergeCell ref="U2:V2"/>
    <mergeCell ref="Q2:R2"/>
    <mergeCell ref="S2:T2"/>
    <mergeCell ref="W2:X2"/>
    <mergeCell ref="Y2:Z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A13" workbookViewId="0">
      <pane xSplit="1" topLeftCell="AK1" activePane="topRight" state="frozen"/>
      <selection pane="topRight" activeCell="AM4" sqref="AM4"/>
    </sheetView>
  </sheetViews>
  <sheetFormatPr defaultRowHeight="15" x14ac:dyDescent="0.25"/>
  <cols>
    <col min="1" max="1" width="34.7109375" customWidth="1"/>
    <col min="2" max="2" width="3.28515625" customWidth="1"/>
    <col min="3" max="36" width="9.28515625" style="11" customWidth="1"/>
    <col min="37" max="37" width="9.28515625" style="28" customWidth="1"/>
    <col min="38" max="38" width="9.28515625" style="11" customWidth="1"/>
    <col min="39" max="39" width="9.28515625" style="34" customWidth="1"/>
    <col min="40" max="42" width="9.28515625" style="11" customWidth="1"/>
  </cols>
  <sheetData>
    <row r="1" spans="1:42" ht="19.5" thickBot="1" x14ac:dyDescent="0.35">
      <c r="A1" s="10" t="s">
        <v>28</v>
      </c>
    </row>
    <row r="2" spans="1:42" x14ac:dyDescent="0.25">
      <c r="C2" s="42" t="s">
        <v>57</v>
      </c>
      <c r="D2" s="43"/>
      <c r="E2" s="42" t="s">
        <v>58</v>
      </c>
      <c r="F2" s="43"/>
      <c r="G2" s="42" t="s">
        <v>59</v>
      </c>
      <c r="H2" s="43"/>
      <c r="I2" s="42" t="s">
        <v>60</v>
      </c>
      <c r="J2" s="43"/>
      <c r="K2" s="46" t="s">
        <v>61</v>
      </c>
      <c r="L2" s="47"/>
      <c r="M2" s="42" t="s">
        <v>62</v>
      </c>
      <c r="N2" s="43"/>
      <c r="O2" s="42" t="s">
        <v>63</v>
      </c>
      <c r="P2" s="43"/>
      <c r="Q2" s="42" t="s">
        <v>64</v>
      </c>
      <c r="R2" s="43"/>
      <c r="S2" s="42" t="s">
        <v>65</v>
      </c>
      <c r="T2" s="43"/>
      <c r="U2" s="42" t="s">
        <v>66</v>
      </c>
      <c r="V2" s="43"/>
      <c r="W2" s="42" t="s">
        <v>67</v>
      </c>
      <c r="X2" s="43"/>
      <c r="Y2" s="42" t="s">
        <v>68</v>
      </c>
      <c r="Z2" s="43"/>
      <c r="AA2" s="46" t="s">
        <v>69</v>
      </c>
      <c r="AB2" s="47"/>
      <c r="AC2" s="46" t="s">
        <v>70</v>
      </c>
      <c r="AD2" s="47"/>
      <c r="AE2" s="42" t="s">
        <v>71</v>
      </c>
      <c r="AF2" s="43"/>
      <c r="AG2" s="42" t="s">
        <v>72</v>
      </c>
      <c r="AH2" s="43"/>
      <c r="AI2" s="42" t="s">
        <v>73</v>
      </c>
      <c r="AJ2" s="43"/>
      <c r="AK2" s="49" t="s">
        <v>74</v>
      </c>
      <c r="AL2" s="50"/>
      <c r="AM2" s="51" t="s">
        <v>75</v>
      </c>
      <c r="AN2" s="52"/>
      <c r="AO2" s="46" t="s">
        <v>76</v>
      </c>
      <c r="AP2" s="47"/>
    </row>
    <row r="3" spans="1:42" x14ac:dyDescent="0.25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5" t="s">
        <v>11</v>
      </c>
      <c r="L3" s="13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4" t="s">
        <v>12</v>
      </c>
      <c r="AC3" s="15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12" t="s">
        <v>11</v>
      </c>
      <c r="AJ3" s="13" t="s">
        <v>12</v>
      </c>
      <c r="AK3" s="29" t="s">
        <v>11</v>
      </c>
      <c r="AL3" s="13" t="s">
        <v>12</v>
      </c>
      <c r="AM3" s="33" t="s">
        <v>11</v>
      </c>
      <c r="AN3" s="40" t="s">
        <v>12</v>
      </c>
      <c r="AO3" s="15" t="s">
        <v>11</v>
      </c>
      <c r="AP3" s="13" t="s">
        <v>12</v>
      </c>
    </row>
    <row r="4" spans="1:42" ht="30" x14ac:dyDescent="0.25">
      <c r="A4" s="2" t="s">
        <v>19</v>
      </c>
      <c r="B4" s="5">
        <v>1</v>
      </c>
      <c r="C4" s="12">
        <f>1892.73+27687.94+8544.32</f>
        <v>38124.99</v>
      </c>
      <c r="D4" s="13">
        <f>823.36+26161.58+4160.98</f>
        <v>31145.920000000002</v>
      </c>
      <c r="E4" s="12">
        <f>6221.25+60290.88+18840.9</f>
        <v>85353.03</v>
      </c>
      <c r="F4" s="13">
        <f>2631.14+89267.96+8551.31</f>
        <v>100450.41</v>
      </c>
      <c r="G4" s="12">
        <f>5556.65+98630.59+30561.59</f>
        <v>134748.82999999999</v>
      </c>
      <c r="H4" s="13">
        <f>2643.82+89142.89+12376.11</f>
        <v>104162.82</v>
      </c>
      <c r="I4" s="12">
        <f>1297.87+8544.32+4218.08</f>
        <v>14060.269999999999</v>
      </c>
      <c r="J4" s="13">
        <f>578.8+16106.44+1626.53</f>
        <v>18311.77</v>
      </c>
      <c r="K4" s="12">
        <f>9641.376+128551.68+40172.4</f>
        <v>178365.45599999998</v>
      </c>
      <c r="L4" s="13">
        <f>4077.59+138286.7+17276.76</f>
        <v>159641.05000000002</v>
      </c>
      <c r="M4" s="12">
        <f>5461.56+100128.6+30948.84</f>
        <v>136539</v>
      </c>
      <c r="N4" s="13">
        <f>2309.85+78514.1+13549.4</f>
        <v>94373.35</v>
      </c>
      <c r="O4" s="12">
        <v>144569.66</v>
      </c>
      <c r="P4" s="13">
        <f>78561.3+10277.76+2292.84</f>
        <v>91131.9</v>
      </c>
      <c r="Q4" s="12">
        <f>5348.56+153503.56+47067.29</f>
        <v>205919.41</v>
      </c>
      <c r="R4" s="13">
        <f>9324.24+139364.5+21697.4</f>
        <v>170386.13999999998</v>
      </c>
      <c r="S4" s="12">
        <f>6510.65+96936.35+30021.33</f>
        <v>133468.33000000002</v>
      </c>
      <c r="T4" s="13">
        <f>2753.53+93541.8+12170.79</f>
        <v>108466.12</v>
      </c>
      <c r="U4" s="12">
        <f>10730.75+200182.14+62017.21</f>
        <v>272930.10000000003</v>
      </c>
      <c r="V4" s="13">
        <f>4538.33+154045.51+27432.34</f>
        <v>186016.18</v>
      </c>
      <c r="W4" s="12">
        <f>8470.27+186875.38+57703.73</f>
        <v>253049.38</v>
      </c>
      <c r="X4" s="13">
        <f>4070.2+142700.8+19385.19</f>
        <v>166156.19</v>
      </c>
      <c r="Y4" s="12">
        <f>11044.94+216603.62+66883.27</f>
        <v>294531.83</v>
      </c>
      <c r="Z4" s="13">
        <f>4671.21+157501.4+27912.5</f>
        <v>190085.11</v>
      </c>
      <c r="AA4" s="12">
        <f>6600.58+125823.48+38778.384</f>
        <v>171202.44399999999</v>
      </c>
      <c r="AB4" s="13">
        <f>2171.72+96021.1+12315.39</f>
        <v>110508.21</v>
      </c>
      <c r="AC4" s="12">
        <f>163382.53+52625.09</f>
        <v>216007.62</v>
      </c>
      <c r="AD4" s="13">
        <f>25000+166384.8+28741.36</f>
        <v>220126.15999999997</v>
      </c>
      <c r="AE4" s="12">
        <f>8663.33+105403.82+32246.83</f>
        <v>146313.98000000001</v>
      </c>
      <c r="AF4" s="12">
        <f>3662.52+169172.7+37063.23</f>
        <v>209898.45</v>
      </c>
      <c r="AG4" s="12">
        <f>5597.1+109765.35+33893.55</f>
        <v>149256</v>
      </c>
      <c r="AH4" s="13">
        <f>2367.17+79814.93+14541.62</f>
        <v>96723.719999999987</v>
      </c>
      <c r="AI4" s="12">
        <f>6787.93+578.63+2654</f>
        <v>10020.560000000001</v>
      </c>
      <c r="AJ4" s="13">
        <f>4068.96+142357.8+6031.61</f>
        <v>152458.36999999997</v>
      </c>
      <c r="AK4" s="29">
        <f>376.06+534+6772.22+2760</f>
        <v>10442.280000000001</v>
      </c>
      <c r="AL4" s="13">
        <f>3379.43+117356.6+13198.66</f>
        <v>133934.69</v>
      </c>
      <c r="AM4" s="33">
        <f>347.02*12+100.23*12+6629.7*12+1632.74*12</f>
        <v>104516.28</v>
      </c>
      <c r="AN4" s="13">
        <f>3872.88+120370.1+9980.83</f>
        <v>134223.81</v>
      </c>
      <c r="AO4" s="12">
        <f>7838.12+95363.81+29610.68</f>
        <v>132812.60999999999</v>
      </c>
      <c r="AP4" s="13">
        <f>3311.57+111706.4+14289.17</f>
        <v>129307.14</v>
      </c>
    </row>
    <row r="5" spans="1:42" ht="80.25" customHeight="1" x14ac:dyDescent="0.25">
      <c r="A5" s="2" t="s">
        <v>0</v>
      </c>
      <c r="B5" s="7">
        <v>2</v>
      </c>
      <c r="C5" s="12">
        <f>25092.19+5083.33+0</f>
        <v>30175.519999999997</v>
      </c>
      <c r="D5" s="13">
        <f>22647.22+7093.56+0</f>
        <v>29740.780000000002</v>
      </c>
      <c r="E5" s="12">
        <f>80876.3+1382.5+18663.76+345.63</f>
        <v>101268.19</v>
      </c>
      <c r="F5" s="13">
        <f>74793.15+5865.4+17898.66+478.82</f>
        <v>99036.03</v>
      </c>
      <c r="G5" s="13">
        <f>91684.77+5556.65+19448.28+347.29</f>
        <v>117036.98999999999</v>
      </c>
      <c r="H5" s="13">
        <f>78383.56+6067.2+18566.4+478.82</f>
        <v>103495.98000000001</v>
      </c>
      <c r="I5" s="12">
        <f>13195.03+3028.37+0</f>
        <v>16223.400000000001</v>
      </c>
      <c r="J5" s="13">
        <f>18924.6+232.79+4399.9+478.82</f>
        <v>24036.11</v>
      </c>
      <c r="K5" s="12">
        <f>160689.6+6427.584+26781.6+535.632</f>
        <v>194434.41600000003</v>
      </c>
      <c r="L5" s="13">
        <f>113753.16+6796+29899.56+478.82</f>
        <v>150927.54</v>
      </c>
      <c r="M5" s="12">
        <f>82226.82+7282.08+20632.56+606.84</f>
        <v>110748.3</v>
      </c>
      <c r="N5" s="13">
        <f>62769.79+6560.8+18346.23+478.82</f>
        <v>88155.64</v>
      </c>
      <c r="O5" s="12">
        <f>76802.63+32226.99+9637.98+602.37</f>
        <v>119269.97</v>
      </c>
      <c r="P5" s="13">
        <f>478.82+63895.54+15643.2+7000</f>
        <v>87017.56</v>
      </c>
      <c r="Q5" s="12">
        <f>139062.46+7487.98+19254.8016+1069.71</f>
        <v>166874.9516</v>
      </c>
      <c r="R5" s="13">
        <f>109930.36+7654+34266+776.18</f>
        <v>152626.53999999998</v>
      </c>
      <c r="S5" s="12">
        <f>94766.13+5787.24+16638.33+723.41</f>
        <v>117915.11000000002</v>
      </c>
      <c r="T5" s="13">
        <f>70263.02+6444+28998.68+478.82</f>
        <v>106184.52000000002</v>
      </c>
      <c r="U5" s="12">
        <f>153211.27+18055.64+42391.51+1192.31</f>
        <v>214850.72999999998</v>
      </c>
      <c r="V5" s="13">
        <f>131053.34+14004+34680.56+776.18</f>
        <v>180514.08</v>
      </c>
      <c r="W5" s="12">
        <f>137641.92+8999.66+44468.93+1058.78</f>
        <v>192169.29</v>
      </c>
      <c r="X5" s="13">
        <f>124316.45+10806+32128+776.18</f>
        <v>168026.63</v>
      </c>
      <c r="Y5" s="12">
        <f>168742.2+13806.18+36202.87+1227.22</f>
        <v>219978.47</v>
      </c>
      <c r="Z5" s="13">
        <f>133938.17+13610+36988.2+776.18</f>
        <v>185312.55</v>
      </c>
      <c r="AA5" s="12">
        <f>57342.5+11963.54+23927.09+825.07</f>
        <v>94058.200000000012</v>
      </c>
      <c r="AB5" s="13">
        <f>62462.48+1100+19886.24+776.18</f>
        <v>84224.9</v>
      </c>
      <c r="AC5" s="12">
        <f>143189.19+7465.42+15297.99+3671.52</f>
        <v>169624.12</v>
      </c>
      <c r="AD5" s="13">
        <f>88244.66+7700+30298.68+478.82</f>
        <v>126722.16</v>
      </c>
      <c r="AE5" s="12">
        <f>138613.248+7700.74+26471.28+481.3</f>
        <v>173266.56799999997</v>
      </c>
      <c r="AF5" s="12">
        <f>79153.7+8220+24658.2+478.82</f>
        <v>112510.72</v>
      </c>
      <c r="AG5" s="12">
        <f>83956.5+6529.95+21144.6+310.95</f>
        <v>111941.99999999999</v>
      </c>
      <c r="AH5" s="13">
        <f>112828.36+7531+36988.2+478.82</f>
        <v>157826.38</v>
      </c>
      <c r="AI5" s="12">
        <f>7812.97</f>
        <v>7812.97</v>
      </c>
      <c r="AJ5" s="13">
        <f>76619.12+7220+28998.68+0</f>
        <v>112837.79999999999</v>
      </c>
      <c r="AK5" s="29">
        <v>8768.41</v>
      </c>
      <c r="AL5" s="13">
        <f>90694.12+7220+28998.68+478.82</f>
        <v>127391.62</v>
      </c>
      <c r="AM5" s="33">
        <f>8745.32*12</f>
        <v>104943.84</v>
      </c>
      <c r="AN5" s="13">
        <f>100666.89+7220+28998.68+478.82</f>
        <v>137364.39000000001</v>
      </c>
      <c r="AO5" s="12">
        <f>128022.65+5225.41+23949.82+522.54</f>
        <v>157720.42000000001</v>
      </c>
      <c r="AP5" s="13">
        <f>76619.12+5700+28998.68+478.82</f>
        <v>111796.62</v>
      </c>
    </row>
    <row r="6" spans="1:42" ht="30" x14ac:dyDescent="0.25">
      <c r="A6" s="2" t="s">
        <v>1</v>
      </c>
      <c r="B6" s="8">
        <v>3</v>
      </c>
      <c r="C6" s="12">
        <v>7030.14</v>
      </c>
      <c r="D6" s="13">
        <v>1126.6300000000001</v>
      </c>
      <c r="E6" s="12">
        <v>38018.769999999997</v>
      </c>
      <c r="F6" s="13">
        <v>8123.67</v>
      </c>
      <c r="G6" s="12">
        <v>34729.08</v>
      </c>
      <c r="H6" s="13">
        <v>4.49</v>
      </c>
      <c r="I6" s="12">
        <v>0</v>
      </c>
      <c r="J6" s="13">
        <v>0</v>
      </c>
      <c r="K6" s="12">
        <v>68025.259999999995</v>
      </c>
      <c r="L6" s="13">
        <v>18169.14</v>
      </c>
      <c r="M6" s="12">
        <v>38534.339999999997</v>
      </c>
      <c r="N6" s="13">
        <v>10292.290000000001</v>
      </c>
      <c r="O6" s="12">
        <v>38250.720000000001</v>
      </c>
      <c r="P6" s="13">
        <v>10216.540000000001</v>
      </c>
      <c r="Q6" s="12">
        <v>67926.66</v>
      </c>
      <c r="R6" s="13">
        <v>18142.8</v>
      </c>
      <c r="S6" s="12">
        <v>45936.26</v>
      </c>
      <c r="T6" s="13">
        <v>12269.3</v>
      </c>
      <c r="U6" s="12">
        <v>75711.41</v>
      </c>
      <c r="V6" s="13">
        <v>16177.65</v>
      </c>
      <c r="W6" s="12">
        <v>67232.78</v>
      </c>
      <c r="X6" s="13">
        <v>10881.7</v>
      </c>
      <c r="Y6" s="12">
        <v>77928.22</v>
      </c>
      <c r="Z6" s="13">
        <v>12488.5</v>
      </c>
      <c r="AA6" s="12">
        <v>0</v>
      </c>
      <c r="AB6" s="13">
        <v>0</v>
      </c>
      <c r="AC6" s="12">
        <v>42834.37</v>
      </c>
      <c r="AD6" s="13">
        <v>0</v>
      </c>
      <c r="AE6" s="12">
        <v>45723.12</v>
      </c>
      <c r="AF6" s="12">
        <v>19591.22</v>
      </c>
      <c r="AG6" s="12">
        <v>39490.65</v>
      </c>
      <c r="AH6" s="13">
        <v>12657.26</v>
      </c>
      <c r="AI6" s="12"/>
      <c r="AJ6" s="13"/>
      <c r="AK6" s="29"/>
      <c r="AL6" s="13"/>
      <c r="AM6" s="33"/>
      <c r="AN6" s="13"/>
      <c r="AO6" s="12">
        <v>41367.86</v>
      </c>
      <c r="AP6" s="13">
        <v>0</v>
      </c>
    </row>
    <row r="7" spans="1:42" ht="75" x14ac:dyDescent="0.25">
      <c r="A7" s="2" t="s">
        <v>13</v>
      </c>
      <c r="B7" s="6">
        <v>4</v>
      </c>
      <c r="C7" s="12">
        <v>0</v>
      </c>
      <c r="D7" s="13">
        <v>0</v>
      </c>
      <c r="E7" s="12">
        <v>0</v>
      </c>
      <c r="F7" s="13">
        <v>0</v>
      </c>
      <c r="G7" s="12">
        <v>56747.32</v>
      </c>
      <c r="H7" s="13">
        <v>31082.75</v>
      </c>
      <c r="I7" s="12">
        <v>0</v>
      </c>
      <c r="J7" s="13">
        <v>0</v>
      </c>
      <c r="K7" s="12">
        <v>0</v>
      </c>
      <c r="L7" s="13">
        <v>0</v>
      </c>
      <c r="M7" s="12">
        <f>22756.5+32162.52+2730.78</f>
        <v>57649.8</v>
      </c>
      <c r="N7" s="13">
        <f>16889.96+21513.5+4523.88</f>
        <v>42927.34</v>
      </c>
      <c r="O7" s="12">
        <f>106017.75-50900.57+7228.48</f>
        <v>62345.66</v>
      </c>
      <c r="P7" s="13">
        <f>93918.94-42798.45-5179</f>
        <v>45941.490000000005</v>
      </c>
      <c r="Q7" s="12">
        <f>113496.36+0</f>
        <v>113496.36</v>
      </c>
      <c r="R7" s="13">
        <v>113461.3</v>
      </c>
      <c r="S7" s="12">
        <v>0</v>
      </c>
      <c r="T7" s="13">
        <v>0</v>
      </c>
      <c r="U7" s="12">
        <f>39942.24+48884.53+2980.76</f>
        <v>91807.529999999984</v>
      </c>
      <c r="V7" s="13">
        <f>32114.46+46996.1+8713.03</f>
        <v>87823.59</v>
      </c>
      <c r="W7" s="12">
        <f>34307.48+47108.78+2560.26</f>
        <v>83976.52</v>
      </c>
      <c r="X7" s="13">
        <f>30288.78+38899.11+7074.06</f>
        <v>76261.95</v>
      </c>
      <c r="Y7" s="12">
        <f>46020.6+60133.58+5522.47</f>
        <v>111676.65</v>
      </c>
      <c r="Z7" s="13">
        <f>36225.4+45400.91+6620.37</f>
        <v>88246.68</v>
      </c>
      <c r="AA7" s="12">
        <f>49504.32+40428.528+5775.5+71781.26</f>
        <v>167489.60800000001</v>
      </c>
      <c r="AB7" s="14">
        <v>0</v>
      </c>
      <c r="AC7" s="12">
        <v>56908.52</v>
      </c>
      <c r="AD7" s="13">
        <v>56730.66</v>
      </c>
      <c r="AE7" s="12">
        <f>0</f>
        <v>0</v>
      </c>
      <c r="AF7" s="12">
        <v>0</v>
      </c>
      <c r="AG7" s="12">
        <f>12438+26430.75+4353.3</f>
        <v>43222.05</v>
      </c>
      <c r="AH7" s="13">
        <f>36225.4+45400.91+7949.39+0</f>
        <v>89575.7</v>
      </c>
      <c r="AI7" s="12"/>
      <c r="AJ7" s="13"/>
      <c r="AK7" s="29"/>
      <c r="AL7" s="13"/>
      <c r="AM7" s="33"/>
      <c r="AN7" s="13"/>
      <c r="AO7" s="12"/>
      <c r="AP7" s="13"/>
    </row>
    <row r="8" spans="1:42" ht="30" x14ac:dyDescent="0.25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/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2">
        <v>0</v>
      </c>
      <c r="AG8" s="12">
        <v>0</v>
      </c>
      <c r="AH8" s="13">
        <v>0</v>
      </c>
      <c r="AI8" s="12"/>
      <c r="AJ8" s="13"/>
      <c r="AK8" s="29"/>
      <c r="AL8" s="13"/>
      <c r="AM8" s="33"/>
      <c r="AN8" s="13"/>
      <c r="AO8" s="12"/>
      <c r="AP8" s="13"/>
    </row>
    <row r="9" spans="1:42" ht="75" x14ac:dyDescent="0.25">
      <c r="A9" s="2" t="s">
        <v>14</v>
      </c>
      <c r="B9" s="4">
        <v>6</v>
      </c>
      <c r="C9" s="12">
        <f>13411.34+24875.88</f>
        <v>38287.22</v>
      </c>
      <c r="D9" s="13">
        <v>842</v>
      </c>
      <c r="E9" s="12">
        <f>48387.53+6912.5</f>
        <v>55300.03</v>
      </c>
      <c r="F9" s="13">
        <f>10482.59+885</f>
        <v>11367.59</v>
      </c>
      <c r="G9" s="12">
        <f>3125.62+3820.2+72931.07</f>
        <v>79876.890000000014</v>
      </c>
      <c r="H9" s="13">
        <v>530.80999999999995</v>
      </c>
      <c r="I9" s="12">
        <v>1081.56</v>
      </c>
      <c r="J9" s="13">
        <v>724.6</v>
      </c>
      <c r="K9" s="12">
        <f>112482.72+9105.744</f>
        <v>121588.46400000001</v>
      </c>
      <c r="L9" s="13">
        <f>121040.81+1200</f>
        <v>122240.81</v>
      </c>
      <c r="M9" s="12">
        <f>91026+2730.78+3337.62</f>
        <v>97094.399999999994</v>
      </c>
      <c r="N9" s="13">
        <f>56792.43+0</f>
        <v>56792.43</v>
      </c>
      <c r="O9" s="12">
        <v>90356.04</v>
      </c>
      <c r="P9" s="13">
        <v>90380.12</v>
      </c>
      <c r="Q9" s="12">
        <f>106971.12+3209.13+8022.83</f>
        <v>118203.08</v>
      </c>
      <c r="R9" s="13">
        <f>1232+20600.8</f>
        <v>21832.799999999999</v>
      </c>
      <c r="S9" s="12">
        <f>90425.7+5063.84+6510.65</f>
        <v>102000.18999999999</v>
      </c>
      <c r="T9" s="13">
        <v>22352.55</v>
      </c>
      <c r="U9" s="12">
        <f>20269.2+0</f>
        <v>20269.2</v>
      </c>
      <c r="V9" s="13">
        <v>92681.31</v>
      </c>
      <c r="W9" s="12">
        <f>164111.52+5823.31+7940.88</f>
        <v>177875.71</v>
      </c>
      <c r="X9" s="13">
        <v>137274.29999999999</v>
      </c>
      <c r="Y9" s="12">
        <f>184082.4+6136.08+8590.51</f>
        <v>198808.99</v>
      </c>
      <c r="Z9" s="13">
        <f>2908+113443.2</f>
        <v>116351.2</v>
      </c>
      <c r="AA9" s="12">
        <f>61880.4+3300.29+5362.97</f>
        <v>70543.66</v>
      </c>
      <c r="AB9" s="13">
        <v>18073.900000000001</v>
      </c>
      <c r="AC9" s="12">
        <f>3059.6+183575.88</f>
        <v>186635.48</v>
      </c>
      <c r="AD9" s="13">
        <v>105082.8</v>
      </c>
      <c r="AE9" s="12">
        <f>52942.56+8663.328+9144.624</f>
        <v>70750.512000000002</v>
      </c>
      <c r="AF9" s="12">
        <f>51494.16+4016</f>
        <v>55510.16</v>
      </c>
      <c r="AG9" s="12">
        <f>16791.3+108832.5</f>
        <v>125623.8</v>
      </c>
      <c r="AH9" s="13">
        <f>134041.7+2908</f>
        <v>136949.70000000001</v>
      </c>
      <c r="AI9" s="12"/>
      <c r="AJ9" s="13"/>
      <c r="AK9" s="29"/>
      <c r="AL9" s="13">
        <v>6546.17</v>
      </c>
      <c r="AM9" s="33"/>
      <c r="AN9" s="13">
        <f>6420+17910.77</f>
        <v>24330.77</v>
      </c>
      <c r="AO9" s="12">
        <f>11321.73+47899.632</f>
        <v>59221.361999999994</v>
      </c>
      <c r="AP9" s="13">
        <v>7224.29</v>
      </c>
    </row>
    <row r="10" spans="1:42" ht="45" x14ac:dyDescent="0.25">
      <c r="A10" s="2" t="s">
        <v>3</v>
      </c>
      <c r="B10" s="3">
        <v>7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13">
        <v>0</v>
      </c>
      <c r="O10" s="12">
        <v>50900.57</v>
      </c>
      <c r="P10" s="13">
        <v>42798.45</v>
      </c>
      <c r="Q10" s="12">
        <v>0</v>
      </c>
      <c r="R10" s="13">
        <v>0</v>
      </c>
      <c r="S10" s="12">
        <v>0</v>
      </c>
      <c r="T10" s="13">
        <v>0</v>
      </c>
      <c r="U10" s="12">
        <v>98365.21</v>
      </c>
      <c r="V10" s="13">
        <v>88484.32</v>
      </c>
      <c r="W10" s="12">
        <v>80392.160000000003</v>
      </c>
      <c r="X10" s="13">
        <v>68687.12</v>
      </c>
      <c r="Y10" s="12">
        <v>90200.38</v>
      </c>
      <c r="Z10" s="13">
        <v>72560.3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2">
        <v>0</v>
      </c>
      <c r="AG10" s="12">
        <v>46331.55</v>
      </c>
      <c r="AH10" s="13">
        <v>72560.3</v>
      </c>
      <c r="AI10" s="12"/>
      <c r="AJ10" s="13"/>
      <c r="AK10" s="29"/>
      <c r="AL10" s="13"/>
      <c r="AM10" s="33"/>
      <c r="AN10" s="13"/>
      <c r="AO10" s="12"/>
      <c r="AP10" s="13"/>
    </row>
    <row r="11" spans="1:42" ht="45" x14ac:dyDescent="0.25">
      <c r="A11" s="2" t="s">
        <v>4</v>
      </c>
      <c r="B11" s="3">
        <v>8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4551.3</v>
      </c>
      <c r="N11" s="13">
        <v>9868</v>
      </c>
      <c r="O11" s="12">
        <v>0</v>
      </c>
      <c r="P11" s="13">
        <v>5179</v>
      </c>
      <c r="Q11" s="12">
        <v>0</v>
      </c>
      <c r="R11" s="13">
        <v>0</v>
      </c>
      <c r="S11" s="12">
        <v>0</v>
      </c>
      <c r="T11" s="13">
        <v>0</v>
      </c>
      <c r="U11" s="12">
        <v>8942.2900000000009</v>
      </c>
      <c r="V11" s="13">
        <v>13456.4</v>
      </c>
      <c r="W11" s="12">
        <v>7680.78</v>
      </c>
      <c r="X11" s="13">
        <v>9898</v>
      </c>
      <c r="Y11" s="12">
        <v>9204.1200000000008</v>
      </c>
      <c r="Z11" s="13">
        <v>12664.2</v>
      </c>
      <c r="AA11" s="12">
        <v>6188.04</v>
      </c>
      <c r="AB11" s="14">
        <v>0</v>
      </c>
      <c r="AC11" s="12">
        <v>0</v>
      </c>
      <c r="AD11" s="13">
        <v>0</v>
      </c>
      <c r="AE11" s="12">
        <v>0</v>
      </c>
      <c r="AF11" s="12">
        <v>0</v>
      </c>
      <c r="AG11" s="12">
        <v>4664.25</v>
      </c>
      <c r="AH11" s="13">
        <v>12664.2</v>
      </c>
      <c r="AI11" s="12"/>
      <c r="AJ11" s="13"/>
      <c r="AK11" s="29"/>
      <c r="AL11" s="13"/>
      <c r="AM11" s="33"/>
      <c r="AN11" s="13"/>
      <c r="AO11" s="12"/>
      <c r="AP11" s="13"/>
    </row>
    <row r="12" spans="1:42" s="41" customFormat="1" ht="28.5" customHeight="1" x14ac:dyDescent="0.25">
      <c r="A12" s="38" t="s">
        <v>5</v>
      </c>
      <c r="B12" s="39">
        <v>9</v>
      </c>
      <c r="C12" s="33">
        <v>0</v>
      </c>
      <c r="D12" s="40">
        <v>0</v>
      </c>
      <c r="E12" s="33">
        <v>7603.75</v>
      </c>
      <c r="F12" s="40">
        <v>0</v>
      </c>
      <c r="G12" s="33">
        <v>10418.719999999999</v>
      </c>
      <c r="H12" s="40">
        <v>0</v>
      </c>
      <c r="I12" s="33">
        <v>1946.81</v>
      </c>
      <c r="J12" s="40">
        <v>0</v>
      </c>
      <c r="K12" s="33">
        <v>7498.848</v>
      </c>
      <c r="L12" s="40">
        <v>0</v>
      </c>
      <c r="M12" s="33">
        <v>9709.44</v>
      </c>
      <c r="N12" s="40">
        <v>0</v>
      </c>
      <c r="O12" s="33">
        <v>0</v>
      </c>
      <c r="P12" s="40">
        <v>0</v>
      </c>
      <c r="Q12" s="33">
        <v>14441.101199999999</v>
      </c>
      <c r="R12" s="40">
        <v>0</v>
      </c>
      <c r="S12" s="33">
        <v>15191.52</v>
      </c>
      <c r="T12" s="40">
        <v>0</v>
      </c>
      <c r="U12" s="33">
        <v>19625.7</v>
      </c>
      <c r="V12" s="40">
        <v>0</v>
      </c>
      <c r="W12" s="33">
        <v>21175.68</v>
      </c>
      <c r="X12" s="40">
        <v>0</v>
      </c>
      <c r="Y12" s="33">
        <v>15033.4</v>
      </c>
      <c r="Z12" s="40">
        <v>0</v>
      </c>
      <c r="AA12" s="33">
        <v>14438.76</v>
      </c>
      <c r="AB12" s="40">
        <v>0</v>
      </c>
      <c r="AC12" s="33">
        <v>15297.99</v>
      </c>
      <c r="AD12" s="40">
        <v>0</v>
      </c>
      <c r="AE12" s="33">
        <v>15882.77</v>
      </c>
      <c r="AF12" s="33">
        <v>0</v>
      </c>
      <c r="AG12" s="33">
        <v>7462.8</v>
      </c>
      <c r="AH12" s="40">
        <v>0</v>
      </c>
      <c r="AI12" s="33"/>
      <c r="AJ12" s="40"/>
      <c r="AK12" s="33"/>
      <c r="AL12" s="40"/>
      <c r="AM12" s="33"/>
      <c r="AN12" s="40"/>
      <c r="AO12" s="33">
        <v>7620.4</v>
      </c>
      <c r="AP12" s="40"/>
    </row>
    <row r="13" spans="1:42" ht="28.5" customHeight="1" x14ac:dyDescent="0.25">
      <c r="A13" s="2" t="s">
        <v>6</v>
      </c>
      <c r="B13" s="3">
        <v>10</v>
      </c>
      <c r="C13" s="12">
        <v>0</v>
      </c>
      <c r="D13" s="13">
        <v>0</v>
      </c>
      <c r="E13" s="12">
        <v>0</v>
      </c>
      <c r="F13" s="13">
        <v>0</v>
      </c>
      <c r="G13" s="12">
        <v>10418.719999999999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16688.099999999999</v>
      </c>
      <c r="N13" s="13">
        <v>0</v>
      </c>
      <c r="O13" s="12">
        <v>0</v>
      </c>
      <c r="P13" s="13">
        <v>0</v>
      </c>
      <c r="Q13" s="12">
        <v>8557.69</v>
      </c>
      <c r="R13" s="13">
        <v>0</v>
      </c>
      <c r="S13" s="12">
        <v>10489.38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34362.050000000003</v>
      </c>
      <c r="Z13" s="13">
        <v>0</v>
      </c>
      <c r="AA13" s="12">
        <v>14438.76</v>
      </c>
      <c r="AB13" s="13">
        <v>0</v>
      </c>
      <c r="AC13" s="12">
        <v>0</v>
      </c>
      <c r="AD13" s="13">
        <v>0</v>
      </c>
      <c r="AE13" s="12">
        <v>17807.952000000001</v>
      </c>
      <c r="AF13" s="12">
        <v>0</v>
      </c>
      <c r="AG13" s="12">
        <v>0</v>
      </c>
      <c r="AH13" s="13">
        <v>0</v>
      </c>
      <c r="AI13" s="12"/>
      <c r="AJ13" s="13"/>
      <c r="AK13" s="29"/>
      <c r="AL13" s="13"/>
      <c r="AM13" s="33"/>
      <c r="AN13" s="13"/>
      <c r="AO13" s="12"/>
      <c r="AP13" s="13"/>
    </row>
    <row r="14" spans="1:42" ht="45" x14ac:dyDescent="0.25">
      <c r="A14" s="2" t="s">
        <v>7</v>
      </c>
      <c r="B14" s="3">
        <v>11</v>
      </c>
      <c r="C14" s="12">
        <v>227.13</v>
      </c>
      <c r="D14" s="13">
        <v>0</v>
      </c>
      <c r="E14" s="12">
        <v>3110.63</v>
      </c>
      <c r="F14" s="13">
        <v>0</v>
      </c>
      <c r="G14" s="12">
        <v>2431.04</v>
      </c>
      <c r="H14" s="13">
        <v>0</v>
      </c>
      <c r="I14" s="12">
        <v>648.94000000000005</v>
      </c>
      <c r="J14" s="13">
        <v>0</v>
      </c>
      <c r="K14" s="12">
        <v>4820.6880000000001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2139.42</v>
      </c>
      <c r="R14" s="13">
        <v>0</v>
      </c>
      <c r="S14" s="12">
        <v>2531.92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v>0</v>
      </c>
      <c r="AB14" s="13">
        <v>0</v>
      </c>
      <c r="AC14" s="12">
        <v>1835.76</v>
      </c>
      <c r="AD14" s="13">
        <v>0</v>
      </c>
      <c r="AE14" s="12">
        <v>2887.78</v>
      </c>
      <c r="AF14" s="12">
        <v>0</v>
      </c>
      <c r="AG14" s="12">
        <v>0</v>
      </c>
      <c r="AH14" s="13">
        <v>0</v>
      </c>
      <c r="AI14" s="12">
        <v>133.53</v>
      </c>
      <c r="AJ14" s="13"/>
      <c r="AK14" s="29">
        <v>44.31</v>
      </c>
      <c r="AL14" s="13"/>
      <c r="AM14" s="33">
        <f>127.36*12</f>
        <v>1528.32</v>
      </c>
      <c r="AN14" s="13">
        <v>0</v>
      </c>
      <c r="AO14" s="12">
        <v>2612.71</v>
      </c>
      <c r="AP14" s="13"/>
    </row>
    <row r="15" spans="1:42" ht="45" x14ac:dyDescent="0.25">
      <c r="A15" s="2" t="s">
        <v>8</v>
      </c>
      <c r="B15" s="3">
        <v>12</v>
      </c>
      <c r="C15" s="12">
        <v>3028.37</v>
      </c>
      <c r="D15" s="13">
        <v>2725.32</v>
      </c>
      <c r="E15" s="12">
        <v>12096.88</v>
      </c>
      <c r="F15" s="13">
        <v>8709.08</v>
      </c>
      <c r="G15" s="12">
        <v>11113.31</v>
      </c>
      <c r="H15" s="13">
        <v>8751.0499999999993</v>
      </c>
      <c r="I15" s="12">
        <v>3028.37</v>
      </c>
      <c r="J15" s="13">
        <v>1915.83</v>
      </c>
      <c r="K15" s="12">
        <v>16068.96</v>
      </c>
      <c r="L15" s="13">
        <v>13496.88</v>
      </c>
      <c r="M15" s="12">
        <v>10619.7</v>
      </c>
      <c r="N15" s="13">
        <v>7645.59</v>
      </c>
      <c r="O15" s="12">
        <v>10541.54</v>
      </c>
      <c r="P15" s="13">
        <v>7589.31</v>
      </c>
      <c r="Q15" s="12">
        <v>16045.67</v>
      </c>
      <c r="R15" s="13">
        <v>13553.86</v>
      </c>
      <c r="S15" s="12">
        <v>12659.6</v>
      </c>
      <c r="T15" s="13">
        <v>9114.2000000000007</v>
      </c>
      <c r="U15" s="12">
        <v>19673.04</v>
      </c>
      <c r="V15" s="13">
        <v>15021.88</v>
      </c>
      <c r="W15" s="12">
        <v>18528.72</v>
      </c>
      <c r="X15" s="13">
        <v>13472.38</v>
      </c>
      <c r="Y15" s="12">
        <v>21476.28</v>
      </c>
      <c r="Z15" s="13">
        <v>15461.72</v>
      </c>
      <c r="AA15" s="12">
        <v>14438.76</v>
      </c>
      <c r="AB15" s="13">
        <v>7125.55</v>
      </c>
      <c r="AC15" s="12">
        <v>23864.86</v>
      </c>
      <c r="AD15" s="13">
        <v>15419.17</v>
      </c>
      <c r="AE15" s="12">
        <v>16845.36</v>
      </c>
      <c r="AF15" s="12">
        <v>12125.62</v>
      </c>
      <c r="AG15" s="12">
        <v>10883.25</v>
      </c>
      <c r="AH15" s="13">
        <v>7835.33</v>
      </c>
      <c r="AI15" s="12">
        <v>1210.1199999999999</v>
      </c>
      <c r="AJ15" s="13">
        <v>13468.3</v>
      </c>
      <c r="AK15" s="29">
        <v>1809.47</v>
      </c>
      <c r="AL15" s="13">
        <v>11125.29</v>
      </c>
      <c r="AM15" s="33">
        <f>1800*12</f>
        <v>21600</v>
      </c>
      <c r="AN15" s="13">
        <v>12815.06</v>
      </c>
      <c r="AO15" s="12">
        <v>15240.79</v>
      </c>
      <c r="AP15" s="13">
        <v>10968.57</v>
      </c>
    </row>
    <row r="16" spans="1:42" ht="56.25" customHeight="1" x14ac:dyDescent="0.25">
      <c r="A16" s="2" t="s">
        <v>9</v>
      </c>
      <c r="B16" s="3">
        <v>13</v>
      </c>
      <c r="C16" s="12">
        <v>0</v>
      </c>
      <c r="D16" s="13">
        <v>0</v>
      </c>
      <c r="E16" s="12">
        <v>0</v>
      </c>
      <c r="F16" s="13">
        <v>0</v>
      </c>
      <c r="G16" s="12">
        <f>3820.2+6945.82</f>
        <v>10766.02</v>
      </c>
      <c r="H16" s="12">
        <v>0</v>
      </c>
      <c r="I16" s="12">
        <v>0</v>
      </c>
      <c r="J16" s="13">
        <v>801.48</v>
      </c>
      <c r="K16" s="12">
        <f>4820.688+18747.12</f>
        <v>23567.807999999997</v>
      </c>
      <c r="L16" s="13">
        <v>2744.52</v>
      </c>
      <c r="M16" s="12">
        <f>3337.62+7888.92</f>
        <v>11226.54</v>
      </c>
      <c r="N16" s="13">
        <f>3831.77+1548.24</f>
        <v>5380.01</v>
      </c>
      <c r="O16" s="12">
        <f>2710.68+8433.23</f>
        <v>11143.91</v>
      </c>
      <c r="P16" s="13">
        <f>1549.94+3831.77</f>
        <v>5381.71</v>
      </c>
      <c r="Q16" s="12">
        <f>5348.56+17650.23</f>
        <v>22998.79</v>
      </c>
      <c r="R16" s="13">
        <v>3857.52</v>
      </c>
      <c r="S16" s="12">
        <f>5787.24+9765.98</f>
        <v>15553.22</v>
      </c>
      <c r="T16" s="13">
        <f>4724.28+8236.25</f>
        <v>12960.529999999999</v>
      </c>
      <c r="U16" s="12">
        <f>2980.764+14903.82</f>
        <v>17884.583999999999</v>
      </c>
      <c r="V16" s="13">
        <f>950.88+7663.54</f>
        <v>8614.42</v>
      </c>
      <c r="W16" s="12">
        <f>4235.136+13764.192</f>
        <v>17999.328000000001</v>
      </c>
      <c r="X16" s="13">
        <f>3096.48+15000</f>
        <v>18096.48</v>
      </c>
      <c r="Y16" s="12">
        <f>6749.69+15340.2</f>
        <v>22089.89</v>
      </c>
      <c r="Z16" s="13">
        <f>3292.08+20663.54</f>
        <v>23955.620000000003</v>
      </c>
      <c r="AA16" s="12">
        <f>4537.9+7425.65</f>
        <v>11963.55</v>
      </c>
      <c r="AB16" s="13">
        <v>0</v>
      </c>
      <c r="AC16" s="12">
        <f>7954.95+19581.43</f>
        <v>27536.38</v>
      </c>
      <c r="AD16" s="13">
        <v>7311.72</v>
      </c>
      <c r="AE16" s="12">
        <f>3850.368+12032.4</f>
        <v>15882.768</v>
      </c>
      <c r="AF16" s="12">
        <f>3010.92+8236.25</f>
        <v>11247.17</v>
      </c>
      <c r="AG16" s="12">
        <f>3731.4+7773.75</f>
        <v>11505.15</v>
      </c>
      <c r="AH16" s="13">
        <v>2995.2</v>
      </c>
      <c r="AI16" s="12">
        <v>615.12</v>
      </c>
      <c r="AJ16" s="13">
        <v>1520.4</v>
      </c>
      <c r="AK16" s="29">
        <v>643.12</v>
      </c>
      <c r="AL16" s="13">
        <v>5085</v>
      </c>
      <c r="AM16" s="33">
        <f>810*12</f>
        <v>9720</v>
      </c>
      <c r="AN16" s="13">
        <f>4176+13000</f>
        <v>17176</v>
      </c>
      <c r="AO16" s="12">
        <f>2612.71+15240.79</f>
        <v>17853.5</v>
      </c>
      <c r="AP16" s="13">
        <f>1932+3000</f>
        <v>4932</v>
      </c>
    </row>
    <row r="17" spans="1:42" ht="90.75" thickBot="1" x14ac:dyDescent="0.3">
      <c r="A17" s="2" t="s">
        <v>10</v>
      </c>
      <c r="B17" s="3">
        <v>14</v>
      </c>
      <c r="C17" s="12">
        <v>34577.47</v>
      </c>
      <c r="D17" s="13">
        <v>32152.2</v>
      </c>
      <c r="E17" s="12">
        <v>76037.539999999994</v>
      </c>
      <c r="F17" s="13">
        <v>68057.23</v>
      </c>
      <c r="G17" s="12">
        <v>71541.899999999994</v>
      </c>
      <c r="H17" s="12">
        <v>64561.43</v>
      </c>
      <c r="I17" s="12">
        <v>32338.639999999999</v>
      </c>
      <c r="J17" s="13">
        <v>29335.22</v>
      </c>
      <c r="K17" s="12">
        <v>202468.89600000001</v>
      </c>
      <c r="L17" s="13">
        <v>94729.8</v>
      </c>
      <c r="M17" s="12">
        <v>55222.44</v>
      </c>
      <c r="N17" s="13">
        <v>46841.86</v>
      </c>
      <c r="O17" s="12">
        <v>54816</v>
      </c>
      <c r="P17" s="13">
        <v>45798.18</v>
      </c>
      <c r="Q17" s="12">
        <v>210198.25</v>
      </c>
      <c r="R17" s="13">
        <v>96939.32</v>
      </c>
      <c r="S17" s="12">
        <v>75595.89</v>
      </c>
      <c r="T17" s="13">
        <v>73392.14</v>
      </c>
      <c r="U17" s="12">
        <v>76009.48</v>
      </c>
      <c r="V17" s="13">
        <v>66080.77</v>
      </c>
      <c r="W17" s="12">
        <v>97408.127999999997</v>
      </c>
      <c r="X17" s="13">
        <v>86492.06</v>
      </c>
      <c r="Y17" s="12">
        <v>90813.983999999997</v>
      </c>
      <c r="Z17" s="13">
        <v>84032.7</v>
      </c>
      <c r="AA17" s="12">
        <v>77969.3</v>
      </c>
      <c r="AB17" s="13">
        <v>94083.55</v>
      </c>
      <c r="AC17" s="12">
        <v>158487.18</v>
      </c>
      <c r="AD17" s="13">
        <v>162919.42000000001</v>
      </c>
      <c r="AE17" s="12">
        <v>124174.368</v>
      </c>
      <c r="AF17" s="12">
        <v>67351.23</v>
      </c>
      <c r="AG17" s="12">
        <v>50684.85</v>
      </c>
      <c r="AH17" s="13">
        <v>45645.43</v>
      </c>
      <c r="AI17" s="12">
        <v>8490.74</v>
      </c>
      <c r="AJ17" s="13">
        <v>96898.94</v>
      </c>
      <c r="AK17" s="29">
        <v>6510</v>
      </c>
      <c r="AL17" s="13">
        <v>69081.69</v>
      </c>
      <c r="AM17" s="33">
        <f>7020*12</f>
        <v>84240</v>
      </c>
      <c r="AN17" s="13">
        <v>92222.48</v>
      </c>
      <c r="AO17" s="12">
        <v>87090.240000000005</v>
      </c>
      <c r="AP17" s="13">
        <v>73845.83</v>
      </c>
    </row>
    <row r="18" spans="1:42" ht="15.75" thickBot="1" x14ac:dyDescent="0.3">
      <c r="A18" s="1" t="s">
        <v>15</v>
      </c>
      <c r="B18" s="1"/>
      <c r="C18" s="17">
        <f t="shared" ref="C18:V18" si="0">SUM(C4:C17)</f>
        <v>151450.84</v>
      </c>
      <c r="D18" s="17">
        <f t="shared" si="0"/>
        <v>97732.85</v>
      </c>
      <c r="E18" s="17">
        <f t="shared" si="0"/>
        <v>378788.82</v>
      </c>
      <c r="F18" s="17">
        <f t="shared" si="0"/>
        <v>295744.01</v>
      </c>
      <c r="G18" s="17">
        <f t="shared" si="0"/>
        <v>539828.81999999995</v>
      </c>
      <c r="H18" s="17">
        <f t="shared" si="0"/>
        <v>312589.33</v>
      </c>
      <c r="I18" s="17">
        <f t="shared" si="0"/>
        <v>69327.990000000005</v>
      </c>
      <c r="J18" s="17">
        <f t="shared" si="0"/>
        <v>75125.010000000009</v>
      </c>
      <c r="K18" s="17">
        <f t="shared" si="0"/>
        <v>816838.79599999986</v>
      </c>
      <c r="L18" s="17">
        <f t="shared" si="0"/>
        <v>561949.74000000011</v>
      </c>
      <c r="M18" s="17">
        <f t="shared" si="0"/>
        <v>548583.35999999987</v>
      </c>
      <c r="N18" s="17">
        <f t="shared" si="0"/>
        <v>362276.51</v>
      </c>
      <c r="O18" s="17">
        <f t="shared" si="0"/>
        <v>582194.06999999995</v>
      </c>
      <c r="P18" s="17">
        <f t="shared" si="0"/>
        <v>431434.26</v>
      </c>
      <c r="Q18" s="17">
        <f t="shared" si="0"/>
        <v>946801.38280000002</v>
      </c>
      <c r="R18" s="17">
        <f t="shared" si="0"/>
        <v>590800.27999999991</v>
      </c>
      <c r="S18" s="17">
        <f t="shared" si="0"/>
        <v>531341.41999999993</v>
      </c>
      <c r="T18" s="17">
        <f t="shared" si="0"/>
        <v>344739.36</v>
      </c>
      <c r="U18" s="17">
        <f t="shared" si="0"/>
        <v>916069.27399999998</v>
      </c>
      <c r="V18" s="17">
        <f t="shared" si="0"/>
        <v>754870.60000000021</v>
      </c>
      <c r="W18" s="17">
        <f t="shared" ref="W18:X18" si="1">SUM(W4:W17)</f>
        <v>1017488.4760000001</v>
      </c>
      <c r="X18" s="17">
        <f t="shared" si="1"/>
        <v>755246.81</v>
      </c>
      <c r="Y18" s="17">
        <f t="shared" ref="Y18:AP18" si="2">SUM(Y4:Y17)</f>
        <v>1186104.264</v>
      </c>
      <c r="Z18" s="17">
        <f t="shared" si="2"/>
        <v>801158.57999999984</v>
      </c>
      <c r="AA18" s="17">
        <f t="shared" si="2"/>
        <v>642731.08200000005</v>
      </c>
      <c r="AB18" s="17">
        <f t="shared" si="2"/>
        <v>314016.11</v>
      </c>
      <c r="AC18" s="18">
        <f t="shared" si="2"/>
        <v>899032.28</v>
      </c>
      <c r="AD18" s="17">
        <f t="shared" si="2"/>
        <v>694312.09</v>
      </c>
      <c r="AE18" s="17">
        <f t="shared" si="2"/>
        <v>629535.17799999996</v>
      </c>
      <c r="AF18" s="17">
        <f t="shared" si="2"/>
        <v>488234.57</v>
      </c>
      <c r="AG18" s="17">
        <f t="shared" si="2"/>
        <v>601066.35</v>
      </c>
      <c r="AH18" s="17">
        <f t="shared" si="2"/>
        <v>635433.22</v>
      </c>
      <c r="AI18" s="17">
        <f t="shared" si="2"/>
        <v>28283.040000000001</v>
      </c>
      <c r="AJ18" s="17">
        <f t="shared" si="2"/>
        <v>377183.80999999994</v>
      </c>
      <c r="AK18" s="30">
        <f t="shared" si="2"/>
        <v>28217.590000000004</v>
      </c>
      <c r="AL18" s="17">
        <f t="shared" si="2"/>
        <v>353164.45999999996</v>
      </c>
      <c r="AM18" s="35">
        <f t="shared" si="2"/>
        <v>326548.44</v>
      </c>
      <c r="AN18" s="17">
        <f t="shared" si="2"/>
        <v>418132.51</v>
      </c>
      <c r="AO18" s="18">
        <f t="shared" si="2"/>
        <v>521539.89199999999</v>
      </c>
      <c r="AP18" s="17">
        <f t="shared" si="2"/>
        <v>338074.45</v>
      </c>
    </row>
    <row r="19" spans="1:42" x14ac:dyDescent="0.25">
      <c r="A19" s="1"/>
      <c r="B19" s="1"/>
      <c r="C19" s="11">
        <v>151450.85</v>
      </c>
      <c r="D19" s="11">
        <v>97732.85</v>
      </c>
      <c r="E19" s="11">
        <v>378788.83</v>
      </c>
      <c r="F19" s="11">
        <v>295744.01</v>
      </c>
      <c r="G19" s="11">
        <v>539828.81999999995</v>
      </c>
      <c r="H19" s="11">
        <v>312589.33</v>
      </c>
      <c r="I19" s="11">
        <v>69328</v>
      </c>
      <c r="J19" s="11">
        <v>75125.009999999995</v>
      </c>
      <c r="K19" s="11">
        <v>816838.79599999997</v>
      </c>
      <c r="L19" s="11">
        <v>561949.74</v>
      </c>
      <c r="M19" s="11">
        <v>548583.36</v>
      </c>
      <c r="N19" s="11">
        <v>362276.51</v>
      </c>
      <c r="O19" s="11">
        <v>582194.07999999996</v>
      </c>
      <c r="P19" s="11">
        <v>431434.26</v>
      </c>
      <c r="Q19" s="11">
        <v>946801.38</v>
      </c>
      <c r="R19" s="11">
        <v>590800.28</v>
      </c>
      <c r="S19" s="11">
        <v>531341.41</v>
      </c>
      <c r="T19" s="11">
        <v>344739.36</v>
      </c>
      <c r="U19" s="11">
        <v>916069.28</v>
      </c>
      <c r="V19" s="11">
        <v>754870.6</v>
      </c>
      <c r="W19" s="11">
        <v>1017488.5</v>
      </c>
      <c r="X19" s="11">
        <v>755246.81</v>
      </c>
      <c r="Y19" s="11">
        <v>1186104.26</v>
      </c>
      <c r="Z19" s="11">
        <v>801158.58</v>
      </c>
      <c r="AA19" s="11">
        <v>642731.09</v>
      </c>
      <c r="AB19" s="11">
        <v>314016.11</v>
      </c>
      <c r="AC19" s="19">
        <v>740545.1</v>
      </c>
      <c r="AD19" s="11">
        <v>694312.09</v>
      </c>
      <c r="AE19" s="11">
        <v>629535.17000000004</v>
      </c>
      <c r="AF19" s="11">
        <v>488234.57</v>
      </c>
      <c r="AG19" s="11">
        <v>601066.35</v>
      </c>
      <c r="AH19" s="11">
        <v>635433.22</v>
      </c>
      <c r="AI19" s="11">
        <v>28283.040000000001</v>
      </c>
      <c r="AJ19" s="11">
        <v>377183.81</v>
      </c>
      <c r="AK19" s="28">
        <v>28217.59</v>
      </c>
      <c r="AL19" s="11">
        <v>353164.46</v>
      </c>
      <c r="AM19" s="34">
        <f>27212.37*12</f>
        <v>326548.44</v>
      </c>
      <c r="AO19" s="19">
        <v>513701.78</v>
      </c>
      <c r="AP19" s="11">
        <v>338074.45</v>
      </c>
    </row>
    <row r="20" spans="1:42" x14ac:dyDescent="0.25">
      <c r="A20" s="1" t="s">
        <v>17</v>
      </c>
      <c r="B20" s="1"/>
      <c r="C20" s="22">
        <v>1285.6199999999999</v>
      </c>
      <c r="D20" s="23"/>
      <c r="E20" s="22">
        <v>4710.8999999999996</v>
      </c>
      <c r="F20" s="23"/>
      <c r="G20" s="22">
        <v>3722.8</v>
      </c>
      <c r="H20" s="23"/>
      <c r="I20" s="20">
        <v>1542</v>
      </c>
      <c r="J20" s="21"/>
      <c r="K20" s="20">
        <v>5570.3</v>
      </c>
      <c r="L20" s="21"/>
      <c r="M20" s="20">
        <v>3980.8</v>
      </c>
      <c r="N20" s="21"/>
      <c r="O20" s="20">
        <v>3741.15</v>
      </c>
      <c r="P20" s="21"/>
      <c r="Q20" s="20">
        <v>5902.23</v>
      </c>
      <c r="R20" s="21"/>
      <c r="S20" s="20">
        <v>3713.1</v>
      </c>
      <c r="T20" s="21"/>
      <c r="U20" s="20">
        <v>7687.9</v>
      </c>
      <c r="V20" s="21"/>
      <c r="W20" s="20">
        <v>6018.32</v>
      </c>
      <c r="X20" s="21"/>
      <c r="Y20" s="20">
        <v>7399.64</v>
      </c>
      <c r="Z20" s="21"/>
      <c r="AA20" s="20">
        <v>4874.6000000000004</v>
      </c>
      <c r="AB20" s="21"/>
      <c r="AC20" s="20"/>
      <c r="AD20" s="21"/>
      <c r="AE20" s="20">
        <v>5925.2</v>
      </c>
      <c r="AF20" s="21"/>
      <c r="AG20" s="20">
        <v>3706.7</v>
      </c>
      <c r="AH20" s="21"/>
      <c r="AI20" s="20">
        <v>4451.0200000000004</v>
      </c>
      <c r="AJ20" s="21"/>
      <c r="AK20" s="31">
        <v>5531</v>
      </c>
      <c r="AL20" s="21"/>
      <c r="AM20" s="36">
        <v>5597.1</v>
      </c>
      <c r="AN20" s="21"/>
      <c r="AO20" s="20"/>
      <c r="AP20" s="21"/>
    </row>
    <row r="21" spans="1:42" ht="15.75" thickBot="1" x14ac:dyDescent="0.3">
      <c r="A21" s="1" t="s">
        <v>18</v>
      </c>
      <c r="B21" s="1"/>
      <c r="C21" s="25">
        <v>901.3</v>
      </c>
      <c r="D21" s="26"/>
      <c r="E21" s="25">
        <v>2880.21</v>
      </c>
      <c r="F21" s="26"/>
      <c r="G21" s="25">
        <v>2894.09</v>
      </c>
      <c r="H21" s="26"/>
      <c r="I21" s="25">
        <v>633.59</v>
      </c>
      <c r="J21" s="26"/>
      <c r="K21" s="25">
        <v>4463.6000000000004</v>
      </c>
      <c r="L21" s="26"/>
      <c r="M21" s="25">
        <v>2528.5</v>
      </c>
      <c r="N21" s="26"/>
      <c r="O21" s="25">
        <v>2509.89</v>
      </c>
      <c r="P21" s="26"/>
      <c r="Q21" s="25">
        <v>4457.13</v>
      </c>
      <c r="R21" s="26"/>
      <c r="S21" s="25">
        <v>3014.19</v>
      </c>
      <c r="T21" s="26"/>
      <c r="U21" s="25">
        <v>4967.9399999999996</v>
      </c>
      <c r="V21" s="26"/>
      <c r="W21" s="25">
        <v>4411.6000000000004</v>
      </c>
      <c r="X21" s="26"/>
      <c r="Y21" s="25">
        <v>5113.3999999999996</v>
      </c>
      <c r="Z21" s="26"/>
      <c r="AA21" s="25">
        <v>3437.8</v>
      </c>
      <c r="AB21" s="26"/>
      <c r="AC21" s="25"/>
      <c r="AD21" s="26"/>
      <c r="AE21" s="20">
        <v>4010.8</v>
      </c>
      <c r="AF21" s="26"/>
      <c r="AG21" s="25">
        <v>2591.25</v>
      </c>
      <c r="AH21" s="26"/>
      <c r="AI21" s="25">
        <v>4454.2299999999996</v>
      </c>
      <c r="AJ21" s="26"/>
      <c r="AK21" s="32">
        <v>4398.45</v>
      </c>
      <c r="AL21" s="26"/>
      <c r="AM21" s="37">
        <v>4239.5</v>
      </c>
      <c r="AN21" s="26"/>
      <c r="AO21" s="25"/>
      <c r="AP21" s="26"/>
    </row>
    <row r="31" spans="1:42" x14ac:dyDescent="0.25">
      <c r="AK31" s="28" t="s">
        <v>42</v>
      </c>
    </row>
  </sheetData>
  <mergeCells count="20">
    <mergeCell ref="AG2:AH2"/>
    <mergeCell ref="AI2:AJ2"/>
    <mergeCell ref="AK2:AL2"/>
    <mergeCell ref="AM2:AN2"/>
    <mergeCell ref="AO2:AP2"/>
    <mergeCell ref="C2:D2"/>
    <mergeCell ref="E2:F2"/>
    <mergeCell ref="G2:H2"/>
    <mergeCell ref="I2:J2"/>
    <mergeCell ref="K2:L2"/>
    <mergeCell ref="M2:N2"/>
    <mergeCell ref="Y2:Z2"/>
    <mergeCell ref="AA2:AB2"/>
    <mergeCell ref="AC2:AD2"/>
    <mergeCell ref="AE2:AF2"/>
    <mergeCell ref="W2:X2"/>
    <mergeCell ref="O2:P2"/>
    <mergeCell ref="Q2:R2"/>
    <mergeCell ref="S2:T2"/>
    <mergeCell ref="U2:V2"/>
  </mergeCells>
  <pageMargins left="0.31496062992125984" right="0.11811023622047245" top="0.15748031496062992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2019-05-30T09:32:45Z</dcterms:modified>
</cp:coreProperties>
</file>