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875" windowHeight="8040" tabRatio="605" firstSheet="41" activeTab="54"/>
  </bookViews>
  <sheets>
    <sheet name="А18" sheetId="1" r:id="rId1"/>
    <sheet name="А23а" sheetId="2" r:id="rId2"/>
    <sheet name="Абр.25" sheetId="3" r:id="rId3"/>
    <sheet name="В4" sheetId="4" r:id="rId4"/>
    <sheet name="В10" sheetId="5" r:id="rId5"/>
    <sheet name="В10,7" sheetId="6" r:id="rId6"/>
    <sheet name="В12" sheetId="7" r:id="rId7"/>
    <sheet name="В13" sheetId="8" r:id="rId8"/>
    <sheet name="В16" sheetId="9" r:id="rId9"/>
    <sheet name="В17" sheetId="10" r:id="rId10"/>
    <sheet name="В18" sheetId="11" r:id="rId11"/>
    <sheet name="В19" sheetId="12" r:id="rId12"/>
    <sheet name="В21" sheetId="13" r:id="rId13"/>
    <sheet name="В22" sheetId="14" r:id="rId14"/>
    <sheet name="В23" sheetId="15" r:id="rId15"/>
    <sheet name="В24" sheetId="16" r:id="rId16"/>
    <sheet name="В25" sheetId="17" r:id="rId17"/>
    <sheet name="В26" sheetId="18" r:id="rId18"/>
    <sheet name="В27" sheetId="19" r:id="rId19"/>
    <sheet name="В28" sheetId="20" r:id="rId20"/>
    <sheet name="В31" sheetId="21" r:id="rId21"/>
    <sheet name="В30" sheetId="22" r:id="rId22"/>
    <sheet name="В32" sheetId="23" r:id="rId23"/>
    <sheet name="В34" sheetId="24" r:id="rId24"/>
    <sheet name="В36" sheetId="25" r:id="rId25"/>
    <sheet name="М1" sheetId="26" r:id="rId26"/>
    <sheet name="М18" sheetId="27" r:id="rId27"/>
    <sheet name="М19" sheetId="28" r:id="rId28"/>
    <sheet name="М28" sheetId="29" r:id="rId29"/>
    <sheet name="М30" sheetId="30" r:id="rId30"/>
    <sheet name="М39" sheetId="31" r:id="rId31"/>
    <sheet name="М41" sheetId="32" r:id="rId32"/>
    <sheet name="М43" sheetId="33" r:id="rId33"/>
    <sheet name="М45" sheetId="34" r:id="rId34"/>
    <sheet name="М47" sheetId="35" r:id="rId35"/>
    <sheet name="Т3" sheetId="36" r:id="rId36"/>
    <sheet name="Т4" sheetId="37" r:id="rId37"/>
    <sheet name="Т10" sheetId="38" r:id="rId38"/>
    <sheet name="Т13" sheetId="39" r:id="rId39"/>
    <sheet name="Т15" sheetId="40" r:id="rId40"/>
    <sheet name="Т17,1" sheetId="41" r:id="rId41"/>
    <sheet name="Т17,2" sheetId="42" r:id="rId42"/>
    <sheet name="Т18" sheetId="43" r:id="rId43"/>
    <sheet name="Т21" sheetId="44" r:id="rId44"/>
    <sheet name="Т23" sheetId="45" r:id="rId45"/>
    <sheet name="Т27" sheetId="46" r:id="rId46"/>
    <sheet name="Пл.100" sheetId="47" r:id="rId47"/>
    <sheet name="П179а" sheetId="48" r:id="rId48"/>
    <sheet name="П181" sheetId="49" r:id="rId49"/>
    <sheet name="181А" sheetId="50" r:id="rId50"/>
    <sheet name="П183" sheetId="51" r:id="rId51"/>
    <sheet name="П185" sheetId="52" r:id="rId52"/>
    <sheet name="П187" sheetId="53" r:id="rId53"/>
    <sheet name="Пл.191" sheetId="54" r:id="rId54"/>
    <sheet name="ВЛКСМ16" sheetId="55" r:id="rId55"/>
  </sheets>
  <definedNames>
    <definedName name="_xlnm.Print_Area" localSheetId="15">'В24'!$A$1:$F$50</definedName>
    <definedName name="_xlnm.Print_Area" localSheetId="17">'В26'!$A$1:$F$54</definedName>
    <definedName name="_xlnm.Print_Area" localSheetId="19">'В28'!$A$1:$F$52</definedName>
    <definedName name="_xlnm.Print_Area" localSheetId="43">'Т21'!$A$1:$F$52</definedName>
  </definedNames>
  <calcPr fullCalcOnLoad="1"/>
</workbook>
</file>

<file path=xl/sharedStrings.xml><?xml version="1.0" encoding="utf-8"?>
<sst xmlns="http://schemas.openxmlformats.org/spreadsheetml/2006/main" count="3663" uniqueCount="220">
  <si>
    <t>Галиулин Д.Г.</t>
  </si>
  <si>
    <t xml:space="preserve">Наименование </t>
  </si>
  <si>
    <t>статей</t>
  </si>
  <si>
    <t>Ед.</t>
  </si>
  <si>
    <t>Факт</t>
  </si>
  <si>
    <t>Обслуживаемая площадь</t>
  </si>
  <si>
    <t>Оплачиваемая площадь</t>
  </si>
  <si>
    <t>Доходы</t>
  </si>
  <si>
    <t>Оплата за содержание</t>
  </si>
  <si>
    <t>руб.</t>
  </si>
  <si>
    <t>Итого доходы:</t>
  </si>
  <si>
    <t>Оплата труда :</t>
  </si>
  <si>
    <t>дворник</t>
  </si>
  <si>
    <t>уборщик лест.клеток</t>
  </si>
  <si>
    <t>уборщик мусоропров.</t>
  </si>
  <si>
    <t>Материалы</t>
  </si>
  <si>
    <t>Расходы по договорам:</t>
  </si>
  <si>
    <t>оплата услуг (Банк,почта)</t>
  </si>
  <si>
    <t>дератизация</t>
  </si>
  <si>
    <t>дезинсекция</t>
  </si>
  <si>
    <t>аварийная служба</t>
  </si>
  <si>
    <t>транспортные расходы</t>
  </si>
  <si>
    <t>Общеэксплуатационные расходы</t>
  </si>
  <si>
    <t>Всего расходов по эксплуатации</t>
  </si>
  <si>
    <t>Всего расходов по себестоимости</t>
  </si>
  <si>
    <t xml:space="preserve">                                                      АНАЛИЗ</t>
  </si>
  <si>
    <t>Аганов В.М.</t>
  </si>
  <si>
    <t>Начислено квартплаты</t>
  </si>
  <si>
    <t>поверка приборов учета</t>
  </si>
  <si>
    <t xml:space="preserve">         расходов на содержание и обслуживание жилого фонда по ООО "ДУ-8"</t>
  </si>
  <si>
    <t>Директор ООО "ДУ-8"</t>
  </si>
  <si>
    <t>Гл.бухгалтер</t>
  </si>
  <si>
    <t>Налог 6%</t>
  </si>
  <si>
    <t>изм.</t>
  </si>
  <si>
    <t>м2</t>
  </si>
  <si>
    <t>изм</t>
  </si>
  <si>
    <t>руб</t>
  </si>
  <si>
    <t>Начисление квартплаты</t>
  </si>
  <si>
    <t xml:space="preserve">                                              </t>
  </si>
  <si>
    <t xml:space="preserve">                                        </t>
  </si>
  <si>
    <t xml:space="preserve">                                             </t>
  </si>
  <si>
    <t xml:space="preserve">                                               </t>
  </si>
  <si>
    <t xml:space="preserve">                                           </t>
  </si>
  <si>
    <t xml:space="preserve">                                            </t>
  </si>
  <si>
    <t>Фин. результат с нарастающим итогом</t>
  </si>
  <si>
    <t>Фин.результат с нарастающим итогом</t>
  </si>
  <si>
    <t xml:space="preserve">                                    </t>
  </si>
  <si>
    <t xml:space="preserve">                                   </t>
  </si>
  <si>
    <t xml:space="preserve">                                       </t>
  </si>
  <si>
    <t>измер.</t>
  </si>
  <si>
    <t>метр2</t>
  </si>
  <si>
    <t xml:space="preserve">                                      </t>
  </si>
  <si>
    <t xml:space="preserve">                                          </t>
  </si>
  <si>
    <t>Ед,</t>
  </si>
  <si>
    <t>подряд.работы (гермет. швов)</t>
  </si>
  <si>
    <t>покупка оборудования</t>
  </si>
  <si>
    <t xml:space="preserve">Остаток средств </t>
  </si>
  <si>
    <t>РАСХОДЫ:</t>
  </si>
  <si>
    <t>I</t>
  </si>
  <si>
    <t>Обслуживающий персонал:</t>
  </si>
  <si>
    <t>Служба эксплуатации</t>
  </si>
  <si>
    <t>II</t>
  </si>
  <si>
    <t>III</t>
  </si>
  <si>
    <t xml:space="preserve">Всего расходов по себестоимости </t>
  </si>
  <si>
    <t>IV</t>
  </si>
  <si>
    <t>V</t>
  </si>
  <si>
    <t>VI</t>
  </si>
  <si>
    <t>VII</t>
  </si>
  <si>
    <t>VIII</t>
  </si>
  <si>
    <t>IX</t>
  </si>
  <si>
    <t>Остаток средств</t>
  </si>
  <si>
    <t xml:space="preserve"> расходов на содержание и обслуживание жилого фонда по ООО "ДУ-8"</t>
  </si>
  <si>
    <t>Остаток сроедств</t>
  </si>
  <si>
    <t>Остаток  средств</t>
  </si>
  <si>
    <t>Текущий ремонт</t>
  </si>
  <si>
    <t xml:space="preserve">  расходов на содержание и обслуживание жилого фонда по ООО "ДУ-8"</t>
  </si>
  <si>
    <t>Устранение засоров</t>
  </si>
  <si>
    <t>Галиулин Д,Г,</t>
  </si>
  <si>
    <t>Остаток средств на содерж.ж.фонда</t>
  </si>
  <si>
    <t>Остаток средств на текущий ремонт</t>
  </si>
  <si>
    <t>тех.обслуживание приборов учета</t>
  </si>
  <si>
    <t>прочистка канализации</t>
  </si>
  <si>
    <t>Прочие доходы</t>
  </si>
  <si>
    <t>Промывка системы отопления</t>
  </si>
  <si>
    <t>Прочие расходы</t>
  </si>
  <si>
    <t>Остаток средств на тек.ремонт</t>
  </si>
  <si>
    <t>Остаток тек.ремонта</t>
  </si>
  <si>
    <t>Расход  на тек.ремонт</t>
  </si>
  <si>
    <t>оплата труда работников сл.эксплуатации</t>
  </si>
  <si>
    <t>покос травы</t>
  </si>
  <si>
    <t>Техобслуживание приборов учета</t>
  </si>
  <si>
    <t>Прочистка канализации</t>
  </si>
  <si>
    <t>Общеэксплуатационные расходы (24%)</t>
  </si>
  <si>
    <t>Остаток по текущему ремонту</t>
  </si>
  <si>
    <t>Остаток на тек.ремонт</t>
  </si>
  <si>
    <t>оплата труда работников службы эксплуат.</t>
  </si>
  <si>
    <t>оплата труда работников службы экспл.</t>
  </si>
  <si>
    <t>Остаток текущего ремонта</t>
  </si>
  <si>
    <t>Общий остаток</t>
  </si>
  <si>
    <t>подряд.работы (гермет.швов,крыши)</t>
  </si>
  <si>
    <t>Текущий ремонт (расход)</t>
  </si>
  <si>
    <t>субботник</t>
  </si>
  <si>
    <t>Остаток средств на содержание</t>
  </si>
  <si>
    <t>благоустройство тер-ии</t>
  </si>
  <si>
    <t>Расход по текущему ремонту</t>
  </si>
  <si>
    <t xml:space="preserve">           за   2014 г. жилого дома по ул.Абрикосовая, 18</t>
  </si>
  <si>
    <t>за  2014г.</t>
  </si>
  <si>
    <t>Общеэксплуатационные расходы ( 24%)</t>
  </si>
  <si>
    <t>Услуги управления</t>
  </si>
  <si>
    <t xml:space="preserve">Расход по текущему ремонту </t>
  </si>
  <si>
    <t xml:space="preserve"> 1 полугодие 2014г.</t>
  </si>
  <si>
    <t>Благоустройство придомовой территории</t>
  </si>
  <si>
    <t>договора</t>
  </si>
  <si>
    <t xml:space="preserve">                       за 1 полугодие  2014 г. жилого дома по ул. Вишневая , 24.</t>
  </si>
  <si>
    <t>благоустройство территории</t>
  </si>
  <si>
    <t>вывоз мусора (САХ)</t>
  </si>
  <si>
    <t xml:space="preserve">Прочие доходы </t>
  </si>
  <si>
    <t>договора (изготовление)</t>
  </si>
  <si>
    <t xml:space="preserve">                                                       </t>
  </si>
  <si>
    <t xml:space="preserve">Текущий ремонт </t>
  </si>
  <si>
    <t>Остаток средств на содерж.и тек.ж.фонда</t>
  </si>
  <si>
    <t>Сервитут</t>
  </si>
  <si>
    <t>покос травы, благоустройство тер-ии</t>
  </si>
  <si>
    <t xml:space="preserve">                       за 1 полугодие  2014 г. жилого дома по ул. Труда, 3</t>
  </si>
  <si>
    <t>Начислено за содержание</t>
  </si>
  <si>
    <t>Начислено за текущий ремонт</t>
  </si>
  <si>
    <t>а</t>
  </si>
  <si>
    <t>б</t>
  </si>
  <si>
    <t>в</t>
  </si>
  <si>
    <t>Договорные обязательства:</t>
  </si>
  <si>
    <t>техобслуживание приборов учета</t>
  </si>
  <si>
    <t>износ техники</t>
  </si>
  <si>
    <t>Фин.рез-т с нарастающим итогом по содерж.</t>
  </si>
  <si>
    <t>Финансовый результат за 2014 год</t>
  </si>
  <si>
    <t xml:space="preserve">  за  2014г.</t>
  </si>
  <si>
    <t xml:space="preserve">                          за  2014 год  жилого дома по  ул.Труда ,3</t>
  </si>
  <si>
    <t>Отчисление на зарплату</t>
  </si>
  <si>
    <t xml:space="preserve">                       за   2014 г. жилого дома по ул. Труда, 10</t>
  </si>
  <si>
    <t xml:space="preserve"> 2014г.</t>
  </si>
  <si>
    <t xml:space="preserve">                       за   2014 г. жилого дома по ул. Труда, 4</t>
  </si>
  <si>
    <t xml:space="preserve">  2014г.</t>
  </si>
  <si>
    <t>госпошлина</t>
  </si>
  <si>
    <t>Финансовый результат за 2014 г.</t>
  </si>
  <si>
    <t>Покос травы</t>
  </si>
  <si>
    <t>Оплата труда работников службы эксплуат.</t>
  </si>
  <si>
    <t xml:space="preserve">                       за   2014 г. жилого дома по ул. Труда, 13</t>
  </si>
  <si>
    <t xml:space="preserve"> 2014 г.</t>
  </si>
  <si>
    <t xml:space="preserve">                       за   2014 г. жилого дома по ул. Труда, 15</t>
  </si>
  <si>
    <t>профилактич.испытание электроустановок</t>
  </si>
  <si>
    <t xml:space="preserve">                       за   2014 г. жилого дома по ул. Труда, 17/1</t>
  </si>
  <si>
    <t>Финансовый результат за  2014 г.</t>
  </si>
  <si>
    <t xml:space="preserve">                       за   2014 г. жилого дома по ул. Труда, 17/2</t>
  </si>
  <si>
    <t xml:space="preserve">                       за   2014 г. жилого дома по ул. Труда, 21</t>
  </si>
  <si>
    <t xml:space="preserve">                       за  2014 г. жилого дома по ул. Труда, 23</t>
  </si>
  <si>
    <t xml:space="preserve">                       за   2014 г. жилого дома по ул. Труда,27.</t>
  </si>
  <si>
    <t xml:space="preserve">                       за   2014 г. жилого дома по ул. Пластунская , 179А</t>
  </si>
  <si>
    <t>Благоустройство тер-ии</t>
  </si>
  <si>
    <t>Субботник</t>
  </si>
  <si>
    <t xml:space="preserve">                       за   2014 г. жилого дома по ул. Пластунская , 181.</t>
  </si>
  <si>
    <t xml:space="preserve">                       за   2014 г. жилого дома по ул. Пластунская , 183.</t>
  </si>
  <si>
    <t xml:space="preserve">                       за   2014 г. жилого дома по ул. Пластунская , 185.</t>
  </si>
  <si>
    <t>Благоустройство территории</t>
  </si>
  <si>
    <t xml:space="preserve">                       за   2014 г. жилого дома по ул. 60 лет  ВЛКСМ ,16</t>
  </si>
  <si>
    <t xml:space="preserve">                       за   2014 г. жилого дома по ул. Пластунская , 191.</t>
  </si>
  <si>
    <t>подряд.работы (установка кобр)</t>
  </si>
  <si>
    <t>X</t>
  </si>
  <si>
    <t>Финансовый рез-т по содерж. за 2014г.</t>
  </si>
  <si>
    <t>Финансовый результат за 2014г.</t>
  </si>
  <si>
    <t>Прочие доходы (скаптел)</t>
  </si>
  <si>
    <t xml:space="preserve">                       за    2014 г. жилого дома по ул.Макаренко,1</t>
  </si>
  <si>
    <t xml:space="preserve">  2014 г.</t>
  </si>
  <si>
    <t xml:space="preserve">                       за    2014 г. жилого дома по ул.Макаренко,18</t>
  </si>
  <si>
    <t xml:space="preserve">                       за   2014 г. жилого дома по ул.Макаренко,19</t>
  </si>
  <si>
    <t xml:space="preserve">                       за   2014 г. жилого дома по ул.Макаренко,28</t>
  </si>
  <si>
    <t>за   2014г.</t>
  </si>
  <si>
    <t xml:space="preserve">                       за  2014г. жилого дома по ул.Макаренко,30</t>
  </si>
  <si>
    <t xml:space="preserve">                       за   2014 г. жилого дома по ул.Макаренко,39</t>
  </si>
  <si>
    <t xml:space="preserve">                       за    2014 г. жилого дома по ул.Макаренко,41</t>
  </si>
  <si>
    <t xml:space="preserve">                       за    2014 г. жилого дома по ул.Макаренко,43</t>
  </si>
  <si>
    <t xml:space="preserve">                       за    2014 г. жилого дома по ул.Макаренко,45</t>
  </si>
  <si>
    <t xml:space="preserve">           за   2014 г. жилого дома по ул.Абрикосовая, 23а</t>
  </si>
  <si>
    <t xml:space="preserve">                       за   2014 г. жилого дома по ул. Вишневая , 4.</t>
  </si>
  <si>
    <t xml:space="preserve">              за    2014 г. жилого дома по ул. Вишневая , 10.</t>
  </si>
  <si>
    <t xml:space="preserve"> за   2014г.</t>
  </si>
  <si>
    <t xml:space="preserve">              за    2014 г. жилого дома по ул. Вишневая , 10/7</t>
  </si>
  <si>
    <t xml:space="preserve">                       за  2014 г. жилого дома по ул. Вишневая , 26.</t>
  </si>
  <si>
    <t xml:space="preserve">                       за  2014 г. жилого дома по ул. Вишневая , 30.</t>
  </si>
  <si>
    <t>изготовление договоров</t>
  </si>
  <si>
    <t xml:space="preserve">подряд.работы </t>
  </si>
  <si>
    <t>подряд.работы (тер.)</t>
  </si>
  <si>
    <t>XI</t>
  </si>
  <si>
    <t xml:space="preserve">                       за   2014 г. жилого дома по ул.Абрикосовая, 25</t>
  </si>
  <si>
    <t>Общеэксплуатационные расходы  24%</t>
  </si>
  <si>
    <t xml:space="preserve">                       за   2014 г. жилого дома по ул. Вишневая , 16.</t>
  </si>
  <si>
    <t xml:space="preserve">        2014г.</t>
  </si>
  <si>
    <t xml:space="preserve">                       за   2014 г. жилого дома по ул. Вишневая , 17.</t>
  </si>
  <si>
    <t xml:space="preserve">                       за   2014 г. жилого дома по ул. Вишневая , 18.</t>
  </si>
  <si>
    <t xml:space="preserve">                       за   2014 г. жилого дома по ул. Вишневая , 19.</t>
  </si>
  <si>
    <t xml:space="preserve">                       за   2014 г. жилого дома по ул. Вишневая , 21.</t>
  </si>
  <si>
    <t xml:space="preserve">                       за   2014 г. жилого дома по ул. Вишневая ,12.</t>
  </si>
  <si>
    <t xml:space="preserve">                       за   2014 г. жилого дома по ул. Вишневая ,13.</t>
  </si>
  <si>
    <t xml:space="preserve">            за    2014 г. жилого дома по ул. Вишневая , 22.</t>
  </si>
  <si>
    <t xml:space="preserve">                       за   2014 г. жилого дома по ул. Вишневая , 23.</t>
  </si>
  <si>
    <t xml:space="preserve">                 за  2014 г. жилого дома по ул.Вишневая , 25.</t>
  </si>
  <si>
    <t xml:space="preserve">                       за   2014 г. жилого дома по ул. Вишневая , 27.</t>
  </si>
  <si>
    <t xml:space="preserve">                       за   2014 г. жилого дома по ул. Вишневая , 28.</t>
  </si>
  <si>
    <t xml:space="preserve">           за   2014 г. жилого дома по ул. Вишневая ,31</t>
  </si>
  <si>
    <t xml:space="preserve">                       за   2014 г. жилого дома по ул. Вишневая , 32.</t>
  </si>
  <si>
    <t xml:space="preserve">                       за   2014 г. жилого дома по ул. Вишневая , 34.</t>
  </si>
  <si>
    <t>Уборка черд помещений,благоустройство</t>
  </si>
  <si>
    <t>Покос травы и благоустройство территории</t>
  </si>
  <si>
    <t xml:space="preserve">                       за     2014 г. жилого дома по ул.Макаренко,47</t>
  </si>
  <si>
    <t xml:space="preserve">Общеэксплуатационные расходы </t>
  </si>
  <si>
    <t xml:space="preserve">                       за  2014 г. жилого дома по ул.Пластунская , 181а</t>
  </si>
  <si>
    <t xml:space="preserve">                       за   2014 г. жилого дома по ул. Пластунская , 100</t>
  </si>
  <si>
    <t xml:space="preserve">                       за   2014 г. жилого дома по ул. Вишневая , 36.</t>
  </si>
  <si>
    <t xml:space="preserve">                       за  2014 г. жилого дома по ул. Труда, 18</t>
  </si>
  <si>
    <t>ремонт подъездов</t>
  </si>
  <si>
    <t>прочие расходы</t>
  </si>
  <si>
    <t xml:space="preserve">                       за    2014 г. жилого дома по ул. Пластунская , 187.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</si>
</sst>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0_ ;\-#,##0.00\ "/>
    <numFmt numFmtId="170" formatCode="0.000"/>
    <numFmt numFmtId="171" formatCode="0.0000"/>
    <numFmt numFmtId="172" formatCode="#,##0.00&quot;р.&quot;"/>
    <numFmt numFmtId="173" formatCode="0.00000"/>
    <numFmt numFmtId="174" formatCode="#,##0.00_р_."/>
    <numFmt numFmtId="175" formatCode="0.0%"/>
    <numFmt numFmtId="176" formatCode="0.000000"/>
  </numFmts>
  <fonts count="40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0" fontId="1" fillId="0" borderId="0" xfId="68">
      <alignment/>
      <protection/>
    </xf>
    <xf numFmtId="0" fontId="2" fillId="0" borderId="0" xfId="68" applyFont="1">
      <alignment/>
      <protection/>
    </xf>
    <xf numFmtId="0" fontId="1" fillId="0" borderId="0" xfId="68" applyBorder="1">
      <alignment/>
      <protection/>
    </xf>
    <xf numFmtId="0" fontId="1" fillId="0" borderId="10" xfId="68" applyBorder="1" applyAlignment="1">
      <alignment horizontal="center"/>
      <protection/>
    </xf>
    <xf numFmtId="0" fontId="1" fillId="0" borderId="10" xfId="68" applyBorder="1">
      <alignment/>
      <protection/>
    </xf>
    <xf numFmtId="0" fontId="1" fillId="0" borderId="11" xfId="68" applyBorder="1">
      <alignment/>
      <protection/>
    </xf>
    <xf numFmtId="0" fontId="1" fillId="0" borderId="12" xfId="68" applyBorder="1">
      <alignment/>
      <protection/>
    </xf>
    <xf numFmtId="0" fontId="2" fillId="0" borderId="11" xfId="68" applyFont="1" applyBorder="1" applyAlignment="1">
      <alignment horizontal="center"/>
      <protection/>
    </xf>
    <xf numFmtId="0" fontId="3" fillId="0" borderId="11" xfId="68" applyFont="1" applyBorder="1" applyAlignment="1">
      <alignment horizontal="center"/>
      <protection/>
    </xf>
    <xf numFmtId="0" fontId="1" fillId="0" borderId="11" xfId="68" applyFont="1" applyBorder="1">
      <alignment/>
      <protection/>
    </xf>
    <xf numFmtId="0" fontId="1" fillId="0" borderId="13" xfId="68" applyBorder="1">
      <alignment/>
      <protection/>
    </xf>
    <xf numFmtId="0" fontId="1" fillId="0" borderId="14" xfId="68" applyBorder="1">
      <alignment/>
      <protection/>
    </xf>
    <xf numFmtId="0" fontId="1" fillId="0" borderId="15" xfId="68" applyBorder="1">
      <alignment/>
      <protection/>
    </xf>
    <xf numFmtId="0" fontId="1" fillId="0" borderId="16" xfId="68" applyBorder="1">
      <alignment/>
      <protection/>
    </xf>
    <xf numFmtId="0" fontId="1" fillId="0" borderId="16" xfId="68" applyBorder="1" applyAlignment="1">
      <alignment horizontal="center"/>
      <protection/>
    </xf>
    <xf numFmtId="0" fontId="3" fillId="0" borderId="16" xfId="68" applyFont="1" applyBorder="1" applyAlignment="1">
      <alignment horizontal="center"/>
      <protection/>
    </xf>
    <xf numFmtId="0" fontId="2" fillId="0" borderId="16" xfId="68" applyFont="1" applyBorder="1" applyAlignment="1">
      <alignment horizontal="center"/>
      <protection/>
    </xf>
    <xf numFmtId="2" fontId="1" fillId="0" borderId="16" xfId="68" applyNumberFormat="1" applyBorder="1">
      <alignment/>
      <protection/>
    </xf>
    <xf numFmtId="2" fontId="3" fillId="0" borderId="16" xfId="68" applyNumberFormat="1" applyFont="1" applyBorder="1">
      <alignment/>
      <protection/>
    </xf>
    <xf numFmtId="0" fontId="3" fillId="0" borderId="16" xfId="68" applyFont="1" applyBorder="1">
      <alignment/>
      <protection/>
    </xf>
    <xf numFmtId="2" fontId="1" fillId="0" borderId="16" xfId="68" applyNumberFormat="1" applyFont="1" applyBorder="1">
      <alignment/>
      <protection/>
    </xf>
    <xf numFmtId="0" fontId="1" fillId="0" borderId="16" xfId="68" applyFont="1" applyBorder="1">
      <alignment/>
      <protection/>
    </xf>
    <xf numFmtId="0" fontId="1" fillId="0" borderId="10" xfId="55" applyBorder="1" applyAlignment="1">
      <alignment horizontal="center"/>
      <protection/>
    </xf>
    <xf numFmtId="0" fontId="1" fillId="0" borderId="0" xfId="70">
      <alignment/>
      <protection/>
    </xf>
    <xf numFmtId="0" fontId="2" fillId="0" borderId="0" xfId="70" applyFont="1">
      <alignment/>
      <protection/>
    </xf>
    <xf numFmtId="0" fontId="2" fillId="0" borderId="11" xfId="70" applyFont="1" applyBorder="1" applyAlignment="1">
      <alignment horizontal="center"/>
      <protection/>
    </xf>
    <xf numFmtId="0" fontId="3" fillId="0" borderId="11" xfId="70" applyFont="1" applyBorder="1" applyAlignment="1">
      <alignment horizontal="center"/>
      <protection/>
    </xf>
    <xf numFmtId="0" fontId="1" fillId="0" borderId="11" xfId="70" applyFont="1" applyBorder="1">
      <alignment/>
      <protection/>
    </xf>
    <xf numFmtId="0" fontId="1" fillId="0" borderId="13" xfId="70" applyBorder="1">
      <alignment/>
      <protection/>
    </xf>
    <xf numFmtId="0" fontId="1" fillId="0" borderId="14" xfId="70" applyBorder="1">
      <alignment/>
      <protection/>
    </xf>
    <xf numFmtId="0" fontId="1" fillId="0" borderId="15" xfId="70" applyBorder="1">
      <alignment/>
      <protection/>
    </xf>
    <xf numFmtId="0" fontId="1" fillId="0" borderId="16" xfId="70" applyBorder="1">
      <alignment/>
      <protection/>
    </xf>
    <xf numFmtId="0" fontId="1" fillId="0" borderId="16" xfId="70" applyBorder="1" applyAlignment="1">
      <alignment horizontal="center"/>
      <protection/>
    </xf>
    <xf numFmtId="0" fontId="3" fillId="0" borderId="16" xfId="70" applyFont="1" applyBorder="1" applyAlignment="1">
      <alignment horizontal="center"/>
      <protection/>
    </xf>
    <xf numFmtId="0" fontId="2" fillId="0" borderId="16" xfId="70" applyFont="1" applyBorder="1" applyAlignment="1">
      <alignment horizontal="center"/>
      <protection/>
    </xf>
    <xf numFmtId="0" fontId="3" fillId="0" borderId="16" xfId="70" applyFont="1" applyBorder="1">
      <alignment/>
      <protection/>
    </xf>
    <xf numFmtId="0" fontId="1" fillId="0" borderId="0" xfId="71">
      <alignment/>
      <protection/>
    </xf>
    <xf numFmtId="0" fontId="2" fillId="0" borderId="0" xfId="71" applyFont="1">
      <alignment/>
      <protection/>
    </xf>
    <xf numFmtId="0" fontId="1" fillId="0" borderId="10" xfId="71" applyBorder="1">
      <alignment/>
      <protection/>
    </xf>
    <xf numFmtId="0" fontId="1" fillId="0" borderId="11" xfId="71" applyBorder="1">
      <alignment/>
      <protection/>
    </xf>
    <xf numFmtId="0" fontId="1" fillId="0" borderId="17" xfId="71" applyBorder="1">
      <alignment/>
      <protection/>
    </xf>
    <xf numFmtId="0" fontId="1" fillId="0" borderId="12" xfId="71" applyBorder="1">
      <alignment/>
      <protection/>
    </xf>
    <xf numFmtId="0" fontId="2" fillId="0" borderId="11" xfId="71" applyFont="1" applyBorder="1" applyAlignment="1">
      <alignment horizontal="center"/>
      <protection/>
    </xf>
    <xf numFmtId="0" fontId="3" fillId="0" borderId="11" xfId="71" applyFont="1" applyBorder="1" applyAlignment="1">
      <alignment horizontal="center"/>
      <protection/>
    </xf>
    <xf numFmtId="0" fontId="1" fillId="0" borderId="11" xfId="71" applyFont="1" applyBorder="1">
      <alignment/>
      <protection/>
    </xf>
    <xf numFmtId="0" fontId="1" fillId="0" borderId="13" xfId="71" applyBorder="1">
      <alignment/>
      <protection/>
    </xf>
    <xf numFmtId="0" fontId="1" fillId="0" borderId="14" xfId="71" applyBorder="1">
      <alignment/>
      <protection/>
    </xf>
    <xf numFmtId="0" fontId="1" fillId="0" borderId="15" xfId="71" applyBorder="1">
      <alignment/>
      <protection/>
    </xf>
    <xf numFmtId="0" fontId="1" fillId="0" borderId="16" xfId="71" applyBorder="1">
      <alignment/>
      <protection/>
    </xf>
    <xf numFmtId="0" fontId="1" fillId="0" borderId="16" xfId="71" applyBorder="1" applyAlignment="1">
      <alignment horizontal="center"/>
      <protection/>
    </xf>
    <xf numFmtId="0" fontId="3" fillId="0" borderId="16" xfId="71" applyFont="1" applyBorder="1" applyAlignment="1">
      <alignment horizontal="center"/>
      <protection/>
    </xf>
    <xf numFmtId="0" fontId="2" fillId="0" borderId="16" xfId="71" applyFont="1" applyBorder="1" applyAlignment="1">
      <alignment horizontal="center"/>
      <protection/>
    </xf>
    <xf numFmtId="0" fontId="3" fillId="0" borderId="16" xfId="71" applyFont="1" applyBorder="1">
      <alignment/>
      <protection/>
    </xf>
    <xf numFmtId="0" fontId="1" fillId="0" borderId="10" xfId="54" applyBorder="1" applyAlignment="1">
      <alignment horizontal="center"/>
      <protection/>
    </xf>
    <xf numFmtId="0" fontId="1" fillId="0" borderId="0" xfId="69">
      <alignment/>
      <protection/>
    </xf>
    <xf numFmtId="0" fontId="2" fillId="0" borderId="0" xfId="69" applyFont="1">
      <alignment/>
      <protection/>
    </xf>
    <xf numFmtId="0" fontId="1" fillId="0" borderId="10" xfId="69" applyBorder="1" applyAlignment="1">
      <alignment horizontal="center"/>
      <protection/>
    </xf>
    <xf numFmtId="0" fontId="1" fillId="0" borderId="10" xfId="69" applyBorder="1">
      <alignment/>
      <protection/>
    </xf>
    <xf numFmtId="0" fontId="1" fillId="0" borderId="11" xfId="69" applyBorder="1">
      <alignment/>
      <protection/>
    </xf>
    <xf numFmtId="0" fontId="1" fillId="0" borderId="17" xfId="69" applyBorder="1">
      <alignment/>
      <protection/>
    </xf>
    <xf numFmtId="0" fontId="1" fillId="0" borderId="12" xfId="69" applyBorder="1">
      <alignment/>
      <protection/>
    </xf>
    <xf numFmtId="0" fontId="2" fillId="0" borderId="11" xfId="69" applyFont="1" applyBorder="1" applyAlignment="1">
      <alignment horizontal="center"/>
      <protection/>
    </xf>
    <xf numFmtId="0" fontId="3" fillId="0" borderId="11" xfId="69" applyFont="1" applyBorder="1" applyAlignment="1">
      <alignment horizontal="center"/>
      <protection/>
    </xf>
    <xf numFmtId="0" fontId="1" fillId="0" borderId="11" xfId="69" applyFont="1" applyBorder="1">
      <alignment/>
      <protection/>
    </xf>
    <xf numFmtId="0" fontId="1" fillId="0" borderId="13" xfId="69" applyBorder="1">
      <alignment/>
      <protection/>
    </xf>
    <xf numFmtId="0" fontId="1" fillId="0" borderId="14" xfId="69" applyBorder="1">
      <alignment/>
      <protection/>
    </xf>
    <xf numFmtId="0" fontId="1" fillId="0" borderId="15" xfId="69" applyBorder="1">
      <alignment/>
      <protection/>
    </xf>
    <xf numFmtId="0" fontId="1" fillId="0" borderId="16" xfId="69" applyBorder="1">
      <alignment/>
      <protection/>
    </xf>
    <xf numFmtId="0" fontId="1" fillId="0" borderId="16" xfId="69" applyBorder="1" applyAlignment="1">
      <alignment horizontal="center"/>
      <protection/>
    </xf>
    <xf numFmtId="0" fontId="3" fillId="0" borderId="16" xfId="69" applyFont="1" applyBorder="1" applyAlignment="1">
      <alignment horizontal="center"/>
      <protection/>
    </xf>
    <xf numFmtId="0" fontId="2" fillId="0" borderId="16" xfId="69" applyFont="1" applyBorder="1" applyAlignment="1">
      <alignment horizontal="center"/>
      <protection/>
    </xf>
    <xf numFmtId="0" fontId="3" fillId="0" borderId="16" xfId="69" applyFont="1" applyBorder="1">
      <alignment/>
      <protection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1" fillId="0" borderId="10" xfId="52" applyBorder="1" applyAlignment="1">
      <alignment horizontal="center"/>
      <protection/>
    </xf>
    <xf numFmtId="0" fontId="1" fillId="0" borderId="10" xfId="52" applyBorder="1">
      <alignment/>
      <protection/>
    </xf>
    <xf numFmtId="0" fontId="1" fillId="0" borderId="11" xfId="52" applyBorder="1">
      <alignment/>
      <protection/>
    </xf>
    <xf numFmtId="0" fontId="2" fillId="0" borderId="11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1" fillId="0" borderId="13" xfId="52" applyBorder="1">
      <alignment/>
      <protection/>
    </xf>
    <xf numFmtId="0" fontId="1" fillId="0" borderId="14" xfId="52" applyBorder="1">
      <alignment/>
      <protection/>
    </xf>
    <xf numFmtId="0" fontId="1" fillId="0" borderId="15" xfId="52" applyBorder="1">
      <alignment/>
      <protection/>
    </xf>
    <xf numFmtId="0" fontId="1" fillId="0" borderId="16" xfId="52" applyBorder="1">
      <alignment/>
      <protection/>
    </xf>
    <xf numFmtId="0" fontId="1" fillId="0" borderId="16" xfId="52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6" xfId="52" applyFont="1" applyBorder="1">
      <alignment/>
      <protection/>
    </xf>
    <xf numFmtId="0" fontId="2" fillId="0" borderId="16" xfId="52" applyFont="1" applyBorder="1" applyAlignment="1">
      <alignment horizontal="center"/>
      <protection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1" fillId="0" borderId="11" xfId="53" applyBorder="1">
      <alignment/>
      <protection/>
    </xf>
    <xf numFmtId="0" fontId="2" fillId="0" borderId="11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1" fillId="0" borderId="13" xfId="53" applyBorder="1">
      <alignment/>
      <protection/>
    </xf>
    <xf numFmtId="0" fontId="1" fillId="0" borderId="14" xfId="53" applyBorder="1">
      <alignment/>
      <protection/>
    </xf>
    <xf numFmtId="0" fontId="1" fillId="0" borderId="15" xfId="53" applyBorder="1">
      <alignment/>
      <protection/>
    </xf>
    <xf numFmtId="0" fontId="1" fillId="0" borderId="16" xfId="53" applyBorder="1">
      <alignment/>
      <protection/>
    </xf>
    <xf numFmtId="0" fontId="1" fillId="0" borderId="16" xfId="53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0" fontId="3" fillId="0" borderId="16" xfId="53" applyFont="1" applyBorder="1">
      <alignment/>
      <protection/>
    </xf>
    <xf numFmtId="0" fontId="1" fillId="0" borderId="0" xfId="54">
      <alignment/>
      <protection/>
    </xf>
    <xf numFmtId="0" fontId="2" fillId="0" borderId="0" xfId="54" applyFont="1">
      <alignment/>
      <protection/>
    </xf>
    <xf numFmtId="0" fontId="1" fillId="0" borderId="10" xfId="54" applyBorder="1">
      <alignment/>
      <protection/>
    </xf>
    <xf numFmtId="0" fontId="2" fillId="0" borderId="11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1" fillId="0" borderId="11" xfId="54" applyFont="1" applyBorder="1">
      <alignment/>
      <protection/>
    </xf>
    <xf numFmtId="0" fontId="1" fillId="0" borderId="16" xfId="54" applyBorder="1">
      <alignment/>
      <protection/>
    </xf>
    <xf numFmtId="0" fontId="1" fillId="0" borderId="16" xfId="54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3" fillId="0" borderId="16" xfId="54" applyFont="1" applyBorder="1">
      <alignment/>
      <protection/>
    </xf>
    <xf numFmtId="0" fontId="1" fillId="0" borderId="0" xfId="55">
      <alignment/>
      <protection/>
    </xf>
    <xf numFmtId="0" fontId="2" fillId="0" borderId="0" xfId="55" applyFont="1">
      <alignment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17" xfId="55" applyBorder="1">
      <alignment/>
      <protection/>
    </xf>
    <xf numFmtId="0" fontId="1" fillId="0" borderId="12" xfId="55" applyBorder="1">
      <alignment/>
      <protection/>
    </xf>
    <xf numFmtId="0" fontId="2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1" fillId="0" borderId="11" xfId="55" applyFont="1" applyBorder="1">
      <alignment/>
      <protection/>
    </xf>
    <xf numFmtId="0" fontId="1" fillId="0" borderId="13" xfId="55" applyBorder="1">
      <alignment/>
      <protection/>
    </xf>
    <xf numFmtId="0" fontId="1" fillId="0" borderId="14" xfId="55" applyBorder="1">
      <alignment/>
      <protection/>
    </xf>
    <xf numFmtId="0" fontId="1" fillId="0" borderId="15" xfId="55" applyBorder="1">
      <alignment/>
      <protection/>
    </xf>
    <xf numFmtId="0" fontId="1" fillId="0" borderId="16" xfId="55" applyBorder="1">
      <alignment/>
      <protection/>
    </xf>
    <xf numFmtId="0" fontId="1" fillId="0" borderId="16" xfId="55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2" fillId="0" borderId="16" xfId="55" applyFont="1" applyBorder="1" applyAlignment="1">
      <alignment horizontal="center"/>
      <protection/>
    </xf>
    <xf numFmtId="0" fontId="3" fillId="0" borderId="16" xfId="55" applyFont="1" applyBorder="1">
      <alignment/>
      <protection/>
    </xf>
    <xf numFmtId="2" fontId="3" fillId="0" borderId="16" xfId="55" applyNumberFormat="1" applyFont="1" applyBorder="1">
      <alignment/>
      <protection/>
    </xf>
    <xf numFmtId="0" fontId="1" fillId="0" borderId="0" xfId="56">
      <alignment/>
      <protection/>
    </xf>
    <xf numFmtId="0" fontId="2" fillId="0" borderId="0" xfId="56" applyFont="1">
      <alignment/>
      <protection/>
    </xf>
    <xf numFmtId="0" fontId="1" fillId="0" borderId="0" xfId="56" applyBorder="1">
      <alignment/>
      <protection/>
    </xf>
    <xf numFmtId="0" fontId="1" fillId="0" borderId="11" xfId="56" applyBorder="1">
      <alignment/>
      <protection/>
    </xf>
    <xf numFmtId="0" fontId="1" fillId="0" borderId="17" xfId="56" applyBorder="1">
      <alignment/>
      <protection/>
    </xf>
    <xf numFmtId="0" fontId="1" fillId="0" borderId="18" xfId="56" applyBorder="1">
      <alignment/>
      <protection/>
    </xf>
    <xf numFmtId="0" fontId="2" fillId="0" borderId="11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1" fillId="0" borderId="11" xfId="56" applyFont="1" applyBorder="1">
      <alignment/>
      <protection/>
    </xf>
    <xf numFmtId="0" fontId="1" fillId="0" borderId="13" xfId="56" applyBorder="1">
      <alignment/>
      <protection/>
    </xf>
    <xf numFmtId="0" fontId="1" fillId="0" borderId="14" xfId="56" applyBorder="1">
      <alignment/>
      <protection/>
    </xf>
    <xf numFmtId="0" fontId="1" fillId="0" borderId="15" xfId="56" applyBorder="1">
      <alignment/>
      <protection/>
    </xf>
    <xf numFmtId="0" fontId="1" fillId="0" borderId="16" xfId="56" applyBorder="1">
      <alignment/>
      <protection/>
    </xf>
    <xf numFmtId="0" fontId="1" fillId="0" borderId="16" xfId="56" applyBorder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  <xf numFmtId="0" fontId="2" fillId="0" borderId="16" xfId="56" applyFont="1" applyBorder="1" applyAlignment="1">
      <alignment horizontal="center"/>
      <protection/>
    </xf>
    <xf numFmtId="0" fontId="3" fillId="0" borderId="16" xfId="56" applyFont="1" applyBorder="1">
      <alignment/>
      <protection/>
    </xf>
    <xf numFmtId="2" fontId="3" fillId="0" borderId="16" xfId="56" applyNumberFormat="1" applyFont="1" applyBorder="1">
      <alignment/>
      <protection/>
    </xf>
    <xf numFmtId="2" fontId="1" fillId="0" borderId="16" xfId="56" applyNumberFormat="1" applyBorder="1">
      <alignment/>
      <protection/>
    </xf>
    <xf numFmtId="0" fontId="1" fillId="0" borderId="0" xfId="57">
      <alignment/>
      <protection/>
    </xf>
    <xf numFmtId="0" fontId="2" fillId="0" borderId="0" xfId="57" applyFont="1">
      <alignment/>
      <protection/>
    </xf>
    <xf numFmtId="0" fontId="1" fillId="0" borderId="11" xfId="57" applyBorder="1">
      <alignment/>
      <protection/>
    </xf>
    <xf numFmtId="0" fontId="1" fillId="0" borderId="17" xfId="57" applyBorder="1">
      <alignment/>
      <protection/>
    </xf>
    <xf numFmtId="0" fontId="1" fillId="0" borderId="18" xfId="57" applyBorder="1">
      <alignment/>
      <protection/>
    </xf>
    <xf numFmtId="0" fontId="2" fillId="0" borderId="11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1" fillId="0" borderId="11" xfId="57" applyFont="1" applyBorder="1">
      <alignment/>
      <protection/>
    </xf>
    <xf numFmtId="0" fontId="1" fillId="0" borderId="13" xfId="57" applyBorder="1">
      <alignment/>
      <protection/>
    </xf>
    <xf numFmtId="0" fontId="1" fillId="0" borderId="14" xfId="57" applyBorder="1">
      <alignment/>
      <protection/>
    </xf>
    <xf numFmtId="0" fontId="1" fillId="0" borderId="15" xfId="57" applyBorder="1">
      <alignment/>
      <protection/>
    </xf>
    <xf numFmtId="0" fontId="1" fillId="0" borderId="16" xfId="57" applyBorder="1">
      <alignment/>
      <protection/>
    </xf>
    <xf numFmtId="0" fontId="1" fillId="0" borderId="16" xfId="57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2" fillId="0" borderId="16" xfId="57" applyFont="1" applyBorder="1" applyAlignment="1">
      <alignment horizontal="center"/>
      <protection/>
    </xf>
    <xf numFmtId="0" fontId="3" fillId="0" borderId="16" xfId="57" applyFont="1" applyBorder="1">
      <alignment/>
      <protection/>
    </xf>
    <xf numFmtId="0" fontId="1" fillId="0" borderId="0" xfId="58">
      <alignment/>
      <protection/>
    </xf>
    <xf numFmtId="0" fontId="2" fillId="0" borderId="0" xfId="58" applyFont="1">
      <alignment/>
      <protection/>
    </xf>
    <xf numFmtId="0" fontId="1" fillId="0" borderId="11" xfId="58" applyBorder="1">
      <alignment/>
      <protection/>
    </xf>
    <xf numFmtId="0" fontId="1" fillId="0" borderId="17" xfId="58" applyBorder="1">
      <alignment/>
      <protection/>
    </xf>
    <xf numFmtId="0" fontId="1" fillId="0" borderId="18" xfId="58" applyBorder="1">
      <alignment/>
      <protection/>
    </xf>
    <xf numFmtId="0" fontId="2" fillId="0" borderId="11" xfId="58" applyFont="1" applyBorder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1" fillId="0" borderId="11" xfId="58" applyFont="1" applyBorder="1">
      <alignment/>
      <protection/>
    </xf>
    <xf numFmtId="0" fontId="1" fillId="0" borderId="13" xfId="58" applyBorder="1">
      <alignment/>
      <protection/>
    </xf>
    <xf numFmtId="0" fontId="1" fillId="0" borderId="14" xfId="58" applyBorder="1">
      <alignment/>
      <protection/>
    </xf>
    <xf numFmtId="0" fontId="1" fillId="0" borderId="15" xfId="58" applyBorder="1">
      <alignment/>
      <protection/>
    </xf>
    <xf numFmtId="0" fontId="1" fillId="0" borderId="16" xfId="58" applyBorder="1">
      <alignment/>
      <protection/>
    </xf>
    <xf numFmtId="0" fontId="1" fillId="0" borderId="16" xfId="58" applyBorder="1" applyAlignment="1">
      <alignment horizontal="center"/>
      <protection/>
    </xf>
    <xf numFmtId="0" fontId="3" fillId="0" borderId="16" xfId="58" applyFont="1" applyBorder="1" applyAlignment="1">
      <alignment horizontal="center"/>
      <protection/>
    </xf>
    <xf numFmtId="0" fontId="2" fillId="0" borderId="16" xfId="58" applyFont="1" applyBorder="1" applyAlignment="1">
      <alignment horizontal="center"/>
      <protection/>
    </xf>
    <xf numFmtId="0" fontId="3" fillId="0" borderId="16" xfId="58" applyFont="1" applyBorder="1">
      <alignment/>
      <protection/>
    </xf>
    <xf numFmtId="0" fontId="1" fillId="0" borderId="0" xfId="59">
      <alignment/>
      <protection/>
    </xf>
    <xf numFmtId="0" fontId="2" fillId="0" borderId="0" xfId="59" applyFont="1">
      <alignment/>
      <protection/>
    </xf>
    <xf numFmtId="0" fontId="2" fillId="0" borderId="11" xfId="59" applyFont="1" applyBorder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1" fillId="0" borderId="11" xfId="59" applyFont="1" applyBorder="1">
      <alignment/>
      <protection/>
    </xf>
    <xf numFmtId="0" fontId="1" fillId="0" borderId="16" xfId="59" applyBorder="1">
      <alignment/>
      <protection/>
    </xf>
    <xf numFmtId="0" fontId="1" fillId="0" borderId="16" xfId="59" applyBorder="1" applyAlignment="1">
      <alignment horizontal="center"/>
      <protection/>
    </xf>
    <xf numFmtId="0" fontId="3" fillId="0" borderId="16" xfId="59" applyFont="1" applyBorder="1" applyAlignment="1">
      <alignment horizontal="center"/>
      <protection/>
    </xf>
    <xf numFmtId="0" fontId="2" fillId="0" borderId="16" xfId="59" applyFont="1" applyBorder="1" applyAlignment="1">
      <alignment horizontal="center"/>
      <protection/>
    </xf>
    <xf numFmtId="0" fontId="3" fillId="0" borderId="16" xfId="59" applyFont="1" applyBorder="1">
      <alignment/>
      <protection/>
    </xf>
    <xf numFmtId="0" fontId="1" fillId="0" borderId="0" xfId="60">
      <alignment/>
      <protection/>
    </xf>
    <xf numFmtId="0" fontId="2" fillId="0" borderId="0" xfId="60" applyFont="1">
      <alignment/>
      <protection/>
    </xf>
    <xf numFmtId="0" fontId="1" fillId="0" borderId="10" xfId="60" applyBorder="1" applyAlignment="1">
      <alignment horizontal="center"/>
      <protection/>
    </xf>
    <xf numFmtId="0" fontId="1" fillId="0" borderId="10" xfId="60" applyBorder="1">
      <alignment/>
      <protection/>
    </xf>
    <xf numFmtId="0" fontId="1" fillId="0" borderId="11" xfId="60" applyBorder="1">
      <alignment/>
      <protection/>
    </xf>
    <xf numFmtId="0" fontId="1" fillId="0" borderId="17" xfId="60" applyBorder="1">
      <alignment/>
      <protection/>
    </xf>
    <xf numFmtId="0" fontId="1" fillId="0" borderId="12" xfId="60" applyBorder="1">
      <alignment/>
      <protection/>
    </xf>
    <xf numFmtId="0" fontId="2" fillId="0" borderId="11" xfId="60" applyFont="1" applyBorder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1" fillId="0" borderId="11" xfId="60" applyFont="1" applyBorder="1">
      <alignment/>
      <protection/>
    </xf>
    <xf numFmtId="0" fontId="1" fillId="0" borderId="13" xfId="60" applyBorder="1">
      <alignment/>
      <protection/>
    </xf>
    <xf numFmtId="0" fontId="1" fillId="0" borderId="14" xfId="60" applyBorder="1">
      <alignment/>
      <protection/>
    </xf>
    <xf numFmtId="0" fontId="1" fillId="0" borderId="15" xfId="60" applyBorder="1">
      <alignment/>
      <protection/>
    </xf>
    <xf numFmtId="0" fontId="1" fillId="0" borderId="16" xfId="60" applyBorder="1">
      <alignment/>
      <protection/>
    </xf>
    <xf numFmtId="0" fontId="1" fillId="0" borderId="16" xfId="60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6" xfId="60" applyFont="1" applyBorder="1">
      <alignment/>
      <protection/>
    </xf>
    <xf numFmtId="0" fontId="2" fillId="0" borderId="16" xfId="60" applyFont="1" applyBorder="1" applyAlignment="1">
      <alignment horizontal="center"/>
      <protection/>
    </xf>
    <xf numFmtId="2" fontId="3" fillId="0" borderId="16" xfId="60" applyNumberFormat="1" applyFont="1" applyBorder="1">
      <alignment/>
      <protection/>
    </xf>
    <xf numFmtId="2" fontId="1" fillId="0" borderId="16" xfId="60" applyNumberFormat="1" applyBorder="1">
      <alignment/>
      <protection/>
    </xf>
    <xf numFmtId="0" fontId="1" fillId="0" borderId="0" xfId="61">
      <alignment/>
      <protection/>
    </xf>
    <xf numFmtId="0" fontId="2" fillId="0" borderId="0" xfId="61" applyFont="1">
      <alignment/>
      <protection/>
    </xf>
    <xf numFmtId="0" fontId="2" fillId="0" borderId="11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1" fillId="0" borderId="11" xfId="61" applyFont="1" applyBorder="1">
      <alignment/>
      <protection/>
    </xf>
    <xf numFmtId="0" fontId="1" fillId="0" borderId="13" xfId="61" applyBorder="1">
      <alignment/>
      <protection/>
    </xf>
    <xf numFmtId="0" fontId="1" fillId="0" borderId="14" xfId="61" applyBorder="1">
      <alignment/>
      <protection/>
    </xf>
    <xf numFmtId="0" fontId="1" fillId="0" borderId="15" xfId="61" applyBorder="1">
      <alignment/>
      <protection/>
    </xf>
    <xf numFmtId="0" fontId="1" fillId="0" borderId="16" xfId="61" applyBorder="1">
      <alignment/>
      <protection/>
    </xf>
    <xf numFmtId="0" fontId="1" fillId="0" borderId="16" xfId="61" applyBorder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0" borderId="16" xfId="61" applyFont="1" applyBorder="1">
      <alignment/>
      <protection/>
    </xf>
    <xf numFmtId="0" fontId="2" fillId="0" borderId="16" xfId="61" applyFont="1" applyBorder="1" applyAlignment="1">
      <alignment horizontal="center"/>
      <protection/>
    </xf>
    <xf numFmtId="0" fontId="1" fillId="0" borderId="0" xfId="62">
      <alignment/>
      <protection/>
    </xf>
    <xf numFmtId="0" fontId="2" fillId="0" borderId="0" xfId="62" applyFont="1">
      <alignment/>
      <protection/>
    </xf>
    <xf numFmtId="0" fontId="1" fillId="0" borderId="11" xfId="62" applyBorder="1">
      <alignment/>
      <protection/>
    </xf>
    <xf numFmtId="0" fontId="1" fillId="0" borderId="17" xfId="62" applyBorder="1">
      <alignment/>
      <protection/>
    </xf>
    <xf numFmtId="0" fontId="2" fillId="0" borderId="11" xfId="62" applyFont="1" applyBorder="1" applyAlignment="1">
      <alignment horizontal="center"/>
      <protection/>
    </xf>
    <xf numFmtId="0" fontId="3" fillId="0" borderId="11" xfId="62" applyFont="1" applyBorder="1" applyAlignment="1">
      <alignment horizontal="center"/>
      <protection/>
    </xf>
    <xf numFmtId="0" fontId="1" fillId="0" borderId="11" xfId="62" applyFont="1" applyBorder="1">
      <alignment/>
      <protection/>
    </xf>
    <xf numFmtId="0" fontId="1" fillId="0" borderId="13" xfId="62" applyBorder="1">
      <alignment/>
      <protection/>
    </xf>
    <xf numFmtId="0" fontId="1" fillId="0" borderId="14" xfId="62" applyBorder="1">
      <alignment/>
      <protection/>
    </xf>
    <xf numFmtId="0" fontId="1" fillId="0" borderId="15" xfId="62" applyBorder="1">
      <alignment/>
      <protection/>
    </xf>
    <xf numFmtId="0" fontId="1" fillId="0" borderId="16" xfId="62" applyBorder="1">
      <alignment/>
      <protection/>
    </xf>
    <xf numFmtId="0" fontId="1" fillId="0" borderId="16" xfId="62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3" fillId="0" borderId="16" xfId="62" applyFont="1" applyBorder="1">
      <alignment/>
      <protection/>
    </xf>
    <xf numFmtId="0" fontId="2" fillId="0" borderId="16" xfId="62" applyFont="1" applyBorder="1" applyAlignment="1">
      <alignment horizontal="center"/>
      <protection/>
    </xf>
    <xf numFmtId="0" fontId="1" fillId="0" borderId="0" xfId="63">
      <alignment/>
      <protection/>
    </xf>
    <xf numFmtId="0" fontId="2" fillId="0" borderId="0" xfId="63" applyFont="1">
      <alignment/>
      <protection/>
    </xf>
    <xf numFmtId="0" fontId="1" fillId="0" borderId="11" xfId="63" applyBorder="1">
      <alignment/>
      <protection/>
    </xf>
    <xf numFmtId="0" fontId="1" fillId="0" borderId="17" xfId="63" applyBorder="1">
      <alignment/>
      <protection/>
    </xf>
    <xf numFmtId="0" fontId="2" fillId="0" borderId="11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1" fillId="0" borderId="11" xfId="63" applyFont="1" applyBorder="1">
      <alignment/>
      <protection/>
    </xf>
    <xf numFmtId="0" fontId="1" fillId="0" borderId="13" xfId="63" applyBorder="1">
      <alignment/>
      <protection/>
    </xf>
    <xf numFmtId="0" fontId="1" fillId="0" borderId="14" xfId="63" applyBorder="1">
      <alignment/>
      <protection/>
    </xf>
    <xf numFmtId="0" fontId="1" fillId="0" borderId="15" xfId="63" applyBorder="1">
      <alignment/>
      <protection/>
    </xf>
    <xf numFmtId="0" fontId="1" fillId="0" borderId="16" xfId="63" applyBorder="1">
      <alignment/>
      <protection/>
    </xf>
    <xf numFmtId="0" fontId="1" fillId="0" borderId="16" xfId="63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3" fillId="0" borderId="16" xfId="63" applyFont="1" applyBorder="1">
      <alignment/>
      <protection/>
    </xf>
    <xf numFmtId="0" fontId="2" fillId="0" borderId="16" xfId="63" applyFont="1" applyBorder="1" applyAlignment="1">
      <alignment horizontal="center"/>
      <protection/>
    </xf>
    <xf numFmtId="0" fontId="1" fillId="0" borderId="0" xfId="64">
      <alignment/>
      <protection/>
    </xf>
    <xf numFmtId="0" fontId="2" fillId="0" borderId="0" xfId="64" applyFont="1">
      <alignment/>
      <protection/>
    </xf>
    <xf numFmtId="0" fontId="1" fillId="0" borderId="11" xfId="64" applyBorder="1">
      <alignment/>
      <protection/>
    </xf>
    <xf numFmtId="0" fontId="1" fillId="0" borderId="17" xfId="64" applyBorder="1">
      <alignment/>
      <protection/>
    </xf>
    <xf numFmtId="0" fontId="2" fillId="0" borderId="11" xfId="64" applyFont="1" applyBorder="1" applyAlignment="1">
      <alignment horizontal="center"/>
      <protection/>
    </xf>
    <xf numFmtId="0" fontId="3" fillId="0" borderId="11" xfId="64" applyFont="1" applyBorder="1" applyAlignment="1">
      <alignment horizontal="center"/>
      <protection/>
    </xf>
    <xf numFmtId="0" fontId="1" fillId="0" borderId="11" xfId="64" applyFont="1" applyBorder="1">
      <alignment/>
      <protection/>
    </xf>
    <xf numFmtId="0" fontId="1" fillId="0" borderId="13" xfId="64" applyBorder="1">
      <alignment/>
      <protection/>
    </xf>
    <xf numFmtId="0" fontId="1" fillId="0" borderId="14" xfId="64" applyBorder="1">
      <alignment/>
      <protection/>
    </xf>
    <xf numFmtId="0" fontId="1" fillId="0" borderId="15" xfId="64" applyBorder="1">
      <alignment/>
      <protection/>
    </xf>
    <xf numFmtId="0" fontId="1" fillId="0" borderId="16" xfId="64" applyBorder="1">
      <alignment/>
      <protection/>
    </xf>
    <xf numFmtId="0" fontId="1" fillId="0" borderId="16" xfId="64" applyBorder="1" applyAlignment="1">
      <alignment horizontal="center"/>
      <protection/>
    </xf>
    <xf numFmtId="0" fontId="3" fillId="0" borderId="16" xfId="64" applyFont="1" applyBorder="1" applyAlignment="1">
      <alignment horizontal="center"/>
      <protection/>
    </xf>
    <xf numFmtId="0" fontId="3" fillId="0" borderId="16" xfId="64" applyFont="1" applyBorder="1">
      <alignment/>
      <protection/>
    </xf>
    <xf numFmtId="0" fontId="2" fillId="0" borderId="16" xfId="64" applyFont="1" applyBorder="1" applyAlignment="1">
      <alignment horizontal="center"/>
      <protection/>
    </xf>
    <xf numFmtId="0" fontId="1" fillId="0" borderId="0" xfId="65">
      <alignment/>
      <protection/>
    </xf>
    <xf numFmtId="0" fontId="2" fillId="0" borderId="0" xfId="65" applyFont="1">
      <alignment/>
      <protection/>
    </xf>
    <xf numFmtId="0" fontId="1" fillId="0" borderId="10" xfId="65" applyBorder="1" applyAlignment="1">
      <alignment horizontal="center"/>
      <protection/>
    </xf>
    <xf numFmtId="0" fontId="1" fillId="0" borderId="10" xfId="65" applyBorder="1">
      <alignment/>
      <protection/>
    </xf>
    <xf numFmtId="0" fontId="1" fillId="0" borderId="11" xfId="65" applyBorder="1">
      <alignment/>
      <protection/>
    </xf>
    <xf numFmtId="0" fontId="1" fillId="0" borderId="17" xfId="65" applyBorder="1">
      <alignment/>
      <protection/>
    </xf>
    <xf numFmtId="0" fontId="1" fillId="0" borderId="12" xfId="65" applyBorder="1">
      <alignment/>
      <protection/>
    </xf>
    <xf numFmtId="0" fontId="2" fillId="0" borderId="11" xfId="65" applyFont="1" applyBorder="1" applyAlignment="1">
      <alignment horizontal="center"/>
      <protection/>
    </xf>
    <xf numFmtId="0" fontId="3" fillId="0" borderId="11" xfId="65" applyFont="1" applyBorder="1" applyAlignment="1">
      <alignment horizontal="center"/>
      <protection/>
    </xf>
    <xf numFmtId="0" fontId="1" fillId="0" borderId="11" xfId="65" applyFont="1" applyBorder="1">
      <alignment/>
      <protection/>
    </xf>
    <xf numFmtId="0" fontId="1" fillId="0" borderId="16" xfId="65" applyBorder="1">
      <alignment/>
      <protection/>
    </xf>
    <xf numFmtId="0" fontId="1" fillId="0" borderId="16" xfId="65" applyBorder="1" applyAlignment="1">
      <alignment horizontal="center"/>
      <protection/>
    </xf>
    <xf numFmtId="0" fontId="3" fillId="0" borderId="16" xfId="65" applyFont="1" applyBorder="1" applyAlignment="1">
      <alignment horizontal="center"/>
      <protection/>
    </xf>
    <xf numFmtId="0" fontId="3" fillId="0" borderId="16" xfId="65" applyFont="1" applyBorder="1">
      <alignment/>
      <protection/>
    </xf>
    <xf numFmtId="0" fontId="2" fillId="0" borderId="16" xfId="65" applyFont="1" applyBorder="1" applyAlignment="1">
      <alignment horizontal="center"/>
      <protection/>
    </xf>
    <xf numFmtId="0" fontId="1" fillId="0" borderId="0" xfId="66">
      <alignment/>
      <protection/>
    </xf>
    <xf numFmtId="0" fontId="2" fillId="0" borderId="0" xfId="66" applyFont="1">
      <alignment/>
      <protection/>
    </xf>
    <xf numFmtId="0" fontId="1" fillId="0" borderId="10" xfId="66" applyBorder="1" applyAlignment="1">
      <alignment horizontal="center"/>
      <protection/>
    </xf>
    <xf numFmtId="0" fontId="1" fillId="0" borderId="10" xfId="66" applyBorder="1">
      <alignment/>
      <protection/>
    </xf>
    <xf numFmtId="0" fontId="2" fillId="0" borderId="11" xfId="66" applyFont="1" applyBorder="1" applyAlignment="1">
      <alignment horizontal="center"/>
      <protection/>
    </xf>
    <xf numFmtId="0" fontId="3" fillId="0" borderId="11" xfId="66" applyFont="1" applyBorder="1" applyAlignment="1">
      <alignment horizontal="center"/>
      <protection/>
    </xf>
    <xf numFmtId="0" fontId="1" fillId="0" borderId="11" xfId="66" applyFont="1" applyBorder="1">
      <alignment/>
      <protection/>
    </xf>
    <xf numFmtId="0" fontId="1" fillId="0" borderId="13" xfId="66" applyBorder="1">
      <alignment/>
      <protection/>
    </xf>
    <xf numFmtId="0" fontId="1" fillId="0" borderId="14" xfId="66" applyBorder="1">
      <alignment/>
      <protection/>
    </xf>
    <xf numFmtId="0" fontId="1" fillId="0" borderId="15" xfId="66" applyBorder="1">
      <alignment/>
      <protection/>
    </xf>
    <xf numFmtId="0" fontId="1" fillId="0" borderId="16" xfId="66" applyBorder="1">
      <alignment/>
      <protection/>
    </xf>
    <xf numFmtId="0" fontId="1" fillId="0" borderId="16" xfId="66" applyBorder="1" applyAlignment="1">
      <alignment horizontal="center"/>
      <protection/>
    </xf>
    <xf numFmtId="0" fontId="3" fillId="0" borderId="16" xfId="66" applyFont="1" applyBorder="1" applyAlignment="1">
      <alignment horizontal="center"/>
      <protection/>
    </xf>
    <xf numFmtId="0" fontId="3" fillId="0" borderId="16" xfId="66" applyFont="1" applyBorder="1">
      <alignment/>
      <protection/>
    </xf>
    <xf numFmtId="0" fontId="2" fillId="0" borderId="16" xfId="66" applyFont="1" applyBorder="1" applyAlignment="1">
      <alignment horizontal="center"/>
      <protection/>
    </xf>
    <xf numFmtId="0" fontId="1" fillId="0" borderId="0" xfId="67">
      <alignment/>
      <protection/>
    </xf>
    <xf numFmtId="0" fontId="2" fillId="0" borderId="0" xfId="67" applyFont="1">
      <alignment/>
      <protection/>
    </xf>
    <xf numFmtId="0" fontId="1" fillId="0" borderId="10" xfId="67" applyBorder="1" applyAlignment="1">
      <alignment horizontal="center"/>
      <protection/>
    </xf>
    <xf numFmtId="0" fontId="1" fillId="0" borderId="10" xfId="67" applyBorder="1">
      <alignment/>
      <protection/>
    </xf>
    <xf numFmtId="0" fontId="2" fillId="0" borderId="11" xfId="67" applyFont="1" applyBorder="1" applyAlignment="1">
      <alignment horizontal="center"/>
      <protection/>
    </xf>
    <xf numFmtId="0" fontId="3" fillId="0" borderId="11" xfId="67" applyFont="1" applyBorder="1" applyAlignment="1">
      <alignment horizontal="center"/>
      <protection/>
    </xf>
    <xf numFmtId="0" fontId="1" fillId="0" borderId="11" xfId="67" applyFont="1" applyBorder="1">
      <alignment/>
      <protection/>
    </xf>
    <xf numFmtId="0" fontId="1" fillId="0" borderId="13" xfId="67" applyBorder="1">
      <alignment/>
      <protection/>
    </xf>
    <xf numFmtId="0" fontId="1" fillId="0" borderId="14" xfId="67" applyBorder="1">
      <alignment/>
      <protection/>
    </xf>
    <xf numFmtId="0" fontId="1" fillId="0" borderId="15" xfId="67" applyBorder="1">
      <alignment/>
      <protection/>
    </xf>
    <xf numFmtId="0" fontId="1" fillId="0" borderId="16" xfId="67" applyBorder="1">
      <alignment/>
      <protection/>
    </xf>
    <xf numFmtId="0" fontId="1" fillId="0" borderId="16" xfId="67" applyBorder="1" applyAlignment="1">
      <alignment horizontal="center"/>
      <protection/>
    </xf>
    <xf numFmtId="0" fontId="3" fillId="0" borderId="16" xfId="67" applyFont="1" applyBorder="1" applyAlignment="1">
      <alignment horizontal="center"/>
      <protection/>
    </xf>
    <xf numFmtId="0" fontId="3" fillId="0" borderId="16" xfId="67" applyFont="1" applyBorder="1">
      <alignment/>
      <protection/>
    </xf>
    <xf numFmtId="0" fontId="2" fillId="0" borderId="16" xfId="67" applyFont="1" applyBorder="1" applyAlignment="1">
      <alignment horizontal="center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68" applyFont="1">
      <alignment/>
      <protection/>
    </xf>
    <xf numFmtId="0" fontId="1" fillId="0" borderId="0" xfId="71" applyBorder="1" applyAlignment="1">
      <alignment horizontal="center"/>
      <protection/>
    </xf>
    <xf numFmtId="0" fontId="1" fillId="0" borderId="20" xfId="68" applyBorder="1">
      <alignment/>
      <protection/>
    </xf>
    <xf numFmtId="0" fontId="1" fillId="0" borderId="0" xfId="57" applyFont="1">
      <alignment/>
      <protection/>
    </xf>
    <xf numFmtId="0" fontId="1" fillId="0" borderId="0" xfId="60" applyFont="1">
      <alignment/>
      <protection/>
    </xf>
    <xf numFmtId="0" fontId="1" fillId="0" borderId="0" xfId="66" applyFont="1">
      <alignment/>
      <protection/>
    </xf>
    <xf numFmtId="0" fontId="1" fillId="0" borderId="20" xfId="71" applyBorder="1">
      <alignment/>
      <protection/>
    </xf>
    <xf numFmtId="0" fontId="1" fillId="0" borderId="0" xfId="53" applyBorder="1" applyAlignment="1">
      <alignment horizontal="center"/>
      <protection/>
    </xf>
    <xf numFmtId="0" fontId="1" fillId="0" borderId="20" xfId="53" applyBorder="1">
      <alignment/>
      <protection/>
    </xf>
    <xf numFmtId="0" fontId="0" fillId="0" borderId="18" xfId="0" applyBorder="1" applyAlignment="1">
      <alignment/>
    </xf>
    <xf numFmtId="0" fontId="1" fillId="0" borderId="16" xfId="68" applyFont="1" applyBorder="1">
      <alignment/>
      <protection/>
    </xf>
    <xf numFmtId="2" fontId="1" fillId="0" borderId="16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13" xfId="68" applyFont="1" applyBorder="1" applyAlignment="1">
      <alignment horizontal="center"/>
      <protection/>
    </xf>
    <xf numFmtId="0" fontId="1" fillId="0" borderId="16" xfId="68" applyFont="1" applyBorder="1" applyAlignment="1">
      <alignment horizontal="center"/>
      <protection/>
    </xf>
    <xf numFmtId="0" fontId="3" fillId="0" borderId="16" xfId="68" applyFont="1" applyBorder="1" applyAlignment="1">
      <alignment horizontal="left"/>
      <protection/>
    </xf>
    <xf numFmtId="2" fontId="5" fillId="0" borderId="16" xfId="0" applyNumberFormat="1" applyFont="1" applyBorder="1" applyAlignment="1">
      <alignment/>
    </xf>
    <xf numFmtId="0" fontId="1" fillId="0" borderId="13" xfId="70" applyBorder="1" applyAlignment="1">
      <alignment horizontal="center"/>
      <protection/>
    </xf>
    <xf numFmtId="0" fontId="1" fillId="0" borderId="13" xfId="71" applyBorder="1" applyAlignment="1">
      <alignment horizontal="center"/>
      <protection/>
    </xf>
    <xf numFmtId="0" fontId="1" fillId="0" borderId="13" xfId="69" applyBorder="1" applyAlignment="1">
      <alignment horizontal="center"/>
      <protection/>
    </xf>
    <xf numFmtId="0" fontId="1" fillId="0" borderId="13" xfId="53" applyBorder="1" applyAlignment="1">
      <alignment horizontal="center"/>
      <protection/>
    </xf>
    <xf numFmtId="0" fontId="1" fillId="0" borderId="13" xfId="55" applyBorder="1" applyAlignment="1">
      <alignment horizontal="center"/>
      <protection/>
    </xf>
    <xf numFmtId="0" fontId="1" fillId="0" borderId="13" xfId="56" applyBorder="1" applyAlignment="1">
      <alignment horizontal="center"/>
      <protection/>
    </xf>
    <xf numFmtId="0" fontId="1" fillId="0" borderId="13" xfId="57" applyBorder="1" applyAlignment="1">
      <alignment horizontal="center"/>
      <protection/>
    </xf>
    <xf numFmtId="0" fontId="1" fillId="0" borderId="13" xfId="58" applyBorder="1" applyAlignment="1">
      <alignment horizontal="center"/>
      <protection/>
    </xf>
    <xf numFmtId="0" fontId="1" fillId="0" borderId="13" xfId="60" applyBorder="1" applyAlignment="1">
      <alignment horizontal="center"/>
      <protection/>
    </xf>
    <xf numFmtId="0" fontId="1" fillId="0" borderId="13" xfId="61" applyBorder="1" applyAlignment="1">
      <alignment horizontal="center"/>
      <protection/>
    </xf>
    <xf numFmtId="0" fontId="1" fillId="0" borderId="13" xfId="62" applyBorder="1" applyAlignment="1">
      <alignment horizontal="center"/>
      <protection/>
    </xf>
    <xf numFmtId="0" fontId="1" fillId="0" borderId="13" xfId="63" applyBorder="1" applyAlignment="1">
      <alignment horizontal="center"/>
      <protection/>
    </xf>
    <xf numFmtId="0" fontId="1" fillId="0" borderId="13" xfId="64" applyBorder="1" applyAlignment="1">
      <alignment horizontal="center"/>
      <protection/>
    </xf>
    <xf numFmtId="0" fontId="1" fillId="0" borderId="13" xfId="66" applyBorder="1" applyAlignment="1">
      <alignment horizontal="center"/>
      <protection/>
    </xf>
    <xf numFmtId="0" fontId="1" fillId="0" borderId="20" xfId="70" applyBorder="1">
      <alignment/>
      <protection/>
    </xf>
    <xf numFmtId="0" fontId="1" fillId="0" borderId="0" xfId="58" applyFont="1">
      <alignment/>
      <protection/>
    </xf>
    <xf numFmtId="0" fontId="3" fillId="0" borderId="0" xfId="68" applyFont="1" applyBorder="1">
      <alignment/>
      <protection/>
    </xf>
    <xf numFmtId="0" fontId="1" fillId="0" borderId="0" xfId="68" applyFont="1">
      <alignment/>
      <protection/>
    </xf>
    <xf numFmtId="2" fontId="1" fillId="0" borderId="0" xfId="68" applyNumberFormat="1">
      <alignment/>
      <protection/>
    </xf>
    <xf numFmtId="2" fontId="3" fillId="0" borderId="0" xfId="68" applyNumberFormat="1" applyFont="1" applyBorder="1">
      <alignment/>
      <protection/>
    </xf>
    <xf numFmtId="0" fontId="1" fillId="0" borderId="0" xfId="71" applyFont="1">
      <alignment/>
      <protection/>
    </xf>
    <xf numFmtId="2" fontId="0" fillId="0" borderId="0" xfId="0" applyNumberFormat="1" applyAlignment="1">
      <alignment/>
    </xf>
    <xf numFmtId="0" fontId="1" fillId="0" borderId="20" xfId="56" applyBorder="1">
      <alignment/>
      <protection/>
    </xf>
    <xf numFmtId="0" fontId="1" fillId="0" borderId="21" xfId="56" applyBorder="1">
      <alignment/>
      <protection/>
    </xf>
    <xf numFmtId="0" fontId="1" fillId="0" borderId="21" xfId="57" applyBorder="1">
      <alignment/>
      <protection/>
    </xf>
    <xf numFmtId="0" fontId="1" fillId="0" borderId="20" xfId="57" applyBorder="1">
      <alignment/>
      <protection/>
    </xf>
    <xf numFmtId="0" fontId="1" fillId="0" borderId="20" xfId="58" applyBorder="1">
      <alignment/>
      <protection/>
    </xf>
    <xf numFmtId="0" fontId="1" fillId="0" borderId="21" xfId="58" applyBorder="1">
      <alignment/>
      <protection/>
    </xf>
    <xf numFmtId="0" fontId="1" fillId="0" borderId="20" xfId="59" applyBorder="1">
      <alignment/>
      <protection/>
    </xf>
    <xf numFmtId="0" fontId="1" fillId="0" borderId="20" xfId="61" applyBorder="1">
      <alignment/>
      <protection/>
    </xf>
    <xf numFmtId="0" fontId="1" fillId="0" borderId="20" xfId="62" applyBorder="1">
      <alignment/>
      <protection/>
    </xf>
    <xf numFmtId="0" fontId="1" fillId="0" borderId="21" xfId="62" applyBorder="1">
      <alignment/>
      <protection/>
    </xf>
    <xf numFmtId="0" fontId="1" fillId="0" borderId="20" xfId="63" applyBorder="1">
      <alignment/>
      <protection/>
    </xf>
    <xf numFmtId="0" fontId="1" fillId="0" borderId="21" xfId="63" applyBorder="1">
      <alignment/>
      <protection/>
    </xf>
    <xf numFmtId="0" fontId="1" fillId="0" borderId="20" xfId="64" applyBorder="1">
      <alignment/>
      <protection/>
    </xf>
    <xf numFmtId="0" fontId="1" fillId="0" borderId="21" xfId="64" applyBorder="1">
      <alignment/>
      <protection/>
    </xf>
    <xf numFmtId="0" fontId="1" fillId="0" borderId="0" xfId="68" applyFont="1" applyBorder="1">
      <alignment/>
      <protection/>
    </xf>
    <xf numFmtId="0" fontId="1" fillId="0" borderId="0" xfId="70" applyFont="1">
      <alignment/>
      <protection/>
    </xf>
    <xf numFmtId="0" fontId="1" fillId="0" borderId="0" xfId="69" applyFont="1">
      <alignment/>
      <protection/>
    </xf>
    <xf numFmtId="0" fontId="1" fillId="0" borderId="0" xfId="53" applyFont="1">
      <alignment/>
      <protection/>
    </xf>
    <xf numFmtId="0" fontId="1" fillId="0" borderId="0" xfId="54" applyFont="1">
      <alignment/>
      <protection/>
    </xf>
    <xf numFmtId="0" fontId="1" fillId="0" borderId="0" xfId="55" applyFont="1">
      <alignment/>
      <protection/>
    </xf>
    <xf numFmtId="0" fontId="1" fillId="0" borderId="0" xfId="56" applyFont="1">
      <alignment/>
      <protection/>
    </xf>
    <xf numFmtId="0" fontId="1" fillId="0" borderId="0" xfId="57" applyFont="1">
      <alignment/>
      <protection/>
    </xf>
    <xf numFmtId="0" fontId="1" fillId="0" borderId="0" xfId="59" applyFont="1">
      <alignment/>
      <protection/>
    </xf>
    <xf numFmtId="0" fontId="1" fillId="0" borderId="0" xfId="60" applyFont="1">
      <alignment/>
      <protection/>
    </xf>
    <xf numFmtId="0" fontId="1" fillId="0" borderId="0" xfId="61" applyFont="1">
      <alignment/>
      <protection/>
    </xf>
    <xf numFmtId="0" fontId="1" fillId="0" borderId="0" xfId="62" applyFont="1">
      <alignment/>
      <protection/>
    </xf>
    <xf numFmtId="0" fontId="1" fillId="0" borderId="0" xfId="63" applyFont="1">
      <alignment/>
      <protection/>
    </xf>
    <xf numFmtId="0" fontId="1" fillId="0" borderId="0" xfId="64" applyFont="1">
      <alignment/>
      <protection/>
    </xf>
    <xf numFmtId="0" fontId="1" fillId="0" borderId="0" xfId="65" applyFont="1">
      <alignment/>
      <protection/>
    </xf>
    <xf numFmtId="0" fontId="1" fillId="0" borderId="0" xfId="52" applyFont="1">
      <alignment/>
      <protection/>
    </xf>
    <xf numFmtId="2" fontId="1" fillId="0" borderId="14" xfId="60" applyNumberFormat="1" applyBorder="1">
      <alignment/>
      <protection/>
    </xf>
    <xf numFmtId="0" fontId="1" fillId="0" borderId="0" xfId="68" applyFont="1" applyBorder="1" applyAlignment="1">
      <alignment horizontal="center"/>
      <protection/>
    </xf>
    <xf numFmtId="0" fontId="1" fillId="0" borderId="22" xfId="59" applyBorder="1">
      <alignment/>
      <protection/>
    </xf>
    <xf numFmtId="0" fontId="1" fillId="0" borderId="19" xfId="59" applyBorder="1">
      <alignment/>
      <protection/>
    </xf>
    <xf numFmtId="0" fontId="2" fillId="0" borderId="20" xfId="59" applyFont="1" applyBorder="1" applyAlignment="1">
      <alignment horizontal="center"/>
      <protection/>
    </xf>
    <xf numFmtId="0" fontId="3" fillId="0" borderId="20" xfId="59" applyFont="1" applyBorder="1" applyAlignment="1">
      <alignment horizontal="center"/>
      <protection/>
    </xf>
    <xf numFmtId="0" fontId="1" fillId="0" borderId="20" xfId="67" applyBorder="1">
      <alignment/>
      <protection/>
    </xf>
    <xf numFmtId="0" fontId="2" fillId="0" borderId="20" xfId="67" applyFont="1" applyBorder="1" applyAlignment="1">
      <alignment horizontal="center"/>
      <protection/>
    </xf>
    <xf numFmtId="0" fontId="3" fillId="0" borderId="20" xfId="67" applyFont="1" applyBorder="1" applyAlignment="1">
      <alignment horizontal="center"/>
      <protection/>
    </xf>
    <xf numFmtId="0" fontId="1" fillId="0" borderId="22" xfId="67" applyBorder="1">
      <alignment/>
      <protection/>
    </xf>
    <xf numFmtId="0" fontId="1" fillId="0" borderId="19" xfId="67" applyBorder="1">
      <alignment/>
      <protection/>
    </xf>
    <xf numFmtId="10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3" fillId="0" borderId="18" xfId="58" applyFont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2" fillId="0" borderId="20" xfId="68" applyFont="1" applyBorder="1" applyAlignment="1">
      <alignment horizontal="center"/>
      <protection/>
    </xf>
    <xf numFmtId="0" fontId="3" fillId="0" borderId="20" xfId="68" applyFont="1" applyBorder="1" applyAlignment="1">
      <alignment horizontal="center"/>
      <protection/>
    </xf>
    <xf numFmtId="0" fontId="1" fillId="0" borderId="19" xfId="68" applyBorder="1">
      <alignment/>
      <protection/>
    </xf>
    <xf numFmtId="0" fontId="2" fillId="0" borderId="20" xfId="70" applyFont="1" applyBorder="1" applyAlignment="1">
      <alignment horizontal="center"/>
      <protection/>
    </xf>
    <xf numFmtId="0" fontId="3" fillId="0" borderId="20" xfId="70" applyFont="1" applyBorder="1" applyAlignment="1">
      <alignment horizontal="center"/>
      <protection/>
    </xf>
    <xf numFmtId="0" fontId="1" fillId="0" borderId="22" xfId="70" applyBorder="1">
      <alignment/>
      <protection/>
    </xf>
    <xf numFmtId="0" fontId="1" fillId="0" borderId="19" xfId="70" applyBorder="1">
      <alignment/>
      <protection/>
    </xf>
    <xf numFmtId="44" fontId="0" fillId="0" borderId="0" xfId="42" applyFont="1" applyAlignment="1">
      <alignment/>
    </xf>
    <xf numFmtId="0" fontId="1" fillId="0" borderId="13" xfId="52" applyFont="1" applyBorder="1">
      <alignment/>
      <protection/>
    </xf>
    <xf numFmtId="0" fontId="2" fillId="0" borderId="13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1" fillId="0" borderId="0" xfId="53" applyBorder="1">
      <alignment/>
      <protection/>
    </xf>
    <xf numFmtId="0" fontId="2" fillId="0" borderId="20" xfId="53" applyFont="1" applyBorder="1" applyAlignment="1">
      <alignment horizontal="center"/>
      <protection/>
    </xf>
    <xf numFmtId="0" fontId="3" fillId="0" borderId="20" xfId="53" applyFont="1" applyBorder="1" applyAlignment="1">
      <alignment horizontal="center"/>
      <protection/>
    </xf>
    <xf numFmtId="0" fontId="1" fillId="0" borderId="22" xfId="53" applyBorder="1">
      <alignment/>
      <protection/>
    </xf>
    <xf numFmtId="0" fontId="1" fillId="0" borderId="19" xfId="53" applyBorder="1">
      <alignment/>
      <protection/>
    </xf>
    <xf numFmtId="0" fontId="1" fillId="0" borderId="20" xfId="54" applyBorder="1">
      <alignment/>
      <protection/>
    </xf>
    <xf numFmtId="0" fontId="2" fillId="0" borderId="20" xfId="54" applyFont="1" applyBorder="1" applyAlignment="1">
      <alignment horizontal="center"/>
      <protection/>
    </xf>
    <xf numFmtId="0" fontId="3" fillId="0" borderId="20" xfId="54" applyFont="1" applyBorder="1" applyAlignment="1">
      <alignment horizontal="center"/>
      <protection/>
    </xf>
    <xf numFmtId="0" fontId="1" fillId="0" borderId="22" xfId="54" applyBorder="1">
      <alignment/>
      <protection/>
    </xf>
    <xf numFmtId="0" fontId="1" fillId="0" borderId="19" xfId="54" applyBorder="1">
      <alignment/>
      <protection/>
    </xf>
    <xf numFmtId="0" fontId="2" fillId="0" borderId="20" xfId="61" applyFont="1" applyBorder="1" applyAlignment="1">
      <alignment horizontal="center"/>
      <protection/>
    </xf>
    <xf numFmtId="0" fontId="3" fillId="0" borderId="20" xfId="61" applyFont="1" applyBorder="1" applyAlignment="1">
      <alignment horizontal="center"/>
      <protection/>
    </xf>
    <xf numFmtId="0" fontId="1" fillId="0" borderId="22" xfId="61" applyBorder="1">
      <alignment/>
      <protection/>
    </xf>
    <xf numFmtId="0" fontId="1" fillId="0" borderId="19" xfId="61" applyBorder="1">
      <alignment/>
      <protection/>
    </xf>
    <xf numFmtId="0" fontId="1" fillId="0" borderId="22" xfId="65" applyBorder="1">
      <alignment/>
      <protection/>
    </xf>
    <xf numFmtId="0" fontId="1" fillId="0" borderId="19" xfId="65" applyBorder="1">
      <alignment/>
      <protection/>
    </xf>
    <xf numFmtId="0" fontId="1" fillId="0" borderId="16" xfId="65" applyFont="1" applyBorder="1">
      <alignment/>
      <protection/>
    </xf>
    <xf numFmtId="0" fontId="1" fillId="0" borderId="20" xfId="66" applyBorder="1">
      <alignment/>
      <protection/>
    </xf>
    <xf numFmtId="0" fontId="2" fillId="0" borderId="20" xfId="66" applyFont="1" applyBorder="1" applyAlignment="1">
      <alignment horizontal="center"/>
      <protection/>
    </xf>
    <xf numFmtId="0" fontId="3" fillId="0" borderId="20" xfId="66" applyFont="1" applyBorder="1" applyAlignment="1">
      <alignment horizontal="center"/>
      <protection/>
    </xf>
    <xf numFmtId="0" fontId="1" fillId="0" borderId="22" xfId="66" applyBorder="1">
      <alignment/>
      <protection/>
    </xf>
    <xf numFmtId="0" fontId="1" fillId="0" borderId="19" xfId="66" applyBorder="1">
      <alignment/>
      <protection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9" fontId="0" fillId="0" borderId="0" xfId="0" applyNumberFormat="1" applyAlignment="1">
      <alignment/>
    </xf>
    <xf numFmtId="168" fontId="1" fillId="0" borderId="16" xfId="68" applyNumberFormat="1" applyFont="1" applyBorder="1">
      <alignment/>
      <protection/>
    </xf>
    <xf numFmtId="168" fontId="3" fillId="0" borderId="16" xfId="68" applyNumberFormat="1" applyFont="1" applyBorder="1">
      <alignment/>
      <protection/>
    </xf>
    <xf numFmtId="0" fontId="1" fillId="0" borderId="16" xfId="68" applyFont="1" applyBorder="1" applyAlignment="1">
      <alignment horizontal="right"/>
      <protection/>
    </xf>
    <xf numFmtId="0" fontId="1" fillId="0" borderId="16" xfId="68" applyFont="1" applyBorder="1" applyAlignment="1">
      <alignment horizontal="right"/>
      <protection/>
    </xf>
    <xf numFmtId="0" fontId="1" fillId="0" borderId="16" xfId="68" applyBorder="1" applyAlignment="1">
      <alignment horizontal="right"/>
      <protection/>
    </xf>
    <xf numFmtId="0" fontId="3" fillId="0" borderId="18" xfId="68" applyFont="1" applyBorder="1" applyAlignment="1">
      <alignment horizontal="center"/>
      <protection/>
    </xf>
    <xf numFmtId="0" fontId="3" fillId="0" borderId="12" xfId="68" applyFont="1" applyBorder="1" applyAlignment="1">
      <alignment horizontal="center"/>
      <protection/>
    </xf>
    <xf numFmtId="0" fontId="2" fillId="0" borderId="18" xfId="68" applyFont="1" applyBorder="1" applyAlignment="1">
      <alignment horizontal="center"/>
      <protection/>
    </xf>
    <xf numFmtId="0" fontId="2" fillId="0" borderId="12" xfId="68" applyFont="1" applyBorder="1" applyAlignment="1">
      <alignment horizontal="center"/>
      <protection/>
    </xf>
    <xf numFmtId="0" fontId="1" fillId="0" borderId="16" xfId="68" applyFont="1" applyBorder="1" applyAlignment="1">
      <alignment horizontal="center"/>
      <protection/>
    </xf>
    <xf numFmtId="0" fontId="1" fillId="0" borderId="0" xfId="68" applyFont="1" applyBorder="1" applyAlignment="1">
      <alignment horizontal="center"/>
      <protection/>
    </xf>
    <xf numFmtId="0" fontId="1" fillId="0" borderId="16" xfId="65" applyFont="1" applyBorder="1">
      <alignment/>
      <protection/>
    </xf>
    <xf numFmtId="0" fontId="1" fillId="0" borderId="0" xfId="67" applyFont="1">
      <alignment/>
      <protection/>
    </xf>
    <xf numFmtId="0" fontId="1" fillId="0" borderId="10" xfId="68" applyBorder="1" applyAlignment="1">
      <alignment horizontal="center"/>
      <protection/>
    </xf>
    <xf numFmtId="0" fontId="2" fillId="0" borderId="17" xfId="68" applyFont="1" applyBorder="1" applyAlignment="1">
      <alignment horizontal="center"/>
      <protection/>
    </xf>
    <xf numFmtId="0" fontId="2" fillId="0" borderId="21" xfId="68" applyFont="1" applyBorder="1" applyAlignment="1">
      <alignment horizontal="center"/>
      <protection/>
    </xf>
    <xf numFmtId="0" fontId="3" fillId="0" borderId="18" xfId="68" applyFont="1" applyBorder="1" applyAlignment="1">
      <alignment horizontal="center"/>
      <protection/>
    </xf>
    <xf numFmtId="0" fontId="3" fillId="0" borderId="12" xfId="68" applyFont="1" applyBorder="1" applyAlignment="1">
      <alignment horizontal="center"/>
      <protection/>
    </xf>
    <xf numFmtId="0" fontId="2" fillId="0" borderId="18" xfId="68" applyFont="1" applyBorder="1" applyAlignment="1">
      <alignment horizontal="center"/>
      <protection/>
    </xf>
    <xf numFmtId="0" fontId="2" fillId="0" borderId="12" xfId="68" applyFont="1" applyBorder="1" applyAlignment="1">
      <alignment horizontal="center"/>
      <protection/>
    </xf>
    <xf numFmtId="0" fontId="2" fillId="0" borderId="17" xfId="70" applyFont="1" applyBorder="1" applyAlignment="1">
      <alignment horizontal="center"/>
      <protection/>
    </xf>
    <xf numFmtId="0" fontId="2" fillId="0" borderId="21" xfId="70" applyFont="1" applyBorder="1" applyAlignment="1">
      <alignment horizontal="center"/>
      <protection/>
    </xf>
    <xf numFmtId="0" fontId="3" fillId="0" borderId="18" xfId="70" applyFont="1" applyBorder="1" applyAlignment="1">
      <alignment horizontal="center"/>
      <protection/>
    </xf>
    <xf numFmtId="0" fontId="3" fillId="0" borderId="12" xfId="70" applyFont="1" applyBorder="1" applyAlignment="1">
      <alignment horizontal="center"/>
      <protection/>
    </xf>
    <xf numFmtId="0" fontId="1" fillId="0" borderId="0" xfId="71" applyBorder="1" applyAlignment="1">
      <alignment horizontal="center"/>
      <protection/>
    </xf>
    <xf numFmtId="0" fontId="2" fillId="0" borderId="18" xfId="71" applyFont="1" applyBorder="1" applyAlignment="1">
      <alignment horizontal="center"/>
      <protection/>
    </xf>
    <xf numFmtId="0" fontId="2" fillId="0" borderId="12" xfId="71" applyFont="1" applyBorder="1" applyAlignment="1">
      <alignment horizontal="center"/>
      <protection/>
    </xf>
    <xf numFmtId="0" fontId="3" fillId="0" borderId="18" xfId="71" applyFont="1" applyBorder="1" applyAlignment="1">
      <alignment horizontal="center"/>
      <protection/>
    </xf>
    <xf numFmtId="0" fontId="3" fillId="0" borderId="12" xfId="71" applyFont="1" applyBorder="1" applyAlignment="1">
      <alignment horizontal="center"/>
      <protection/>
    </xf>
    <xf numFmtId="0" fontId="1" fillId="0" borderId="10" xfId="69" applyBorder="1" applyAlignment="1">
      <alignment horizontal="center"/>
      <protection/>
    </xf>
    <xf numFmtId="0" fontId="2" fillId="0" borderId="18" xfId="69" applyFont="1" applyBorder="1" applyAlignment="1">
      <alignment horizontal="center"/>
      <protection/>
    </xf>
    <xf numFmtId="0" fontId="2" fillId="0" borderId="12" xfId="69" applyFont="1" applyBorder="1" applyAlignment="1">
      <alignment horizontal="center"/>
      <protection/>
    </xf>
    <xf numFmtId="0" fontId="3" fillId="0" borderId="18" xfId="69" applyFont="1" applyBorder="1" applyAlignment="1">
      <alignment horizontal="center"/>
      <protection/>
    </xf>
    <xf numFmtId="0" fontId="3" fillId="0" borderId="12" xfId="69" applyFont="1" applyBorder="1" applyAlignment="1">
      <alignment horizontal="center"/>
      <protection/>
    </xf>
    <xf numFmtId="0" fontId="1" fillId="0" borderId="10" xfId="52" applyBorder="1" applyAlignment="1">
      <alignment horizontal="center"/>
      <protection/>
    </xf>
    <xf numFmtId="0" fontId="2" fillId="0" borderId="18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3" fillId="0" borderId="14" xfId="52" applyFont="1" applyBorder="1" applyAlignment="1">
      <alignment horizontal="right"/>
      <protection/>
    </xf>
    <xf numFmtId="0" fontId="3" fillId="0" borderId="15" xfId="52" applyFont="1" applyBorder="1" applyAlignment="1">
      <alignment horizontal="right"/>
      <protection/>
    </xf>
    <xf numFmtId="0" fontId="1" fillId="0" borderId="0" xfId="53" applyBorder="1" applyAlignment="1">
      <alignment horizontal="center"/>
      <protection/>
    </xf>
    <xf numFmtId="0" fontId="3" fillId="0" borderId="18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2" fillId="0" borderId="17" xfId="53" applyFont="1" applyBorder="1" applyAlignment="1">
      <alignment horizontal="center"/>
      <protection/>
    </xf>
    <xf numFmtId="0" fontId="2" fillId="0" borderId="21" xfId="53" applyFont="1" applyBorder="1" applyAlignment="1">
      <alignment horizontal="center"/>
      <protection/>
    </xf>
    <xf numFmtId="0" fontId="1" fillId="0" borderId="10" xfId="54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3" fillId="0" borderId="18" xfId="54" applyFont="1" applyBorder="1" applyAlignment="1">
      <alignment horizontal="center"/>
      <protection/>
    </xf>
    <xf numFmtId="0" fontId="3" fillId="0" borderId="12" xfId="54" applyFont="1" applyBorder="1" applyAlignment="1">
      <alignment horizontal="center"/>
      <protection/>
    </xf>
    <xf numFmtId="0" fontId="1" fillId="0" borderId="10" xfId="55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8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2" fillId="0" borderId="18" xfId="56" applyFont="1" applyBorder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0" fontId="2" fillId="0" borderId="12" xfId="57" applyFont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8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21" xfId="59" applyFont="1" applyBorder="1" applyAlignment="1">
      <alignment horizontal="center"/>
      <protection/>
    </xf>
    <xf numFmtId="0" fontId="1" fillId="0" borderId="10" xfId="60" applyBorder="1" applyAlignment="1">
      <alignment horizontal="center"/>
      <protection/>
    </xf>
    <xf numFmtId="0" fontId="2" fillId="0" borderId="18" xfId="60" applyFont="1" applyBorder="1" applyAlignment="1">
      <alignment horizontal="center"/>
      <protection/>
    </xf>
    <xf numFmtId="0" fontId="2" fillId="0" borderId="12" xfId="60" applyFont="1" applyBorder="1" applyAlignment="1">
      <alignment horizontal="center"/>
      <protection/>
    </xf>
    <xf numFmtId="0" fontId="3" fillId="0" borderId="18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8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2" fillId="0" borderId="17" xfId="61" applyFont="1" applyBorder="1" applyAlignment="1">
      <alignment horizontal="center"/>
      <protection/>
    </xf>
    <xf numFmtId="0" fontId="2" fillId="0" borderId="21" xfId="61" applyFont="1" applyBorder="1" applyAlignment="1">
      <alignment horizontal="center"/>
      <protection/>
    </xf>
    <xf numFmtId="0" fontId="2" fillId="0" borderId="18" xfId="62" applyFont="1" applyBorder="1" applyAlignment="1">
      <alignment horizontal="center"/>
      <protection/>
    </xf>
    <xf numFmtId="0" fontId="2" fillId="0" borderId="12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8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2" fillId="0" borderId="18" xfId="63" applyFont="1" applyBorder="1" applyAlignment="1">
      <alignment horizontal="center"/>
      <protection/>
    </xf>
    <xf numFmtId="0" fontId="2" fillId="0" borderId="12" xfId="63" applyFont="1" applyBorder="1" applyAlignment="1">
      <alignment horizontal="center"/>
      <protection/>
    </xf>
    <xf numFmtId="0" fontId="2" fillId="0" borderId="18" xfId="64" applyFont="1" applyBorder="1" applyAlignment="1">
      <alignment horizontal="center"/>
      <protection/>
    </xf>
    <xf numFmtId="0" fontId="2" fillId="0" borderId="12" xfId="64" applyFont="1" applyBorder="1" applyAlignment="1">
      <alignment horizontal="center"/>
      <protection/>
    </xf>
    <xf numFmtId="0" fontId="3" fillId="0" borderId="18" xfId="64" applyFont="1" applyBorder="1" applyAlignment="1">
      <alignment horizontal="center"/>
      <protection/>
    </xf>
    <xf numFmtId="0" fontId="3" fillId="0" borderId="12" xfId="64" applyFont="1" applyBorder="1" applyAlignment="1">
      <alignment horizontal="center"/>
      <protection/>
    </xf>
    <xf numFmtId="0" fontId="1" fillId="0" borderId="10" xfId="65" applyBorder="1" applyAlignment="1">
      <alignment horizontal="center"/>
      <protection/>
    </xf>
    <xf numFmtId="0" fontId="2" fillId="0" borderId="18" xfId="65" applyFont="1" applyBorder="1" applyAlignment="1">
      <alignment horizontal="center"/>
      <protection/>
    </xf>
    <xf numFmtId="0" fontId="2" fillId="0" borderId="12" xfId="65" applyFont="1" applyBorder="1" applyAlignment="1">
      <alignment horizontal="center"/>
      <protection/>
    </xf>
    <xf numFmtId="0" fontId="3" fillId="0" borderId="18" xfId="65" applyFont="1" applyBorder="1" applyAlignment="1">
      <alignment horizontal="center"/>
      <protection/>
    </xf>
    <xf numFmtId="0" fontId="3" fillId="0" borderId="12" xfId="65" applyFont="1" applyBorder="1" applyAlignment="1">
      <alignment horizontal="center"/>
      <protection/>
    </xf>
    <xf numFmtId="0" fontId="1" fillId="0" borderId="10" xfId="66" applyBorder="1" applyAlignment="1">
      <alignment horizontal="center"/>
      <protection/>
    </xf>
    <xf numFmtId="0" fontId="2" fillId="0" borderId="17" xfId="66" applyFont="1" applyBorder="1" applyAlignment="1">
      <alignment horizontal="center"/>
      <protection/>
    </xf>
    <xf numFmtId="0" fontId="2" fillId="0" borderId="21" xfId="66" applyFont="1" applyBorder="1" applyAlignment="1">
      <alignment horizontal="center"/>
      <protection/>
    </xf>
    <xf numFmtId="0" fontId="3" fillId="0" borderId="18" xfId="66" applyFont="1" applyBorder="1" applyAlignment="1">
      <alignment horizontal="center"/>
      <protection/>
    </xf>
    <xf numFmtId="0" fontId="3" fillId="0" borderId="12" xfId="66" applyFont="1" applyBorder="1" applyAlignment="1">
      <alignment horizontal="center"/>
      <protection/>
    </xf>
    <xf numFmtId="0" fontId="1" fillId="0" borderId="10" xfId="67" applyBorder="1" applyAlignment="1">
      <alignment horizontal="center"/>
      <protection/>
    </xf>
    <xf numFmtId="0" fontId="2" fillId="0" borderId="17" xfId="67" applyFont="1" applyBorder="1" applyAlignment="1">
      <alignment horizontal="center"/>
      <protection/>
    </xf>
    <xf numFmtId="0" fontId="2" fillId="0" borderId="21" xfId="67" applyFont="1" applyBorder="1" applyAlignment="1">
      <alignment horizontal="center"/>
      <protection/>
    </xf>
    <xf numFmtId="0" fontId="3" fillId="0" borderId="18" xfId="67" applyFont="1" applyBorder="1" applyAlignment="1">
      <alignment horizontal="center"/>
      <protection/>
    </xf>
    <xf numFmtId="0" fontId="3" fillId="0" borderId="12" xfId="67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15" xfId="52"/>
    <cellStyle name="Обычный_В17" xfId="53"/>
    <cellStyle name="Обычный_В18" xfId="54"/>
    <cellStyle name="Обычный_В19" xfId="55"/>
    <cellStyle name="Обычный_В21" xfId="56"/>
    <cellStyle name="Обычный_В22" xfId="57"/>
    <cellStyle name="Обычный_В23" xfId="58"/>
    <cellStyle name="Обычный_В24" xfId="59"/>
    <cellStyle name="Обычный_В25" xfId="60"/>
    <cellStyle name="Обычный_В26" xfId="61"/>
    <cellStyle name="Обычный_В27" xfId="62"/>
    <cellStyle name="Обычный_В28" xfId="63"/>
    <cellStyle name="Обычный_В30" xfId="64"/>
    <cellStyle name="Обычный_В32" xfId="65"/>
    <cellStyle name="Обычный_В34" xfId="66"/>
    <cellStyle name="Обычный_В36" xfId="67"/>
    <cellStyle name="Обычный_Лист1" xfId="68"/>
    <cellStyle name="Обычный_Лист12" xfId="69"/>
    <cellStyle name="Обычный_Лист3" xfId="70"/>
    <cellStyle name="Обычный_Лист5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5.875" style="0" customWidth="1"/>
    <col min="2" max="2" width="40.625" style="0" customWidth="1"/>
    <col min="3" max="3" width="7.00390625" style="0" customWidth="1"/>
    <col min="4" max="4" width="12.00390625" style="0" customWidth="1"/>
    <col min="5" max="5" width="11.125" style="0" customWidth="1"/>
    <col min="7" max="7" width="10.375" style="0" customWidth="1"/>
    <col min="8" max="8" width="8.875" style="0" customWidth="1"/>
    <col min="10" max="10" width="12.00390625" style="0" customWidth="1"/>
    <col min="12" max="12" width="6.875" style="0" customWidth="1"/>
    <col min="13" max="13" width="4.375" style="0" customWidth="1"/>
    <col min="14" max="14" width="37.125" style="0" customWidth="1"/>
    <col min="16" max="16" width="10.125" style="0" customWidth="1"/>
    <col min="18" max="18" width="15.00390625" style="0" customWidth="1"/>
    <col min="19" max="19" width="8.75390625" style="0" customWidth="1"/>
    <col min="20" max="20" width="42.125" style="0" customWidth="1"/>
    <col min="21" max="21" width="7.125" style="0" customWidth="1"/>
    <col min="22" max="22" width="14.625" style="0" customWidth="1"/>
    <col min="23" max="23" width="13.75390625" style="0" customWidth="1"/>
    <col min="26" max="26" width="36.875" style="0" customWidth="1"/>
    <col min="27" max="27" width="8.875" style="0" customWidth="1"/>
    <col min="28" max="29" width="10.625" style="0" customWidth="1"/>
  </cols>
  <sheetData>
    <row r="1" spans="1:5" ht="15.75">
      <c r="A1" s="1"/>
      <c r="B1" s="2" t="s">
        <v>25</v>
      </c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 t="s">
        <v>71</v>
      </c>
      <c r="C3" s="1"/>
      <c r="D3" s="1"/>
      <c r="E3" s="1"/>
    </row>
    <row r="4" spans="1:5" ht="12.75">
      <c r="A4" s="1"/>
      <c r="B4" s="342" t="s">
        <v>105</v>
      </c>
      <c r="C4" s="1"/>
      <c r="D4" s="1"/>
      <c r="E4" s="1"/>
    </row>
    <row r="5" spans="1:5" ht="12.75">
      <c r="A5" s="479"/>
      <c r="B5" s="479"/>
      <c r="C5" s="479"/>
      <c r="D5" s="4"/>
      <c r="E5" s="5"/>
    </row>
    <row r="6" spans="1:6" ht="15.75">
      <c r="A6" s="344"/>
      <c r="B6" s="430" t="s">
        <v>1</v>
      </c>
      <c r="C6" s="431" t="s">
        <v>3</v>
      </c>
      <c r="D6" s="480" t="s">
        <v>4</v>
      </c>
      <c r="E6" s="481"/>
      <c r="F6" s="317"/>
    </row>
    <row r="7" spans="1:5" ht="15.75">
      <c r="A7" s="10"/>
      <c r="B7" s="8" t="s">
        <v>2</v>
      </c>
      <c r="C7" s="9" t="s">
        <v>33</v>
      </c>
      <c r="D7" s="482" t="s">
        <v>106</v>
      </c>
      <c r="E7" s="483"/>
    </row>
    <row r="8" spans="1:5" ht="12.75">
      <c r="A8" s="14"/>
      <c r="B8" s="16" t="s">
        <v>102</v>
      </c>
      <c r="C8" s="14"/>
      <c r="D8" s="14">
        <f>-694283.04+214258.68</f>
        <v>-480024.36000000004</v>
      </c>
      <c r="E8" s="432"/>
    </row>
    <row r="9" spans="1:5" ht="12.75">
      <c r="A9" s="11"/>
      <c r="B9" s="357" t="s">
        <v>79</v>
      </c>
      <c r="C9" s="11"/>
      <c r="D9" s="14">
        <v>54870.15</v>
      </c>
      <c r="E9" s="13"/>
    </row>
    <row r="10" spans="1:5" ht="12.75">
      <c r="A10" s="14"/>
      <c r="B10" s="15" t="s">
        <v>5</v>
      </c>
      <c r="C10" s="14" t="s">
        <v>34</v>
      </c>
      <c r="D10" s="14">
        <v>8134.1</v>
      </c>
      <c r="E10" s="14"/>
    </row>
    <row r="11" spans="1:5" ht="12.75">
      <c r="A11" s="14"/>
      <c r="B11" s="15" t="s">
        <v>6</v>
      </c>
      <c r="C11" s="14" t="s">
        <v>34</v>
      </c>
      <c r="D11" s="14">
        <v>6467.2</v>
      </c>
      <c r="E11" s="14"/>
    </row>
    <row r="12" spans="1:5" ht="12.75">
      <c r="A12" s="14"/>
      <c r="B12" s="16" t="s">
        <v>27</v>
      </c>
      <c r="C12" s="14" t="s">
        <v>9</v>
      </c>
      <c r="D12" s="20">
        <v>1046623.36</v>
      </c>
      <c r="E12" s="14"/>
    </row>
    <row r="13" spans="1:5" ht="12.75">
      <c r="A13" s="14"/>
      <c r="B13" s="14"/>
      <c r="C13" s="14"/>
      <c r="D13" s="14"/>
      <c r="E13" s="14"/>
    </row>
    <row r="14" spans="1:5" ht="15.75">
      <c r="A14" s="14"/>
      <c r="B14" s="17" t="s">
        <v>7</v>
      </c>
      <c r="C14" s="14"/>
      <c r="D14" s="14"/>
      <c r="E14" s="14"/>
    </row>
    <row r="15" spans="1:5" ht="12.75">
      <c r="A15" s="14">
        <v>1</v>
      </c>
      <c r="B15" s="14" t="s">
        <v>8</v>
      </c>
      <c r="C15" s="14" t="s">
        <v>9</v>
      </c>
      <c r="D15" s="20">
        <v>794500.4</v>
      </c>
      <c r="E15" s="14"/>
    </row>
    <row r="16" spans="1:5" ht="12.75">
      <c r="A16" s="14">
        <v>2</v>
      </c>
      <c r="B16" s="14" t="s">
        <v>74</v>
      </c>
      <c r="C16" s="14"/>
      <c r="D16" s="20">
        <v>231850.85</v>
      </c>
      <c r="E16" s="14"/>
    </row>
    <row r="17" spans="1:5" ht="12.75">
      <c r="A17" s="14">
        <v>3</v>
      </c>
      <c r="B17" s="22" t="s">
        <v>82</v>
      </c>
      <c r="C17" s="14"/>
      <c r="D17" s="20">
        <f>6000+15000</f>
        <v>21000</v>
      </c>
      <c r="E17" s="14"/>
    </row>
    <row r="18" spans="1:5" ht="15.75">
      <c r="A18" s="14"/>
      <c r="B18" s="17" t="s">
        <v>10</v>
      </c>
      <c r="C18" s="14"/>
      <c r="D18" s="19">
        <f>D15+D17+D16</f>
        <v>1047351.25</v>
      </c>
      <c r="E18" s="14"/>
    </row>
    <row r="19" spans="1:5" ht="15.75">
      <c r="A19" s="14"/>
      <c r="B19" s="17"/>
      <c r="C19" s="14"/>
      <c r="D19" s="19"/>
      <c r="E19" s="14"/>
    </row>
    <row r="20" spans="1:5" ht="15.75">
      <c r="A20" s="14"/>
      <c r="B20" s="17" t="s">
        <v>57</v>
      </c>
      <c r="C20" s="14"/>
      <c r="D20" s="20"/>
      <c r="E20" s="14"/>
    </row>
    <row r="21" spans="1:5" ht="12.75">
      <c r="A21" s="358" t="s">
        <v>58</v>
      </c>
      <c r="B21" s="16" t="s">
        <v>59</v>
      </c>
      <c r="C21" s="14"/>
      <c r="D21" s="19">
        <f>D22+D26+D27+D28+D29+D30</f>
        <v>362783.74471999996</v>
      </c>
      <c r="E21" s="14"/>
    </row>
    <row r="22" spans="1:5" ht="12.75">
      <c r="A22" s="14">
        <v>1</v>
      </c>
      <c r="B22" s="22" t="s">
        <v>11</v>
      </c>
      <c r="C22" s="22" t="s">
        <v>9</v>
      </c>
      <c r="D22" s="21">
        <f>D23+D24+D25</f>
        <v>284621.36</v>
      </c>
      <c r="E22" s="14"/>
    </row>
    <row r="23" spans="1:5" ht="12.75">
      <c r="A23" s="468" t="s">
        <v>126</v>
      </c>
      <c r="B23" s="14" t="s">
        <v>12</v>
      </c>
      <c r="C23" s="14"/>
      <c r="D23" s="14">
        <v>66921.1</v>
      </c>
      <c r="E23" s="14"/>
    </row>
    <row r="24" spans="1:5" ht="12.75">
      <c r="A24" s="468" t="s">
        <v>127</v>
      </c>
      <c r="B24" s="14" t="s">
        <v>13</v>
      </c>
      <c r="C24" s="14"/>
      <c r="D24" s="353">
        <v>101552.01</v>
      </c>
      <c r="E24" s="14"/>
    </row>
    <row r="25" spans="1:5" ht="12.75">
      <c r="A25" s="468" t="s">
        <v>128</v>
      </c>
      <c r="B25" s="14" t="s">
        <v>14</v>
      </c>
      <c r="C25" s="14"/>
      <c r="D25" s="14">
        <v>116148.25</v>
      </c>
      <c r="E25" s="14"/>
    </row>
    <row r="26" spans="1:5" ht="12.75">
      <c r="A26" s="14">
        <v>2</v>
      </c>
      <c r="B26" s="22" t="s">
        <v>136</v>
      </c>
      <c r="C26" s="14"/>
      <c r="D26" s="18">
        <f>D22*20.2%</f>
        <v>57493.51471999999</v>
      </c>
      <c r="E26" s="14"/>
    </row>
    <row r="27" spans="1:5" ht="12.75">
      <c r="A27" s="14">
        <v>3</v>
      </c>
      <c r="B27" s="14" t="s">
        <v>103</v>
      </c>
      <c r="C27" s="14"/>
      <c r="D27" s="14">
        <v>125</v>
      </c>
      <c r="E27" s="14"/>
    </row>
    <row r="28" spans="1:5" ht="12.75">
      <c r="A28" s="14">
        <v>4</v>
      </c>
      <c r="B28" s="14" t="s">
        <v>89</v>
      </c>
      <c r="C28" s="14"/>
      <c r="D28" s="14">
        <v>3106.53</v>
      </c>
      <c r="E28" s="14"/>
    </row>
    <row r="29" spans="1:5" ht="12.75">
      <c r="A29" s="14">
        <v>5</v>
      </c>
      <c r="B29" s="14" t="s">
        <v>101</v>
      </c>
      <c r="C29" s="14"/>
      <c r="D29" s="14">
        <v>3782.6</v>
      </c>
      <c r="E29" s="14"/>
    </row>
    <row r="30" spans="1:5" ht="12.75">
      <c r="A30" s="14">
        <v>6</v>
      </c>
      <c r="B30" s="352" t="s">
        <v>15</v>
      </c>
      <c r="C30" s="14"/>
      <c r="D30" s="14">
        <v>13654.74</v>
      </c>
      <c r="E30" s="14"/>
    </row>
    <row r="31" spans="1:5" ht="12.75">
      <c r="A31" s="358" t="s">
        <v>61</v>
      </c>
      <c r="B31" s="359" t="s">
        <v>60</v>
      </c>
      <c r="C31" s="14"/>
      <c r="D31" s="19">
        <f>D32+D33+D34+D35</f>
        <v>211043.8924</v>
      </c>
      <c r="E31" s="14"/>
    </row>
    <row r="32" spans="1:5" ht="12.75">
      <c r="A32" s="14">
        <v>1</v>
      </c>
      <c r="B32" s="22" t="s">
        <v>144</v>
      </c>
      <c r="C32" s="14"/>
      <c r="D32" s="22">
        <v>158071.2</v>
      </c>
      <c r="E32" s="14"/>
    </row>
    <row r="33" spans="1:5" ht="12.75">
      <c r="A33" s="14">
        <v>3</v>
      </c>
      <c r="B33" s="22" t="s">
        <v>136</v>
      </c>
      <c r="C33" s="14"/>
      <c r="D33" s="21">
        <f>D32*20.2%</f>
        <v>31930.3824</v>
      </c>
      <c r="E33" s="14"/>
    </row>
    <row r="34" spans="1:5" ht="12.75">
      <c r="A34" s="14">
        <v>4</v>
      </c>
      <c r="B34" s="22" t="s">
        <v>15</v>
      </c>
      <c r="C34" s="14"/>
      <c r="D34" s="22">
        <v>9616.31</v>
      </c>
      <c r="E34" s="14"/>
    </row>
    <row r="35" spans="1:5" ht="12.75">
      <c r="A35" s="14">
        <v>5</v>
      </c>
      <c r="B35" s="22" t="s">
        <v>83</v>
      </c>
      <c r="C35" s="14"/>
      <c r="D35" s="22">
        <v>11426</v>
      </c>
      <c r="E35" s="14"/>
    </row>
    <row r="36" spans="1:5" ht="12.75">
      <c r="A36" s="358" t="s">
        <v>62</v>
      </c>
      <c r="B36" s="20" t="s">
        <v>16</v>
      </c>
      <c r="C36" s="14"/>
      <c r="D36" s="19">
        <f>D37+D38+D39+D40+D41+D42+D43+D44</f>
        <v>90399.93125</v>
      </c>
      <c r="E36" s="19"/>
    </row>
    <row r="37" spans="1:5" ht="12.75">
      <c r="A37" s="14"/>
      <c r="B37" s="14" t="s">
        <v>17</v>
      </c>
      <c r="C37" s="14"/>
      <c r="D37" s="18">
        <f>D18*4.1%</f>
        <v>42941.401249999995</v>
      </c>
      <c r="E37" s="14"/>
    </row>
    <row r="38" spans="1:5" ht="12.75">
      <c r="A38" s="14"/>
      <c r="B38" s="14" t="s">
        <v>18</v>
      </c>
      <c r="C38" s="14"/>
      <c r="D38" s="14">
        <v>4700.19</v>
      </c>
      <c r="E38" s="14"/>
    </row>
    <row r="39" spans="1:5" ht="12.75">
      <c r="A39" s="14"/>
      <c r="B39" s="352" t="s">
        <v>19</v>
      </c>
      <c r="C39" s="14"/>
      <c r="D39" s="14">
        <v>10971.75</v>
      </c>
      <c r="E39" s="14"/>
    </row>
    <row r="40" spans="1:5" ht="12.75">
      <c r="A40" s="14"/>
      <c r="B40" s="14" t="s">
        <v>20</v>
      </c>
      <c r="C40" s="14"/>
      <c r="D40" s="18">
        <v>20418.57</v>
      </c>
      <c r="E40" s="18"/>
    </row>
    <row r="41" spans="1:5" ht="12.75">
      <c r="A41" s="14"/>
      <c r="B41" s="352" t="s">
        <v>28</v>
      </c>
      <c r="C41" s="14"/>
      <c r="D41" s="14">
        <v>187.84</v>
      </c>
      <c r="E41" s="14"/>
    </row>
    <row r="42" spans="1:5" ht="12.75">
      <c r="A42" s="14"/>
      <c r="B42" s="22" t="s">
        <v>141</v>
      </c>
      <c r="C42" s="14"/>
      <c r="D42" s="14">
        <v>1491.25</v>
      </c>
      <c r="E42" s="14"/>
    </row>
    <row r="43" spans="1:5" ht="12.75">
      <c r="A43" s="14"/>
      <c r="B43" s="352" t="s">
        <v>55</v>
      </c>
      <c r="C43" s="14"/>
      <c r="D43" s="14">
        <v>2631.2</v>
      </c>
      <c r="E43" s="14"/>
    </row>
    <row r="44" spans="1:5" ht="12.75">
      <c r="A44" s="14"/>
      <c r="B44" s="14" t="s">
        <v>21</v>
      </c>
      <c r="C44" s="14"/>
      <c r="D44" s="14">
        <v>7057.73</v>
      </c>
      <c r="E44" s="14"/>
    </row>
    <row r="45" spans="1:5" ht="12.75">
      <c r="A45" s="475" t="s">
        <v>64</v>
      </c>
      <c r="B45" s="20" t="s">
        <v>92</v>
      </c>
      <c r="C45" s="14"/>
      <c r="D45" s="19">
        <v>156720.24</v>
      </c>
      <c r="E45" s="19"/>
    </row>
    <row r="46" spans="1:5" ht="12.75">
      <c r="A46" s="475" t="s">
        <v>65</v>
      </c>
      <c r="B46" s="20" t="s">
        <v>23</v>
      </c>
      <c r="C46" s="14"/>
      <c r="D46" s="19">
        <f>D21+D31+D36+D45</f>
        <v>820947.80837</v>
      </c>
      <c r="E46" s="14"/>
    </row>
    <row r="47" spans="1:5" ht="12.75">
      <c r="A47" s="475" t="s">
        <v>66</v>
      </c>
      <c r="B47" s="14" t="s">
        <v>32</v>
      </c>
      <c r="C47" s="14"/>
      <c r="D47" s="19">
        <f>D18*6%</f>
        <v>62841.075</v>
      </c>
      <c r="E47" s="14"/>
    </row>
    <row r="48" spans="1:5" ht="12.75">
      <c r="A48" s="475" t="s">
        <v>67</v>
      </c>
      <c r="B48" s="20" t="s">
        <v>24</v>
      </c>
      <c r="C48" s="14"/>
      <c r="D48" s="19">
        <f>D46+D47</f>
        <v>883788.8833699999</v>
      </c>
      <c r="E48" s="14"/>
    </row>
    <row r="49" spans="1:5" ht="12.75">
      <c r="A49" s="15"/>
      <c r="B49" s="14"/>
      <c r="C49" s="14"/>
      <c r="D49" s="14"/>
      <c r="E49" s="14"/>
    </row>
    <row r="50" spans="1:5" ht="12.75">
      <c r="A50" s="475" t="s">
        <v>68</v>
      </c>
      <c r="B50" s="20" t="s">
        <v>142</v>
      </c>
      <c r="C50" s="14"/>
      <c r="D50" s="19">
        <f>(D15+D17)-D48+23416.93</f>
        <v>-44871.553369999914</v>
      </c>
      <c r="E50" s="14"/>
    </row>
    <row r="51" spans="1:5" ht="12.75">
      <c r="A51" s="475" t="s">
        <v>69</v>
      </c>
      <c r="B51" s="20" t="s">
        <v>44</v>
      </c>
      <c r="C51" s="14"/>
      <c r="D51" s="19">
        <f>D8+D50</f>
        <v>-524895.91337</v>
      </c>
      <c r="E51" s="14"/>
    </row>
    <row r="52" spans="1:5" ht="12.75">
      <c r="A52" s="3"/>
      <c r="B52" s="377" t="s">
        <v>74</v>
      </c>
      <c r="C52" s="3"/>
      <c r="D52" s="380">
        <f>D9+D16-23416.94</f>
        <v>263304.06</v>
      </c>
      <c r="E52" s="3"/>
    </row>
    <row r="53" spans="1:5" ht="12.75">
      <c r="A53" s="3"/>
      <c r="B53" s="377" t="s">
        <v>104</v>
      </c>
      <c r="C53" s="3"/>
      <c r="D53" s="380">
        <f>124485.18+58665.1+4500</f>
        <v>187650.28</v>
      </c>
      <c r="E53" s="3"/>
    </row>
    <row r="54" spans="1:5" ht="12.75">
      <c r="A54" s="3"/>
      <c r="B54" s="377" t="s">
        <v>97</v>
      </c>
      <c r="C54" s="3"/>
      <c r="D54" s="380">
        <f>D52-D53</f>
        <v>75653.78</v>
      </c>
      <c r="E54" s="3"/>
    </row>
    <row r="55" spans="1:7" ht="12.75">
      <c r="A55" s="3"/>
      <c r="B55" s="377"/>
      <c r="C55" s="3"/>
      <c r="D55" s="380"/>
      <c r="E55" s="3"/>
      <c r="G55" s="1"/>
    </row>
    <row r="56" spans="1:17" ht="12.75">
      <c r="A56" s="1"/>
      <c r="B56" s="1" t="s">
        <v>30</v>
      </c>
      <c r="C56" s="1"/>
      <c r="D56" s="1" t="s">
        <v>0</v>
      </c>
      <c r="E56" s="1"/>
      <c r="H56" s="1"/>
      <c r="I56" s="1"/>
      <c r="J56" s="1"/>
      <c r="M56" s="1"/>
      <c r="N56" s="1"/>
      <c r="O56" s="1"/>
      <c r="P56" s="1"/>
      <c r="Q56" s="1"/>
    </row>
    <row r="57" spans="1:5" ht="12.75">
      <c r="A57" s="1"/>
      <c r="B57" s="1" t="s">
        <v>31</v>
      </c>
      <c r="C57" s="1"/>
      <c r="D57" s="1" t="s">
        <v>26</v>
      </c>
      <c r="E57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7" spans="3:5" ht="12.75">
      <c r="C67" s="1"/>
      <c r="E67" s="1"/>
    </row>
  </sheetData>
  <sheetProtection/>
  <mergeCells count="3">
    <mergeCell ref="A5:C5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zoomScalePageLayoutView="0" workbookViewId="0" topLeftCell="A22">
      <selection activeCell="H53" sqref="H53"/>
    </sheetView>
  </sheetViews>
  <sheetFormatPr defaultColWidth="9.00390625" defaultRowHeight="12.75"/>
  <cols>
    <col min="1" max="1" width="6.00390625" style="0" customWidth="1"/>
    <col min="2" max="2" width="42.875" style="0" customWidth="1"/>
    <col min="3" max="3" width="5.875" style="0" customWidth="1"/>
    <col min="4" max="4" width="12.375" style="0" customWidth="1"/>
    <col min="5" max="5" width="10.25390625" style="0" customWidth="1"/>
    <col min="7" max="7" width="9.625" style="0" customWidth="1"/>
    <col min="8" max="8" width="11.25390625" style="0" customWidth="1"/>
    <col min="10" max="10" width="9.875" style="0" customWidth="1"/>
    <col min="13" max="13" width="6.125" style="0" customWidth="1"/>
    <col min="14" max="14" width="39.875" style="0" customWidth="1"/>
    <col min="16" max="16" width="11.125" style="0" customWidth="1"/>
    <col min="19" max="19" width="7.125" style="0" customWidth="1"/>
    <col min="20" max="20" width="41.875" style="0" customWidth="1"/>
    <col min="22" max="22" width="11.125" style="0" customWidth="1"/>
  </cols>
  <sheetData>
    <row r="1" spans="1:5" ht="15.75">
      <c r="A1" s="88"/>
      <c r="B1" s="89" t="s">
        <v>25</v>
      </c>
      <c r="C1" s="88"/>
      <c r="D1" s="88"/>
      <c r="E1" s="88"/>
    </row>
    <row r="2" spans="1:5" ht="12.75">
      <c r="A2" s="88"/>
      <c r="B2" s="88"/>
      <c r="C2" s="88"/>
      <c r="D2" s="88"/>
      <c r="E2" s="88"/>
    </row>
    <row r="3" spans="1:5" ht="12.75">
      <c r="A3" s="88"/>
      <c r="B3" s="88" t="s">
        <v>29</v>
      </c>
      <c r="C3" s="88"/>
      <c r="D3" s="88"/>
      <c r="E3" s="88"/>
    </row>
    <row r="4" spans="1:5" ht="12.75">
      <c r="A4" s="88"/>
      <c r="B4" s="400" t="s">
        <v>195</v>
      </c>
      <c r="C4" s="88"/>
      <c r="D4" s="88"/>
      <c r="E4" s="88"/>
    </row>
    <row r="5" spans="1:5" ht="12.75">
      <c r="A5" s="505"/>
      <c r="B5" s="505"/>
      <c r="C5" s="505"/>
      <c r="D5" s="349"/>
      <c r="E5" s="441"/>
    </row>
    <row r="6" spans="1:5" ht="15.75">
      <c r="A6" s="350"/>
      <c r="B6" s="442" t="s">
        <v>1</v>
      </c>
      <c r="C6" s="443" t="s">
        <v>3</v>
      </c>
      <c r="D6" s="508" t="s">
        <v>4</v>
      </c>
      <c r="E6" s="509"/>
    </row>
    <row r="7" spans="1:5" ht="15.75">
      <c r="A7" s="90"/>
      <c r="B7" s="91" t="s">
        <v>2</v>
      </c>
      <c r="C7" s="92" t="s">
        <v>33</v>
      </c>
      <c r="D7" s="506" t="s">
        <v>138</v>
      </c>
      <c r="E7" s="507"/>
    </row>
    <row r="8" spans="1:5" ht="12.75">
      <c r="A8" s="96"/>
      <c r="B8" s="97" t="s">
        <v>102</v>
      </c>
      <c r="C8" s="96"/>
      <c r="D8" s="444">
        <v>-208722.95</v>
      </c>
      <c r="E8" s="445"/>
    </row>
    <row r="9" spans="1:5" ht="12.75">
      <c r="A9" s="93"/>
      <c r="B9" s="364" t="s">
        <v>79</v>
      </c>
      <c r="C9" s="93"/>
      <c r="D9" s="94">
        <v>38043.24</v>
      </c>
      <c r="E9" s="95"/>
    </row>
    <row r="10" spans="1:5" ht="12.75">
      <c r="A10" s="93"/>
      <c r="B10" s="97" t="s">
        <v>5</v>
      </c>
      <c r="C10" s="96" t="s">
        <v>34</v>
      </c>
      <c r="D10" s="96">
        <v>5024.31</v>
      </c>
      <c r="E10" s="96"/>
    </row>
    <row r="11" spans="1:5" ht="12.75">
      <c r="A11" s="96"/>
      <c r="B11" s="97" t="s">
        <v>6</v>
      </c>
      <c r="C11" s="96" t="s">
        <v>34</v>
      </c>
      <c r="D11" s="96">
        <v>3641.7</v>
      </c>
      <c r="E11" s="96"/>
    </row>
    <row r="12" spans="1:5" ht="12.75">
      <c r="A12" s="96"/>
      <c r="B12" s="98" t="s">
        <v>27</v>
      </c>
      <c r="C12" s="96" t="s">
        <v>9</v>
      </c>
      <c r="D12" s="96">
        <f>395479.34+1043.22+130133.52-256.64</f>
        <v>526399.44</v>
      </c>
      <c r="E12" s="96"/>
    </row>
    <row r="13" spans="1:5" ht="12.75">
      <c r="A13" s="96"/>
      <c r="B13" s="96"/>
      <c r="C13" s="96"/>
      <c r="D13" s="96"/>
      <c r="E13" s="96"/>
    </row>
    <row r="14" spans="1:5" ht="15.75">
      <c r="A14" s="96"/>
      <c r="B14" s="99" t="s">
        <v>7</v>
      </c>
      <c r="C14" s="96"/>
      <c r="D14" s="96"/>
      <c r="E14" s="96"/>
    </row>
    <row r="15" spans="1:5" ht="12.75">
      <c r="A15" s="96">
        <v>1</v>
      </c>
      <c r="B15" s="96" t="s">
        <v>8</v>
      </c>
      <c r="C15" s="96" t="s">
        <v>9</v>
      </c>
      <c r="D15" s="96">
        <f>18927.45+386003.95+4659.44</f>
        <v>409590.84</v>
      </c>
      <c r="E15" s="96"/>
    </row>
    <row r="16" spans="1:5" ht="12.75">
      <c r="A16" s="96">
        <v>2</v>
      </c>
      <c r="B16" s="96" t="s">
        <v>74</v>
      </c>
      <c r="C16" s="96"/>
      <c r="D16" s="96">
        <v>117651.77</v>
      </c>
      <c r="E16" s="96"/>
    </row>
    <row r="17" spans="1:5" ht="12.75">
      <c r="A17" s="96">
        <v>3</v>
      </c>
      <c r="B17" s="96" t="s">
        <v>84</v>
      </c>
      <c r="C17" s="96"/>
      <c r="D17" s="96">
        <v>12000</v>
      </c>
      <c r="E17" s="96"/>
    </row>
    <row r="18" spans="1:5" ht="15.75">
      <c r="A18" s="96"/>
      <c r="B18" s="99" t="s">
        <v>10</v>
      </c>
      <c r="C18" s="96"/>
      <c r="D18" s="100">
        <f>SUM(D15:D17)</f>
        <v>539242.61</v>
      </c>
      <c r="E18" s="96"/>
    </row>
    <row r="19" spans="1:5" ht="15.75">
      <c r="A19" s="96"/>
      <c r="B19" s="99"/>
      <c r="C19" s="96"/>
      <c r="D19" s="100"/>
      <c r="E19" s="96"/>
    </row>
    <row r="20" spans="1:5" ht="15.75">
      <c r="A20" s="96"/>
      <c r="B20" s="17" t="s">
        <v>57</v>
      </c>
      <c r="C20" s="14"/>
      <c r="D20" s="20"/>
      <c r="E20" s="96"/>
    </row>
    <row r="21" spans="1:5" ht="12.75">
      <c r="A21" s="358" t="s">
        <v>58</v>
      </c>
      <c r="B21" s="16" t="s">
        <v>59</v>
      </c>
      <c r="C21" s="14"/>
      <c r="D21" s="19">
        <f>D22+D28+D27+D26+D25</f>
        <v>116543.82371999999</v>
      </c>
      <c r="E21" s="96"/>
    </row>
    <row r="22" spans="1:5" ht="12.75">
      <c r="A22" s="469">
        <v>1</v>
      </c>
      <c r="B22" s="22" t="s">
        <v>11</v>
      </c>
      <c r="C22" s="22" t="s">
        <v>9</v>
      </c>
      <c r="D22" s="21">
        <f>D23+D24</f>
        <v>89985.86</v>
      </c>
      <c r="E22" s="96"/>
    </row>
    <row r="23" spans="1:5" ht="12.75">
      <c r="A23" s="468" t="s">
        <v>126</v>
      </c>
      <c r="B23" s="14" t="s">
        <v>12</v>
      </c>
      <c r="C23" s="14"/>
      <c r="D23" s="14">
        <v>30135.66</v>
      </c>
      <c r="E23" s="96"/>
    </row>
    <row r="24" spans="1:5" ht="12.75">
      <c r="A24" s="468" t="s">
        <v>127</v>
      </c>
      <c r="B24" s="14" t="s">
        <v>13</v>
      </c>
      <c r="C24" s="14"/>
      <c r="D24" s="353">
        <v>59850.2</v>
      </c>
      <c r="E24" s="96"/>
    </row>
    <row r="25" spans="1:5" ht="12.75">
      <c r="A25" s="14">
        <v>2</v>
      </c>
      <c r="B25" s="22" t="s">
        <v>136</v>
      </c>
      <c r="C25" s="14"/>
      <c r="D25" s="18">
        <f>D22*20.2%</f>
        <v>18177.14372</v>
      </c>
      <c r="E25" s="96"/>
    </row>
    <row r="26" spans="1:5" ht="12.75">
      <c r="A26" s="14">
        <v>3</v>
      </c>
      <c r="B26" s="22" t="s">
        <v>143</v>
      </c>
      <c r="C26" s="14"/>
      <c r="D26" s="14">
        <v>1078.64</v>
      </c>
      <c r="E26" s="96"/>
    </row>
    <row r="27" spans="1:5" ht="12.75">
      <c r="A27" s="14">
        <v>4</v>
      </c>
      <c r="B27" s="22" t="s">
        <v>111</v>
      </c>
      <c r="C27" s="14"/>
      <c r="D27" s="14">
        <v>4390</v>
      </c>
      <c r="E27" s="96"/>
    </row>
    <row r="28" spans="1:5" ht="12.75">
      <c r="A28" s="14">
        <v>5</v>
      </c>
      <c r="B28" s="352" t="s">
        <v>15</v>
      </c>
      <c r="C28" s="14"/>
      <c r="D28" s="14">
        <v>2912.18</v>
      </c>
      <c r="E28" s="96"/>
    </row>
    <row r="29" spans="1:5" ht="12.75">
      <c r="A29" s="358" t="s">
        <v>61</v>
      </c>
      <c r="B29" s="359" t="s">
        <v>60</v>
      </c>
      <c r="C29" s="14"/>
      <c r="D29" s="19">
        <f>D30+D33+D32+D31</f>
        <v>123133.56676</v>
      </c>
      <c r="E29" s="96"/>
    </row>
    <row r="30" spans="1:5" ht="12.75">
      <c r="A30" s="469">
        <v>1</v>
      </c>
      <c r="B30" s="22" t="s">
        <v>95</v>
      </c>
      <c r="C30" s="14"/>
      <c r="D30" s="22">
        <v>89010.38</v>
      </c>
      <c r="E30" s="96"/>
    </row>
    <row r="31" spans="1:5" ht="12.75">
      <c r="A31" s="469">
        <v>2</v>
      </c>
      <c r="B31" s="22" t="s">
        <v>136</v>
      </c>
      <c r="C31" s="14"/>
      <c r="D31" s="21">
        <f>D30*20.2%</f>
        <v>17980.09676</v>
      </c>
      <c r="E31" s="18"/>
    </row>
    <row r="32" spans="1:5" ht="12.75">
      <c r="A32" s="14">
        <v>3</v>
      </c>
      <c r="B32" s="22" t="s">
        <v>15</v>
      </c>
      <c r="C32" s="14"/>
      <c r="D32" s="22">
        <v>9667.09</v>
      </c>
      <c r="E32" s="18"/>
    </row>
    <row r="33" spans="1:5" ht="12.75">
      <c r="A33" s="14">
        <v>4</v>
      </c>
      <c r="B33" s="22" t="s">
        <v>83</v>
      </c>
      <c r="C33" s="14"/>
      <c r="D33" s="22">
        <v>6476</v>
      </c>
      <c r="E33" s="14"/>
    </row>
    <row r="34" spans="1:5" ht="12.75">
      <c r="A34" s="358" t="s">
        <v>62</v>
      </c>
      <c r="B34" s="20" t="s">
        <v>16</v>
      </c>
      <c r="C34" s="14"/>
      <c r="D34" s="19">
        <f>D35+D36+D37+D38+D39+D40+D41+D42</f>
        <v>48123.012670000004</v>
      </c>
      <c r="E34" s="20"/>
    </row>
    <row r="35" spans="1:5" ht="12.75">
      <c r="A35" s="358"/>
      <c r="B35" s="14" t="s">
        <v>17</v>
      </c>
      <c r="C35" s="14"/>
      <c r="D35" s="18">
        <f>D18*4.7%</f>
        <v>25344.40267</v>
      </c>
      <c r="E35" s="14"/>
    </row>
    <row r="36" spans="1:5" ht="12.75">
      <c r="A36" s="14"/>
      <c r="B36" s="14" t="s">
        <v>18</v>
      </c>
      <c r="C36" s="14"/>
      <c r="D36" s="14">
        <v>1488.41</v>
      </c>
      <c r="E36" s="14"/>
    </row>
    <row r="37" spans="1:5" ht="12.75">
      <c r="A37" s="14"/>
      <c r="B37" s="22" t="s">
        <v>19</v>
      </c>
      <c r="C37" s="14"/>
      <c r="D37" s="14">
        <v>3657.25</v>
      </c>
      <c r="E37" s="14"/>
    </row>
    <row r="38" spans="1:5" ht="12.75">
      <c r="A38" s="14"/>
      <c r="B38" s="14" t="s">
        <v>20</v>
      </c>
      <c r="C38" s="14"/>
      <c r="D38" s="18">
        <v>11497.76</v>
      </c>
      <c r="E38" s="14"/>
    </row>
    <row r="39" spans="1:5" ht="12.75">
      <c r="A39" s="14"/>
      <c r="B39" s="352" t="s">
        <v>55</v>
      </c>
      <c r="C39" s="14"/>
      <c r="D39" s="14">
        <v>1481.6</v>
      </c>
      <c r="E39" s="14"/>
    </row>
    <row r="40" spans="1:5" ht="12.75">
      <c r="A40" s="14"/>
      <c r="B40" s="22" t="s">
        <v>141</v>
      </c>
      <c r="C40" s="14"/>
      <c r="D40" s="14">
        <v>200</v>
      </c>
      <c r="E40" s="14"/>
    </row>
    <row r="41" spans="1:5" ht="12.75">
      <c r="A41" s="14"/>
      <c r="B41" s="22" t="s">
        <v>28</v>
      </c>
      <c r="C41" s="14"/>
      <c r="D41" s="14">
        <v>479.36</v>
      </c>
      <c r="E41" s="14"/>
    </row>
    <row r="42" spans="1:5" ht="12.75">
      <c r="A42" s="14"/>
      <c r="B42" s="14" t="s">
        <v>21</v>
      </c>
      <c r="C42" s="14"/>
      <c r="D42" s="14">
        <v>3974.23</v>
      </c>
      <c r="E42" s="14"/>
    </row>
    <row r="43" spans="1:5" ht="12.75">
      <c r="A43" s="475" t="s">
        <v>64</v>
      </c>
      <c r="B43" s="20" t="s">
        <v>92</v>
      </c>
      <c r="C43" s="14"/>
      <c r="D43" s="19">
        <v>88249.65</v>
      </c>
      <c r="E43" s="19"/>
    </row>
    <row r="44" spans="1:5" ht="12.75">
      <c r="A44" s="475" t="s">
        <v>65</v>
      </c>
      <c r="B44" s="20" t="s">
        <v>23</v>
      </c>
      <c r="C44" s="14"/>
      <c r="D44" s="19">
        <f>D21+D29+D34+D43</f>
        <v>376050.05315000005</v>
      </c>
      <c r="E44" s="14"/>
    </row>
    <row r="45" spans="1:5" ht="12.75">
      <c r="A45" s="475" t="s">
        <v>66</v>
      </c>
      <c r="B45" s="14" t="s">
        <v>32</v>
      </c>
      <c r="C45" s="14"/>
      <c r="D45" s="19">
        <f>D18*6%</f>
        <v>32354.556599999996</v>
      </c>
      <c r="E45" s="14"/>
    </row>
    <row r="46" spans="1:5" ht="12.75">
      <c r="A46" s="475" t="s">
        <v>67</v>
      </c>
      <c r="B46" s="20" t="s">
        <v>24</v>
      </c>
      <c r="C46" s="14"/>
      <c r="D46" s="19">
        <f>D44+D45</f>
        <v>408404.60975000006</v>
      </c>
      <c r="E46" s="14"/>
    </row>
    <row r="47" spans="1:5" ht="12.75">
      <c r="A47" s="475"/>
      <c r="B47" s="14"/>
      <c r="C47" s="14"/>
      <c r="D47" s="14"/>
      <c r="E47" s="14"/>
    </row>
    <row r="48" spans="1:5" ht="12.75">
      <c r="A48" s="475" t="s">
        <v>68</v>
      </c>
      <c r="B48" s="20" t="s">
        <v>142</v>
      </c>
      <c r="C48" s="14"/>
      <c r="D48" s="19">
        <f>(D15+D17)-D46+12588.74</f>
        <v>25774.970249999962</v>
      </c>
      <c r="E48" s="14"/>
    </row>
    <row r="49" spans="1:5" ht="12.75">
      <c r="A49" s="475" t="s">
        <v>69</v>
      </c>
      <c r="B49" s="20" t="s">
        <v>44</v>
      </c>
      <c r="C49" s="14"/>
      <c r="D49" s="19">
        <f>D8+D48</f>
        <v>-182947.97975000006</v>
      </c>
      <c r="E49" s="14"/>
    </row>
    <row r="50" spans="1:5" ht="12.75">
      <c r="A50" s="476"/>
      <c r="B50" s="377"/>
      <c r="C50" s="3"/>
      <c r="D50" s="380"/>
      <c r="E50" s="3"/>
    </row>
    <row r="51" spans="1:5" ht="12.75">
      <c r="A51" s="476"/>
      <c r="B51" s="377"/>
      <c r="C51" s="3"/>
      <c r="D51" s="380"/>
      <c r="E51" s="3"/>
    </row>
    <row r="52" spans="1:5" ht="12.75">
      <c r="A52" s="3"/>
      <c r="B52" s="377"/>
      <c r="C52" s="3"/>
      <c r="D52" s="380"/>
      <c r="E52" s="3"/>
    </row>
    <row r="53" spans="1:5" ht="12.75">
      <c r="A53" s="3"/>
      <c r="B53" s="377" t="s">
        <v>74</v>
      </c>
      <c r="C53" s="3"/>
      <c r="D53" s="380">
        <f>D9+D16-12588.74</f>
        <v>143106.27000000002</v>
      </c>
      <c r="E53" s="3"/>
    </row>
    <row r="54" spans="1:5" ht="12.75">
      <c r="A54" s="3"/>
      <c r="B54" s="377" t="s">
        <v>109</v>
      </c>
      <c r="C54" s="3"/>
      <c r="D54" s="380">
        <f>2000+3000+18163.84</f>
        <v>23163.84</v>
      </c>
      <c r="E54" s="3"/>
    </row>
    <row r="55" spans="1:5" ht="12.75">
      <c r="A55" s="3"/>
      <c r="B55" s="377" t="s">
        <v>93</v>
      </c>
      <c r="C55" s="3"/>
      <c r="D55" s="380">
        <f>D53-D54</f>
        <v>119942.43000000002</v>
      </c>
      <c r="E55" s="1"/>
    </row>
    <row r="56" spans="1:5" ht="12.75">
      <c r="A56" s="1"/>
      <c r="B56" s="377"/>
      <c r="C56" s="3"/>
      <c r="D56" s="380"/>
      <c r="E56" s="1"/>
    </row>
    <row r="57" spans="1:4" ht="12.75">
      <c r="A57" s="1"/>
      <c r="B57" s="1" t="s">
        <v>30</v>
      </c>
      <c r="C57" s="1"/>
      <c r="D57" s="1" t="s">
        <v>0</v>
      </c>
    </row>
    <row r="58" spans="2:4" ht="12.75">
      <c r="B58" s="1" t="s">
        <v>31</v>
      </c>
      <c r="C58" s="1"/>
      <c r="D58" s="1" t="s">
        <v>26</v>
      </c>
    </row>
  </sheetData>
  <sheetProtection/>
  <mergeCells count="3">
    <mergeCell ref="A5:C5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6.25390625" style="0" customWidth="1"/>
    <col min="2" max="2" width="43.375" style="0" customWidth="1"/>
    <col min="3" max="3" width="6.75390625" style="0" customWidth="1"/>
    <col min="4" max="4" width="10.625" style="0" customWidth="1"/>
    <col min="7" max="7" width="11.00390625" style="0" customWidth="1"/>
    <col min="8" max="8" width="11.375" style="0" customWidth="1"/>
    <col min="10" max="10" width="10.625" style="0" customWidth="1"/>
    <col min="13" max="13" width="12.25390625" style="0" customWidth="1"/>
    <col min="14" max="14" width="11.375" style="0" customWidth="1"/>
    <col min="15" max="15" width="8.875" style="0" customWidth="1"/>
    <col min="16" max="16" width="15.125" style="0" customWidth="1"/>
    <col min="19" max="19" width="5.625" style="0" customWidth="1"/>
    <col min="20" max="20" width="42.75390625" style="0" customWidth="1"/>
    <col min="22" max="22" width="10.625" style="0" customWidth="1"/>
  </cols>
  <sheetData>
    <row r="1" spans="1:5" ht="15.75">
      <c r="A1" s="101"/>
      <c r="B1" s="102" t="s">
        <v>25</v>
      </c>
      <c r="C1" s="101"/>
      <c r="D1" s="101"/>
      <c r="E1" s="101"/>
    </row>
    <row r="2" spans="1:5" ht="12.75">
      <c r="A2" s="101"/>
      <c r="B2" s="101"/>
      <c r="C2" s="101"/>
      <c r="D2" s="101"/>
      <c r="E2" s="101"/>
    </row>
    <row r="3" spans="1:5" ht="12.75">
      <c r="A3" s="101"/>
      <c r="B3" s="101" t="s">
        <v>29</v>
      </c>
      <c r="C3" s="101"/>
      <c r="D3" s="101"/>
      <c r="E3" s="101"/>
    </row>
    <row r="4" spans="1:5" ht="12.75">
      <c r="A4" s="101"/>
      <c r="B4" s="401" t="s">
        <v>196</v>
      </c>
      <c r="C4" s="101"/>
      <c r="D4" s="101"/>
      <c r="E4" s="101"/>
    </row>
    <row r="5" spans="1:5" ht="12.75">
      <c r="A5" s="510"/>
      <c r="B5" s="510"/>
      <c r="C5" s="510"/>
      <c r="D5" s="54"/>
      <c r="E5" s="103"/>
    </row>
    <row r="6" spans="1:5" ht="15.75">
      <c r="A6" s="446"/>
      <c r="B6" s="447" t="s">
        <v>1</v>
      </c>
      <c r="C6" s="448" t="s">
        <v>3</v>
      </c>
      <c r="D6" s="511" t="s">
        <v>4</v>
      </c>
      <c r="E6" s="512"/>
    </row>
    <row r="7" spans="1:5" ht="15.75">
      <c r="A7" s="106"/>
      <c r="B7" s="104" t="s">
        <v>2</v>
      </c>
      <c r="C7" s="105" t="s">
        <v>33</v>
      </c>
      <c r="D7" s="513" t="s">
        <v>146</v>
      </c>
      <c r="E7" s="514"/>
    </row>
    <row r="8" spans="1:5" ht="12.75">
      <c r="A8" s="107"/>
      <c r="B8" s="108" t="s">
        <v>70</v>
      </c>
      <c r="C8" s="107"/>
      <c r="D8" s="449">
        <v>38162.82</v>
      </c>
      <c r="E8" s="450"/>
    </row>
    <row r="9" spans="1:5" ht="12.75">
      <c r="A9" s="107"/>
      <c r="B9" s="108" t="s">
        <v>5</v>
      </c>
      <c r="C9" s="107" t="s">
        <v>34</v>
      </c>
      <c r="D9" s="107">
        <v>7865.6</v>
      </c>
      <c r="E9" s="107"/>
    </row>
    <row r="10" spans="1:5" ht="12.75">
      <c r="A10" s="107"/>
      <c r="B10" s="108" t="s">
        <v>6</v>
      </c>
      <c r="C10" s="107" t="s">
        <v>34</v>
      </c>
      <c r="D10" s="107">
        <v>5669.08</v>
      </c>
      <c r="E10" s="107"/>
    </row>
    <row r="11" spans="1:5" ht="12.75">
      <c r="A11" s="107"/>
      <c r="B11" s="109" t="s">
        <v>27</v>
      </c>
      <c r="C11" s="107" t="s">
        <v>36</v>
      </c>
      <c r="D11" s="107">
        <f>807173.01+201843.48</f>
        <v>1009016.49</v>
      </c>
      <c r="E11" s="107"/>
    </row>
    <row r="12" spans="1:5" ht="12.75">
      <c r="A12" s="107"/>
      <c r="B12" s="107"/>
      <c r="C12" s="107"/>
      <c r="D12" s="107"/>
      <c r="E12" s="107"/>
    </row>
    <row r="13" spans="1:5" ht="15.75">
      <c r="A13" s="107"/>
      <c r="B13" s="110" t="s">
        <v>7</v>
      </c>
      <c r="C13" s="107"/>
      <c r="D13" s="107"/>
      <c r="E13" s="107"/>
    </row>
    <row r="14" spans="1:5" ht="12.75">
      <c r="A14" s="107">
        <v>1</v>
      </c>
      <c r="B14" s="107" t="s">
        <v>8</v>
      </c>
      <c r="C14" s="107" t="s">
        <v>9</v>
      </c>
      <c r="D14" s="107">
        <v>512228.19</v>
      </c>
      <c r="E14" s="107"/>
    </row>
    <row r="15" spans="1:5" ht="12.75">
      <c r="A15" s="107">
        <v>2</v>
      </c>
      <c r="B15" s="107" t="s">
        <v>74</v>
      </c>
      <c r="C15" s="107"/>
      <c r="D15" s="107">
        <v>149926.7</v>
      </c>
      <c r="E15" s="107"/>
    </row>
    <row r="16" spans="1:5" ht="12.75">
      <c r="A16" s="107">
        <v>3</v>
      </c>
      <c r="B16" s="107" t="s">
        <v>82</v>
      </c>
      <c r="C16" s="107"/>
      <c r="D16" s="107">
        <v>9000</v>
      </c>
      <c r="E16" s="107"/>
    </row>
    <row r="17" spans="1:5" ht="15.75">
      <c r="A17" s="107"/>
      <c r="B17" s="110" t="s">
        <v>10</v>
      </c>
      <c r="C17" s="107"/>
      <c r="D17" s="111">
        <f>D14+D15+D16</f>
        <v>671154.89</v>
      </c>
      <c r="E17" s="107"/>
    </row>
    <row r="18" spans="1:5" ht="15.75">
      <c r="A18" s="107"/>
      <c r="B18" s="110"/>
      <c r="C18" s="107"/>
      <c r="D18" s="111"/>
      <c r="E18" s="107"/>
    </row>
    <row r="19" spans="1:5" ht="15.75">
      <c r="A19" s="14"/>
      <c r="B19" s="17" t="s">
        <v>57</v>
      </c>
      <c r="C19" s="14"/>
      <c r="D19" s="20"/>
      <c r="E19" s="107"/>
    </row>
    <row r="20" spans="1:5" ht="12.75">
      <c r="A20" s="358" t="s">
        <v>58</v>
      </c>
      <c r="B20" s="16" t="s">
        <v>59</v>
      </c>
      <c r="C20" s="14"/>
      <c r="D20" s="19">
        <f>D21+D27+D26+D25</f>
        <v>240068.33097999997</v>
      </c>
      <c r="E20" s="107"/>
    </row>
    <row r="21" spans="1:5" ht="12.75">
      <c r="A21" s="14">
        <v>1</v>
      </c>
      <c r="B21" s="22" t="s">
        <v>11</v>
      </c>
      <c r="C21" s="22" t="s">
        <v>9</v>
      </c>
      <c r="D21" s="21">
        <f>D22+D23+D24</f>
        <v>195431.49</v>
      </c>
      <c r="E21" s="107"/>
    </row>
    <row r="22" spans="1:5" ht="12.75">
      <c r="A22" s="468" t="s">
        <v>126</v>
      </c>
      <c r="B22" s="14" t="s">
        <v>12</v>
      </c>
      <c r="C22" s="14"/>
      <c r="D22" s="14">
        <v>48438.6</v>
      </c>
      <c r="E22" s="107"/>
    </row>
    <row r="23" spans="1:5" ht="12.75">
      <c r="A23" s="468" t="s">
        <v>127</v>
      </c>
      <c r="B23" s="14" t="s">
        <v>13</v>
      </c>
      <c r="C23" s="14"/>
      <c r="D23" s="353">
        <v>89152.69</v>
      </c>
      <c r="E23" s="107"/>
    </row>
    <row r="24" spans="1:5" ht="12.75">
      <c r="A24" s="468" t="s">
        <v>128</v>
      </c>
      <c r="B24" s="14" t="s">
        <v>14</v>
      </c>
      <c r="C24" s="14"/>
      <c r="D24" s="14">
        <v>57840.2</v>
      </c>
      <c r="E24" s="107"/>
    </row>
    <row r="25" spans="1:5" ht="12.75">
      <c r="A25" s="14">
        <v>2</v>
      </c>
      <c r="B25" s="22" t="s">
        <v>136</v>
      </c>
      <c r="C25" s="14"/>
      <c r="D25" s="18">
        <f>D21*20.2%</f>
        <v>39477.16097999999</v>
      </c>
      <c r="E25" s="107"/>
    </row>
    <row r="26" spans="1:5" ht="12.75">
      <c r="A26" s="14">
        <v>3</v>
      </c>
      <c r="B26" s="352" t="s">
        <v>89</v>
      </c>
      <c r="C26" s="14"/>
      <c r="D26" s="14">
        <v>2021.5</v>
      </c>
      <c r="E26" s="107"/>
    </row>
    <row r="27" spans="1:5" ht="12.75">
      <c r="A27" s="14">
        <v>4</v>
      </c>
      <c r="B27" s="352" t="s">
        <v>15</v>
      </c>
      <c r="C27" s="14"/>
      <c r="D27" s="14">
        <v>3138.18</v>
      </c>
      <c r="E27" s="107"/>
    </row>
    <row r="28" spans="1:5" ht="12.75">
      <c r="A28" s="358" t="s">
        <v>61</v>
      </c>
      <c r="B28" s="359" t="s">
        <v>60</v>
      </c>
      <c r="C28" s="14"/>
      <c r="D28" s="19">
        <f>D29+D30+D31+D32</f>
        <v>174740.71114</v>
      </c>
      <c r="E28" s="107"/>
    </row>
    <row r="29" spans="1:5" ht="12.75">
      <c r="A29" s="14">
        <v>1</v>
      </c>
      <c r="B29" s="22" t="s">
        <v>95</v>
      </c>
      <c r="C29" s="14"/>
      <c r="D29" s="22">
        <v>138563.57</v>
      </c>
      <c r="E29" s="107"/>
    </row>
    <row r="30" spans="1:5" ht="12.75">
      <c r="A30" s="14">
        <v>2</v>
      </c>
      <c r="B30" s="22" t="s">
        <v>136</v>
      </c>
      <c r="C30" s="14"/>
      <c r="D30" s="21">
        <f>D29*20.2%</f>
        <v>27989.84114</v>
      </c>
      <c r="E30" s="107"/>
    </row>
    <row r="31" spans="1:5" ht="12.75">
      <c r="A31" s="14">
        <v>3</v>
      </c>
      <c r="B31" s="22" t="s">
        <v>15</v>
      </c>
      <c r="C31" s="14"/>
      <c r="D31" s="22">
        <v>327.3</v>
      </c>
      <c r="E31" s="107"/>
    </row>
    <row r="32" spans="1:5" ht="12.75">
      <c r="A32" s="14">
        <v>4</v>
      </c>
      <c r="B32" s="22" t="s">
        <v>83</v>
      </c>
      <c r="C32" s="14"/>
      <c r="D32" s="22">
        <v>7860</v>
      </c>
      <c r="E32" s="14"/>
    </row>
    <row r="33" spans="1:5" ht="12.75">
      <c r="A33" s="358" t="s">
        <v>62</v>
      </c>
      <c r="B33" s="20" t="s">
        <v>16</v>
      </c>
      <c r="C33" s="14"/>
      <c r="D33" s="19">
        <f>D34+D35+D36+D37+D38+D39+D40+D41+D42+D43</f>
        <v>84472.62983</v>
      </c>
      <c r="E33" s="19"/>
    </row>
    <row r="34" spans="1:5" ht="12.75">
      <c r="A34" s="14"/>
      <c r="B34" s="14" t="s">
        <v>17</v>
      </c>
      <c r="C34" s="14"/>
      <c r="D34" s="18">
        <f>D17*4.7%</f>
        <v>31544.27983</v>
      </c>
      <c r="E34" s="14"/>
    </row>
    <row r="35" spans="1:5" ht="12.75">
      <c r="A35" s="14"/>
      <c r="B35" s="14" t="s">
        <v>18</v>
      </c>
      <c r="C35" s="14"/>
      <c r="D35" s="14">
        <v>1635.48</v>
      </c>
      <c r="E35" s="14"/>
    </row>
    <row r="36" spans="1:5" ht="12.75">
      <c r="A36" s="14"/>
      <c r="B36" s="14" t="s">
        <v>19</v>
      </c>
      <c r="C36" s="14"/>
      <c r="D36" s="14">
        <v>7064.33</v>
      </c>
      <c r="E36" s="14"/>
    </row>
    <row r="37" spans="1:5" ht="12.75">
      <c r="A37" s="14"/>
      <c r="B37" s="22" t="s">
        <v>187</v>
      </c>
      <c r="C37" s="14"/>
      <c r="D37" s="14">
        <v>1800</v>
      </c>
      <c r="E37" s="14"/>
    </row>
    <row r="38" spans="1:5" ht="12.75">
      <c r="A38" s="14"/>
      <c r="B38" s="14" t="s">
        <v>20</v>
      </c>
      <c r="C38" s="14"/>
      <c r="D38" s="18">
        <v>17898.71</v>
      </c>
      <c r="E38" s="18"/>
    </row>
    <row r="39" spans="1:5" ht="12.75">
      <c r="A39" s="14"/>
      <c r="B39" s="22" t="s">
        <v>148</v>
      </c>
      <c r="C39" s="14"/>
      <c r="D39" s="18">
        <v>15000</v>
      </c>
      <c r="E39" s="18"/>
    </row>
    <row r="40" spans="1:5" ht="12.75">
      <c r="A40" s="14"/>
      <c r="B40" s="22" t="s">
        <v>28</v>
      </c>
      <c r="C40" s="14"/>
      <c r="D40" s="14">
        <v>333.6</v>
      </c>
      <c r="E40" s="14"/>
    </row>
    <row r="41" spans="1:5" ht="12.75">
      <c r="A41" s="14"/>
      <c r="B41" s="22" t="s">
        <v>141</v>
      </c>
      <c r="C41" s="14"/>
      <c r="D41" s="14">
        <v>703</v>
      </c>
      <c r="E41" s="14"/>
    </row>
    <row r="42" spans="1:5" ht="12.75">
      <c r="A42" s="14"/>
      <c r="B42" s="352" t="s">
        <v>55</v>
      </c>
      <c r="C42" s="14"/>
      <c r="D42" s="14">
        <v>2306.5</v>
      </c>
      <c r="E42" s="14"/>
    </row>
    <row r="43" spans="1:5" ht="12.75">
      <c r="A43" s="14"/>
      <c r="B43" s="14" t="s">
        <v>21</v>
      </c>
      <c r="C43" s="14"/>
      <c r="D43" s="14">
        <v>6186.73</v>
      </c>
      <c r="E43" s="14"/>
    </row>
    <row r="44" spans="1:5" ht="12.75">
      <c r="A44" s="475" t="s">
        <v>64</v>
      </c>
      <c r="B44" s="20" t="s">
        <v>92</v>
      </c>
      <c r="C44" s="14"/>
      <c r="D44" s="19">
        <v>137379.33</v>
      </c>
      <c r="E44" s="19"/>
    </row>
    <row r="45" spans="1:5" ht="12.75">
      <c r="A45" s="475" t="s">
        <v>65</v>
      </c>
      <c r="B45" s="20" t="s">
        <v>23</v>
      </c>
      <c r="C45" s="14"/>
      <c r="D45" s="19">
        <f>D20+D28+D33+D44</f>
        <v>636661.00195</v>
      </c>
      <c r="E45" s="14"/>
    </row>
    <row r="46" spans="1:5" ht="12.75">
      <c r="A46" s="475" t="s">
        <v>66</v>
      </c>
      <c r="B46" s="14" t="s">
        <v>32</v>
      </c>
      <c r="C46" s="14"/>
      <c r="D46" s="19">
        <f>D17*6%</f>
        <v>40269.2934</v>
      </c>
      <c r="E46" s="14"/>
    </row>
    <row r="47" spans="1:5" ht="12.75">
      <c r="A47" s="475" t="s">
        <v>67</v>
      </c>
      <c r="B47" s="20" t="s">
        <v>24</v>
      </c>
      <c r="C47" s="14"/>
      <c r="D47" s="19">
        <f>D45+D46</f>
        <v>676930.2953499999</v>
      </c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475" t="s">
        <v>68</v>
      </c>
      <c r="B49" s="20" t="s">
        <v>142</v>
      </c>
      <c r="C49" s="14"/>
      <c r="D49" s="19">
        <f>(D14+D16)-D47+16042.16</f>
        <v>-139659.9453499999</v>
      </c>
      <c r="E49" s="14"/>
    </row>
    <row r="50" spans="1:5" ht="12.75">
      <c r="A50" s="475" t="s">
        <v>69</v>
      </c>
      <c r="B50" s="20" t="s">
        <v>44</v>
      </c>
      <c r="C50" s="14"/>
      <c r="D50" s="19">
        <f>D8+D49</f>
        <v>-101497.1253499999</v>
      </c>
      <c r="E50" s="14"/>
    </row>
    <row r="51" spans="1:5" ht="12.75">
      <c r="A51" s="3"/>
      <c r="B51" s="377"/>
      <c r="C51" s="3"/>
      <c r="D51" s="380"/>
      <c r="E51" s="3"/>
    </row>
    <row r="52" spans="1:5" ht="12.75">
      <c r="A52" s="3"/>
      <c r="B52" s="377" t="s">
        <v>74</v>
      </c>
      <c r="C52" s="3"/>
      <c r="D52" s="380">
        <f>D15-16042.16</f>
        <v>133884.54</v>
      </c>
      <c r="E52" s="3"/>
    </row>
    <row r="53" spans="1:5" ht="12.75">
      <c r="A53" s="3"/>
      <c r="B53" s="377" t="s">
        <v>109</v>
      </c>
      <c r="C53" s="3"/>
      <c r="D53" s="380">
        <f>23786.21+55134.13+2250</f>
        <v>81170.34</v>
      </c>
      <c r="E53" s="3"/>
    </row>
    <row r="54" spans="1:5" ht="12.75">
      <c r="A54" s="3"/>
      <c r="B54" s="377" t="s">
        <v>93</v>
      </c>
      <c r="C54" s="3"/>
      <c r="D54" s="380">
        <f>D52-D53</f>
        <v>52714.20000000001</v>
      </c>
      <c r="E54" s="3"/>
    </row>
    <row r="55" spans="1:5" ht="12.75">
      <c r="A55" s="3"/>
      <c r="B55" s="377"/>
      <c r="C55" s="3"/>
      <c r="D55" s="380"/>
      <c r="E55" s="3"/>
    </row>
    <row r="56" spans="1:5" ht="12.75">
      <c r="A56" s="1"/>
      <c r="B56" s="1" t="s">
        <v>30</v>
      </c>
      <c r="C56" s="1"/>
      <c r="D56" s="1" t="s">
        <v>0</v>
      </c>
      <c r="E56" s="1"/>
    </row>
    <row r="57" spans="1:5" ht="12.75">
      <c r="A57" s="1"/>
      <c r="B57" s="1" t="s">
        <v>31</v>
      </c>
      <c r="C57" s="1"/>
      <c r="D57" s="1" t="s">
        <v>26</v>
      </c>
      <c r="E57" s="1"/>
    </row>
  </sheetData>
  <sheetProtection/>
  <mergeCells count="3">
    <mergeCell ref="A5:C5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zoomScalePageLayoutView="0" workbookViewId="0" topLeftCell="A1">
      <selection activeCell="H27" sqref="H27"/>
    </sheetView>
  </sheetViews>
  <sheetFormatPr defaultColWidth="9.00390625" defaultRowHeight="12.75"/>
  <cols>
    <col min="1" max="1" width="7.625" style="0" customWidth="1"/>
    <col min="2" max="2" width="42.375" style="0" customWidth="1"/>
    <col min="3" max="3" width="7.00390625" style="0" customWidth="1"/>
    <col min="4" max="4" width="10.625" style="0" customWidth="1"/>
    <col min="5" max="5" width="9.75390625" style="0" customWidth="1"/>
    <col min="7" max="7" width="13.125" style="0" customWidth="1"/>
    <col min="8" max="8" width="14.625" style="0" customWidth="1"/>
    <col min="10" max="10" width="12.00390625" style="0" customWidth="1"/>
    <col min="11" max="11" width="10.00390625" style="0" customWidth="1"/>
    <col min="13" max="13" width="6.125" style="0" customWidth="1"/>
    <col min="14" max="14" width="39.00390625" style="0" customWidth="1"/>
    <col min="16" max="16" width="10.625" style="0" customWidth="1"/>
    <col min="17" max="17" width="10.75390625" style="0" customWidth="1"/>
    <col min="19" max="19" width="4.75390625" style="0" customWidth="1"/>
    <col min="20" max="20" width="39.375" style="0" customWidth="1"/>
    <col min="22" max="22" width="12.00390625" style="0" customWidth="1"/>
    <col min="23" max="23" width="11.00390625" style="0" customWidth="1"/>
  </cols>
  <sheetData>
    <row r="1" spans="1:5" ht="15.75">
      <c r="A1" s="112"/>
      <c r="B1" s="113" t="s">
        <v>25</v>
      </c>
      <c r="C1" s="112"/>
      <c r="D1" s="112"/>
      <c r="E1" s="112"/>
    </row>
    <row r="2" spans="1:5" ht="12.75">
      <c r="A2" s="112"/>
      <c r="B2" s="112"/>
      <c r="C2" s="112"/>
      <c r="D2" s="112"/>
      <c r="E2" s="112"/>
    </row>
    <row r="3" spans="1:5" ht="12.75">
      <c r="A3" s="112"/>
      <c r="B3" s="112" t="s">
        <v>29</v>
      </c>
      <c r="C3" s="112"/>
      <c r="D3" s="112"/>
      <c r="E3" s="112"/>
    </row>
    <row r="4" spans="1:5" ht="12.75">
      <c r="A4" s="112"/>
      <c r="B4" s="402" t="s">
        <v>197</v>
      </c>
      <c r="C4" s="112"/>
      <c r="D4" s="112"/>
      <c r="E4" s="112"/>
    </row>
    <row r="5" spans="1:5" ht="12.75">
      <c r="A5" s="112"/>
      <c r="B5" s="112" t="s">
        <v>40</v>
      </c>
      <c r="C5" s="112"/>
      <c r="D5" s="112"/>
      <c r="E5" s="112"/>
    </row>
    <row r="6" spans="1:5" ht="12.75">
      <c r="A6" s="515"/>
      <c r="B6" s="515"/>
      <c r="C6" s="515"/>
      <c r="D6" s="23"/>
      <c r="E6" s="114"/>
    </row>
    <row r="7" spans="1:5" ht="12.75">
      <c r="A7" s="115"/>
      <c r="B7" s="115"/>
      <c r="C7" s="115"/>
      <c r="D7" s="116"/>
      <c r="E7" s="117"/>
    </row>
    <row r="8" spans="1:5" ht="15.75">
      <c r="A8" s="115"/>
      <c r="B8" s="118" t="s">
        <v>1</v>
      </c>
      <c r="C8" s="119" t="s">
        <v>3</v>
      </c>
      <c r="D8" s="516" t="s">
        <v>4</v>
      </c>
      <c r="E8" s="517"/>
    </row>
    <row r="9" spans="1:5" ht="15.75">
      <c r="A9" s="120"/>
      <c r="B9" s="118" t="s">
        <v>2</v>
      </c>
      <c r="C9" s="119" t="s">
        <v>33</v>
      </c>
      <c r="D9" s="518" t="s">
        <v>146</v>
      </c>
      <c r="E9" s="519"/>
    </row>
    <row r="10" spans="1:5" ht="12.75">
      <c r="A10" s="121"/>
      <c r="B10" s="121"/>
      <c r="C10" s="121"/>
      <c r="D10" s="122"/>
      <c r="E10" s="123"/>
    </row>
    <row r="11" spans="1:5" ht="12.75">
      <c r="A11" s="121"/>
      <c r="B11" s="365" t="s">
        <v>73</v>
      </c>
      <c r="C11" s="121"/>
      <c r="D11" s="122">
        <v>481195.07</v>
      </c>
      <c r="E11" s="123"/>
    </row>
    <row r="12" spans="1:5" ht="12.75">
      <c r="A12" s="124"/>
      <c r="B12" s="125" t="s">
        <v>5</v>
      </c>
      <c r="C12" s="124" t="s">
        <v>34</v>
      </c>
      <c r="D12" s="124">
        <v>4036</v>
      </c>
      <c r="E12" s="124"/>
    </row>
    <row r="13" spans="1:5" ht="12.75">
      <c r="A13" s="124"/>
      <c r="B13" s="125" t="s">
        <v>6</v>
      </c>
      <c r="C13" s="124" t="s">
        <v>34</v>
      </c>
      <c r="D13" s="124">
        <v>2430.8</v>
      </c>
      <c r="E13" s="124"/>
    </row>
    <row r="14" spans="1:5" ht="12.75">
      <c r="A14" s="124"/>
      <c r="B14" s="126" t="s">
        <v>27</v>
      </c>
      <c r="C14" s="124" t="s">
        <v>9</v>
      </c>
      <c r="D14" s="124">
        <v>185800.68</v>
      </c>
      <c r="E14" s="124"/>
    </row>
    <row r="15" spans="1:5" ht="12.75">
      <c r="A15" s="124"/>
      <c r="B15" s="124"/>
      <c r="C15" s="124"/>
      <c r="D15" s="124"/>
      <c r="E15" s="124"/>
    </row>
    <row r="16" spans="1:5" ht="15.75">
      <c r="A16" s="124"/>
      <c r="B16" s="127" t="s">
        <v>7</v>
      </c>
      <c r="C16" s="124"/>
      <c r="D16" s="124"/>
      <c r="E16" s="124"/>
    </row>
    <row r="17" spans="1:5" ht="12.75">
      <c r="A17" s="124">
        <v>1</v>
      </c>
      <c r="B17" s="124" t="s">
        <v>8</v>
      </c>
      <c r="C17" s="124" t="s">
        <v>9</v>
      </c>
      <c r="D17" s="124">
        <f>182344.42</f>
        <v>182344.42</v>
      </c>
      <c r="E17" s="124"/>
    </row>
    <row r="18" spans="1:5" ht="12.75">
      <c r="A18" s="124">
        <v>2</v>
      </c>
      <c r="B18" s="326" t="s">
        <v>82</v>
      </c>
      <c r="C18" s="124"/>
      <c r="D18" s="124">
        <v>347000</v>
      </c>
      <c r="E18" s="124"/>
    </row>
    <row r="19" spans="1:5" ht="15.75">
      <c r="A19" s="124"/>
      <c r="B19" s="127" t="s">
        <v>10</v>
      </c>
      <c r="C19" s="124"/>
      <c r="D19" s="129">
        <f>D17+D18</f>
        <v>529344.42</v>
      </c>
      <c r="E19" s="124"/>
    </row>
    <row r="20" spans="1:5" ht="15.75">
      <c r="A20" s="124"/>
      <c r="B20" s="127"/>
      <c r="C20" s="124"/>
      <c r="D20" s="128"/>
      <c r="E20" s="124"/>
    </row>
    <row r="21" spans="1:5" ht="15.75">
      <c r="A21" s="14"/>
      <c r="B21" s="17" t="s">
        <v>57</v>
      </c>
      <c r="C21" s="14"/>
      <c r="D21" s="20"/>
      <c r="E21" s="124"/>
    </row>
    <row r="22" spans="1:5" ht="12.75">
      <c r="A22" s="358" t="s">
        <v>58</v>
      </c>
      <c r="B22" s="16" t="s">
        <v>59</v>
      </c>
      <c r="C22" s="14"/>
      <c r="D22" s="19">
        <f>D23+D25+D24</f>
        <v>78988.39133999999</v>
      </c>
      <c r="E22" s="124"/>
    </row>
    <row r="23" spans="1:5" ht="12.75">
      <c r="A23" s="14">
        <v>1</v>
      </c>
      <c r="B23" s="22" t="s">
        <v>11</v>
      </c>
      <c r="C23" s="22" t="s">
        <v>9</v>
      </c>
      <c r="D23" s="22">
        <v>65433.67</v>
      </c>
      <c r="E23" s="124"/>
    </row>
    <row r="24" spans="1:5" ht="12.75">
      <c r="A24" s="14">
        <v>2</v>
      </c>
      <c r="B24" s="22" t="s">
        <v>136</v>
      </c>
      <c r="C24" s="14"/>
      <c r="D24" s="18">
        <f>D23*20.2%</f>
        <v>13217.60134</v>
      </c>
      <c r="E24" s="124"/>
    </row>
    <row r="25" spans="1:5" ht="12.75">
      <c r="A25" s="14">
        <v>3</v>
      </c>
      <c r="B25" s="352" t="s">
        <v>15</v>
      </c>
      <c r="C25" s="14"/>
      <c r="D25" s="14">
        <v>337.12</v>
      </c>
      <c r="E25" s="124"/>
    </row>
    <row r="26" spans="1:5" ht="12.75">
      <c r="A26" s="358" t="s">
        <v>61</v>
      </c>
      <c r="B26" s="359" t="s">
        <v>60</v>
      </c>
      <c r="C26" s="14"/>
      <c r="D26" s="19">
        <f>D27+D28+D29</f>
        <v>75998.12316</v>
      </c>
      <c r="E26" s="124"/>
    </row>
    <row r="27" spans="1:5" ht="12.75">
      <c r="A27" s="14">
        <v>1</v>
      </c>
      <c r="B27" s="22" t="s">
        <v>95</v>
      </c>
      <c r="C27" s="14"/>
      <c r="D27" s="22">
        <v>59413.58</v>
      </c>
      <c r="E27" s="124"/>
    </row>
    <row r="28" spans="1:5" ht="12.75">
      <c r="A28" s="14">
        <v>2</v>
      </c>
      <c r="B28" s="22" t="s">
        <v>136</v>
      </c>
      <c r="C28" s="14"/>
      <c r="D28" s="21">
        <f>D27*20.2%</f>
        <v>12001.54316</v>
      </c>
      <c r="E28" s="124"/>
    </row>
    <row r="29" spans="1:5" ht="12.75">
      <c r="A29" s="14">
        <v>3</v>
      </c>
      <c r="B29" s="22" t="s">
        <v>83</v>
      </c>
      <c r="C29" s="14"/>
      <c r="D29" s="22">
        <v>4583</v>
      </c>
      <c r="E29" s="124"/>
    </row>
    <row r="30" spans="1:5" ht="12.75">
      <c r="A30" s="358" t="s">
        <v>62</v>
      </c>
      <c r="B30" s="20" t="s">
        <v>16</v>
      </c>
      <c r="C30" s="14"/>
      <c r="D30" s="19">
        <f>D31+D32+D33+D34+D35+D36+D37+D38+D39</f>
        <v>58884.03100000001</v>
      </c>
      <c r="E30" s="124"/>
    </row>
    <row r="31" spans="1:5" ht="12.75">
      <c r="A31" s="14"/>
      <c r="B31" s="14" t="s">
        <v>17</v>
      </c>
      <c r="C31" s="14"/>
      <c r="D31" s="18">
        <f>D19*5%</f>
        <v>26467.221000000005</v>
      </c>
      <c r="E31" s="124"/>
    </row>
    <row r="32" spans="1:5" ht="12.75">
      <c r="A32" s="14"/>
      <c r="B32" s="14" t="s">
        <v>18</v>
      </c>
      <c r="C32" s="14"/>
      <c r="D32" s="14">
        <v>1687.07</v>
      </c>
      <c r="E32" s="14"/>
    </row>
    <row r="33" spans="1:5" ht="12.75">
      <c r="A33" s="14"/>
      <c r="B33" s="22" t="s">
        <v>19</v>
      </c>
      <c r="C33" s="14"/>
      <c r="D33" s="14">
        <v>3657.25</v>
      </c>
      <c r="E33" s="14"/>
    </row>
    <row r="34" spans="1:5" ht="12.75">
      <c r="A34" s="14"/>
      <c r="B34" s="14" t="s">
        <v>20</v>
      </c>
      <c r="C34" s="14"/>
      <c r="D34" s="18">
        <v>7674.65</v>
      </c>
      <c r="E34" s="18"/>
    </row>
    <row r="35" spans="1:5" ht="12.75">
      <c r="A35" s="14"/>
      <c r="B35" s="22" t="s">
        <v>28</v>
      </c>
      <c r="C35" s="14"/>
      <c r="D35" s="14">
        <v>333.6</v>
      </c>
      <c r="E35" s="14"/>
    </row>
    <row r="36" spans="1:5" ht="12.75">
      <c r="A36" s="14"/>
      <c r="B36" s="352" t="s">
        <v>55</v>
      </c>
      <c r="C36" s="14"/>
      <c r="D36" s="14">
        <v>988.98</v>
      </c>
      <c r="E36" s="14"/>
    </row>
    <row r="37" spans="1:5" ht="12.75">
      <c r="A37" s="14"/>
      <c r="B37" s="14" t="s">
        <v>21</v>
      </c>
      <c r="C37" s="14"/>
      <c r="D37" s="14">
        <v>2652.76</v>
      </c>
      <c r="E37" s="14"/>
    </row>
    <row r="38" spans="1:5" ht="12.75">
      <c r="A38" s="14"/>
      <c r="B38" s="22" t="s">
        <v>148</v>
      </c>
      <c r="C38" s="14"/>
      <c r="D38" s="14">
        <v>15000</v>
      </c>
      <c r="E38" s="14"/>
    </row>
    <row r="39" spans="1:5" ht="12.75">
      <c r="A39" s="14"/>
      <c r="B39" s="22" t="s">
        <v>141</v>
      </c>
      <c r="C39" s="14"/>
      <c r="D39" s="14">
        <v>422.5</v>
      </c>
      <c r="E39" s="14"/>
    </row>
    <row r="40" spans="1:5" ht="12.75">
      <c r="A40" s="475" t="s">
        <v>64</v>
      </c>
      <c r="B40" s="377" t="s">
        <v>74</v>
      </c>
      <c r="C40" s="14"/>
      <c r="D40" s="20">
        <f>9000+16520.29+51447.82</f>
        <v>76968.11</v>
      </c>
      <c r="E40" s="14"/>
    </row>
    <row r="41" spans="1:5" ht="12.75">
      <c r="A41" s="475" t="s">
        <v>65</v>
      </c>
      <c r="B41" s="20" t="s">
        <v>92</v>
      </c>
      <c r="C41" s="14"/>
      <c r="D41" s="19">
        <v>127042.66</v>
      </c>
      <c r="E41" s="19"/>
    </row>
    <row r="42" spans="1:5" ht="12.75">
      <c r="A42" s="475" t="s">
        <v>66</v>
      </c>
      <c r="B42" s="20" t="s">
        <v>23</v>
      </c>
      <c r="C42" s="14"/>
      <c r="D42" s="19">
        <f>D22+D26+D30+D40+D41</f>
        <v>417881.3155</v>
      </c>
      <c r="E42" s="14"/>
    </row>
    <row r="43" spans="1:5" ht="12.75">
      <c r="A43" s="475" t="s">
        <v>67</v>
      </c>
      <c r="B43" s="14" t="s">
        <v>32</v>
      </c>
      <c r="C43" s="14"/>
      <c r="D43" s="19">
        <f>D19*6%</f>
        <v>31760.665200000003</v>
      </c>
      <c r="E43" s="14"/>
    </row>
    <row r="44" spans="1:5" ht="12.75">
      <c r="A44" s="475" t="s">
        <v>68</v>
      </c>
      <c r="B44" s="20" t="s">
        <v>24</v>
      </c>
      <c r="C44" s="14"/>
      <c r="D44" s="19">
        <f>D42+D43</f>
        <v>449641.9807</v>
      </c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475" t="s">
        <v>69</v>
      </c>
      <c r="B46" s="20" t="s">
        <v>142</v>
      </c>
      <c r="C46" s="14"/>
      <c r="D46" s="19">
        <f>D19-D44</f>
        <v>79702.43930000003</v>
      </c>
      <c r="E46" s="14"/>
    </row>
    <row r="47" spans="1:5" ht="12.75">
      <c r="A47" s="475" t="s">
        <v>165</v>
      </c>
      <c r="B47" s="20" t="s">
        <v>44</v>
      </c>
      <c r="C47" s="14"/>
      <c r="D47" s="19">
        <f>D11+D46</f>
        <v>560897.5093</v>
      </c>
      <c r="E47" s="14"/>
    </row>
    <row r="48" spans="1:5" ht="12.75">
      <c r="A48" s="3"/>
      <c r="B48" s="377"/>
      <c r="C48" s="3"/>
      <c r="D48" s="380"/>
      <c r="E48" s="3"/>
    </row>
    <row r="49" spans="1:5" ht="12.75">
      <c r="A49" s="1"/>
      <c r="B49" s="1" t="s">
        <v>30</v>
      </c>
      <c r="C49" s="1"/>
      <c r="D49" s="1" t="s">
        <v>0</v>
      </c>
      <c r="E49" s="1"/>
    </row>
    <row r="50" spans="1:5" ht="12.75">
      <c r="A50" s="1"/>
      <c r="B50" s="1" t="s">
        <v>31</v>
      </c>
      <c r="C50" s="1"/>
      <c r="D50" s="1" t="s">
        <v>26</v>
      </c>
      <c r="E50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31">
      <selection activeCell="I45" sqref="I45"/>
    </sheetView>
  </sheetViews>
  <sheetFormatPr defaultColWidth="9.00390625" defaultRowHeight="12.75"/>
  <cols>
    <col min="1" max="1" width="6.00390625" style="0" customWidth="1"/>
    <col min="2" max="2" width="41.75390625" style="0" customWidth="1"/>
    <col min="3" max="3" width="6.75390625" style="0" customWidth="1"/>
    <col min="4" max="4" width="10.25390625" style="0" customWidth="1"/>
    <col min="5" max="5" width="10.875" style="0" customWidth="1"/>
    <col min="7" max="7" width="12.375" style="0" customWidth="1"/>
    <col min="8" max="8" width="13.375" style="0" customWidth="1"/>
    <col min="10" max="10" width="10.625" style="0" customWidth="1"/>
    <col min="13" max="13" width="6.25390625" style="0" customWidth="1"/>
    <col min="14" max="14" width="41.375" style="0" customWidth="1"/>
    <col min="15" max="15" width="8.125" style="0" customWidth="1"/>
    <col min="16" max="16" width="10.375" style="0" customWidth="1"/>
    <col min="19" max="19" width="4.625" style="0" customWidth="1"/>
    <col min="20" max="20" width="39.625" style="0" customWidth="1"/>
    <col min="22" max="22" width="11.625" style="0" customWidth="1"/>
  </cols>
  <sheetData>
    <row r="1" spans="1:6" ht="15.75">
      <c r="A1" s="130"/>
      <c r="B1" s="131" t="s">
        <v>25</v>
      </c>
      <c r="C1" s="130"/>
      <c r="D1" s="130"/>
      <c r="E1" s="130"/>
      <c r="F1" s="130"/>
    </row>
    <row r="2" spans="1:6" ht="12.75">
      <c r="A2" s="130"/>
      <c r="B2" s="130"/>
      <c r="C2" s="130"/>
      <c r="D2" s="130"/>
      <c r="E2" s="130"/>
      <c r="F2" s="130"/>
    </row>
    <row r="3" spans="1:6" ht="12.75">
      <c r="A3" s="130"/>
      <c r="B3" s="130" t="s">
        <v>29</v>
      </c>
      <c r="C3" s="130"/>
      <c r="D3" s="130"/>
      <c r="E3" s="130"/>
      <c r="F3" s="130"/>
    </row>
    <row r="4" spans="1:6" ht="12.75">
      <c r="A4" s="130"/>
      <c r="B4" s="403" t="s">
        <v>198</v>
      </c>
      <c r="C4" s="130"/>
      <c r="D4" s="130"/>
      <c r="E4" s="130"/>
      <c r="F4" s="130"/>
    </row>
    <row r="5" spans="1:6" ht="12.75">
      <c r="A5" s="132"/>
      <c r="B5" s="130" t="s">
        <v>42</v>
      </c>
      <c r="C5" s="130"/>
      <c r="D5" s="130"/>
      <c r="E5" s="130"/>
      <c r="F5" s="130"/>
    </row>
    <row r="6" spans="1:6" ht="12.75">
      <c r="A6" s="383"/>
      <c r="B6" s="383"/>
      <c r="C6" s="383"/>
      <c r="D6" s="134"/>
      <c r="E6" s="384"/>
      <c r="F6" s="135"/>
    </row>
    <row r="7" spans="1:6" ht="15.75">
      <c r="A7" s="133"/>
      <c r="B7" s="136" t="s">
        <v>1</v>
      </c>
      <c r="C7" s="137" t="s">
        <v>3</v>
      </c>
      <c r="D7" s="522" t="s">
        <v>4</v>
      </c>
      <c r="E7" s="523"/>
      <c r="F7" s="130"/>
    </row>
    <row r="8" spans="1:6" ht="15.75">
      <c r="A8" s="138"/>
      <c r="B8" s="136" t="s">
        <v>2</v>
      </c>
      <c r="C8" s="137" t="s">
        <v>33</v>
      </c>
      <c r="D8" s="520" t="s">
        <v>140</v>
      </c>
      <c r="E8" s="521"/>
      <c r="F8" s="130"/>
    </row>
    <row r="9" spans="1:6" ht="12.75">
      <c r="A9" s="139"/>
      <c r="B9" s="139"/>
      <c r="C9" s="139"/>
      <c r="D9" s="140"/>
      <c r="E9" s="141"/>
      <c r="F9" s="130"/>
    </row>
    <row r="10" spans="1:6" ht="12.75">
      <c r="A10" s="139"/>
      <c r="B10" s="366" t="s">
        <v>78</v>
      </c>
      <c r="C10" s="139"/>
      <c r="D10" s="140">
        <v>-168664.79</v>
      </c>
      <c r="E10" s="141"/>
      <c r="F10" s="130"/>
    </row>
    <row r="11" spans="1:6" ht="12.75">
      <c r="A11" s="139"/>
      <c r="B11" s="366" t="s">
        <v>85</v>
      </c>
      <c r="C11" s="139"/>
      <c r="D11" s="140">
        <v>83911.49</v>
      </c>
      <c r="E11" s="141"/>
      <c r="F11" s="130"/>
    </row>
    <row r="12" spans="1:6" ht="12.75">
      <c r="A12" s="142"/>
      <c r="B12" s="143" t="s">
        <v>5</v>
      </c>
      <c r="C12" s="142" t="s">
        <v>34</v>
      </c>
      <c r="D12" s="142">
        <v>3011.34</v>
      </c>
      <c r="E12" s="142"/>
      <c r="F12" s="130"/>
    </row>
    <row r="13" spans="1:6" ht="12.75">
      <c r="A13" s="142"/>
      <c r="B13" s="143" t="s">
        <v>6</v>
      </c>
      <c r="C13" s="142" t="s">
        <v>34</v>
      </c>
      <c r="D13" s="148">
        <v>2135</v>
      </c>
      <c r="E13" s="142"/>
      <c r="F13" s="130"/>
    </row>
    <row r="14" spans="1:6" ht="12.75">
      <c r="A14" s="142"/>
      <c r="B14" s="144" t="s">
        <v>27</v>
      </c>
      <c r="C14" s="142" t="s">
        <v>36</v>
      </c>
      <c r="D14" s="142">
        <f>177774.36+76507.2</f>
        <v>254281.56</v>
      </c>
      <c r="E14" s="142"/>
      <c r="F14" s="130"/>
    </row>
    <row r="15" spans="1:6" ht="12.75">
      <c r="A15" s="142"/>
      <c r="B15" s="142"/>
      <c r="C15" s="142"/>
      <c r="D15" s="142"/>
      <c r="E15" s="142"/>
      <c r="F15" s="130"/>
    </row>
    <row r="16" spans="1:6" ht="15.75">
      <c r="A16" s="142"/>
      <c r="B16" s="145" t="s">
        <v>7</v>
      </c>
      <c r="C16" s="142"/>
      <c r="D16" s="142"/>
      <c r="E16" s="142"/>
      <c r="F16" s="130"/>
    </row>
    <row r="17" spans="1:6" ht="12.75">
      <c r="A17" s="142">
        <v>1</v>
      </c>
      <c r="B17" s="142" t="s">
        <v>8</v>
      </c>
      <c r="C17" s="142" t="s">
        <v>9</v>
      </c>
      <c r="D17" s="148">
        <v>162142.64</v>
      </c>
      <c r="E17" s="142"/>
      <c r="F17" s="130"/>
    </row>
    <row r="18" spans="1:6" ht="12.75">
      <c r="A18" s="142">
        <v>2</v>
      </c>
      <c r="B18" s="142" t="s">
        <v>74</v>
      </c>
      <c r="C18" s="142"/>
      <c r="D18" s="142">
        <v>70100.96</v>
      </c>
      <c r="E18" s="142"/>
      <c r="F18" s="130"/>
    </row>
    <row r="19" spans="1:6" ht="12.75">
      <c r="A19" s="142">
        <v>3</v>
      </c>
      <c r="B19" s="142" t="s">
        <v>82</v>
      </c>
      <c r="C19" s="142"/>
      <c r="D19" s="142">
        <v>9000</v>
      </c>
      <c r="E19" s="142"/>
      <c r="F19" s="130"/>
    </row>
    <row r="20" spans="1:6" ht="15.75">
      <c r="A20" s="142"/>
      <c r="B20" s="145" t="s">
        <v>10</v>
      </c>
      <c r="C20" s="142"/>
      <c r="D20" s="147">
        <f>D17+D18+D19</f>
        <v>241243.60000000003</v>
      </c>
      <c r="E20" s="142"/>
      <c r="F20" s="130"/>
    </row>
    <row r="21" spans="1:6" ht="15.75">
      <c r="A21" s="142"/>
      <c r="B21" s="145"/>
      <c r="C21" s="142"/>
      <c r="D21" s="146"/>
      <c r="E21" s="142"/>
      <c r="F21" s="130"/>
    </row>
    <row r="22" spans="1:6" ht="15.75">
      <c r="A22" s="14"/>
      <c r="B22" s="17" t="s">
        <v>57</v>
      </c>
      <c r="C22" s="14"/>
      <c r="D22" s="20"/>
      <c r="E22" s="142"/>
      <c r="F22" s="130"/>
    </row>
    <row r="23" spans="1:6" ht="12.75">
      <c r="A23" s="358" t="s">
        <v>58</v>
      </c>
      <c r="B23" s="16" t="s">
        <v>59</v>
      </c>
      <c r="C23" s="14"/>
      <c r="D23" s="19">
        <f>D24+D27+D28</f>
        <v>104503.34526</v>
      </c>
      <c r="E23" s="142"/>
      <c r="F23" s="130"/>
    </row>
    <row r="24" spans="1:6" ht="12.75">
      <c r="A24" s="14">
        <v>1</v>
      </c>
      <c r="B24" s="22" t="s">
        <v>11</v>
      </c>
      <c r="C24" s="22" t="s">
        <v>9</v>
      </c>
      <c r="D24" s="21">
        <f>D25+D26</f>
        <v>84704.63</v>
      </c>
      <c r="E24" s="142"/>
      <c r="F24" s="130"/>
    </row>
    <row r="25" spans="1:6" ht="12.75">
      <c r="A25" s="468" t="s">
        <v>126</v>
      </c>
      <c r="B25" s="14" t="s">
        <v>12</v>
      </c>
      <c r="C25" s="14"/>
      <c r="D25" s="14">
        <v>51628.48</v>
      </c>
      <c r="E25" s="142"/>
      <c r="F25" s="130"/>
    </row>
    <row r="26" spans="1:6" ht="12.75">
      <c r="A26" s="468" t="s">
        <v>127</v>
      </c>
      <c r="B26" s="14" t="s">
        <v>13</v>
      </c>
      <c r="C26" s="14"/>
      <c r="D26" s="353">
        <v>33076.15</v>
      </c>
      <c r="E26" s="142"/>
      <c r="F26" s="130"/>
    </row>
    <row r="27" spans="1:6" ht="12.75">
      <c r="A27" s="14">
        <v>2</v>
      </c>
      <c r="B27" s="22" t="s">
        <v>136</v>
      </c>
      <c r="C27" s="14"/>
      <c r="D27" s="353">
        <f>D24*20.2%</f>
        <v>17110.33526</v>
      </c>
      <c r="E27" s="142"/>
      <c r="F27" s="130"/>
    </row>
    <row r="28" spans="1:6" ht="12.75">
      <c r="A28" s="14">
        <v>3</v>
      </c>
      <c r="B28" s="352" t="s">
        <v>15</v>
      </c>
      <c r="C28" s="14"/>
      <c r="D28" s="14">
        <v>2688.38</v>
      </c>
      <c r="E28" s="142"/>
      <c r="F28" s="130"/>
    </row>
    <row r="29" spans="1:6" ht="12.75">
      <c r="A29" s="358" t="s">
        <v>61</v>
      </c>
      <c r="B29" s="359" t="s">
        <v>60</v>
      </c>
      <c r="C29" s="14"/>
      <c r="D29" s="19">
        <f>D30+D31+D32+D33</f>
        <v>67645.06528</v>
      </c>
      <c r="E29" s="142"/>
      <c r="F29" s="130"/>
    </row>
    <row r="30" spans="1:6" ht="12.75">
      <c r="A30" s="14">
        <v>1</v>
      </c>
      <c r="B30" s="22" t="s">
        <v>95</v>
      </c>
      <c r="C30" s="14"/>
      <c r="D30" s="22">
        <v>52183.64</v>
      </c>
      <c r="E30" s="142"/>
      <c r="F30" s="130"/>
    </row>
    <row r="31" spans="1:6" ht="12.75">
      <c r="A31" s="14">
        <v>2</v>
      </c>
      <c r="B31" s="22" t="s">
        <v>136</v>
      </c>
      <c r="C31" s="14"/>
      <c r="D31" s="21">
        <f>D30*20.2%</f>
        <v>10541.09528</v>
      </c>
      <c r="E31" s="18"/>
      <c r="F31" s="130"/>
    </row>
    <row r="32" spans="1:6" ht="12.75">
      <c r="A32" s="14">
        <v>3</v>
      </c>
      <c r="B32" s="22" t="s">
        <v>15</v>
      </c>
      <c r="C32" s="14"/>
      <c r="D32" s="22">
        <v>2820.33</v>
      </c>
      <c r="E32" s="14"/>
      <c r="F32" s="130"/>
    </row>
    <row r="33" spans="1:6" ht="12.75">
      <c r="A33" s="14">
        <v>4</v>
      </c>
      <c r="B33" s="22" t="s">
        <v>83</v>
      </c>
      <c r="C33" s="14"/>
      <c r="D33" s="22">
        <v>2100</v>
      </c>
      <c r="E33" s="14"/>
      <c r="F33" s="130"/>
    </row>
    <row r="34" spans="1:6" ht="12.75">
      <c r="A34" s="358" t="s">
        <v>62</v>
      </c>
      <c r="B34" s="20" t="s">
        <v>16</v>
      </c>
      <c r="C34" s="14"/>
      <c r="D34" s="19">
        <f>D35+D36+D37+D38+D39+D40+D41+D42</f>
        <v>27654.000000000004</v>
      </c>
      <c r="E34" s="19"/>
      <c r="F34" s="130"/>
    </row>
    <row r="35" spans="1:6" ht="12.75">
      <c r="A35" s="14"/>
      <c r="B35" s="14" t="s">
        <v>17</v>
      </c>
      <c r="C35" s="14"/>
      <c r="D35" s="18">
        <f>D20*5%</f>
        <v>12062.180000000002</v>
      </c>
      <c r="E35" s="14"/>
      <c r="F35" s="130"/>
    </row>
    <row r="36" spans="1:6" ht="12.75">
      <c r="A36" s="14"/>
      <c r="B36" s="14" t="s">
        <v>18</v>
      </c>
      <c r="C36" s="14"/>
      <c r="D36" s="22">
        <v>978.78</v>
      </c>
      <c r="E36" s="14"/>
      <c r="F36" s="130"/>
    </row>
    <row r="37" spans="1:5" ht="12.75">
      <c r="A37" s="14"/>
      <c r="B37" s="22" t="s">
        <v>19</v>
      </c>
      <c r="C37" s="14"/>
      <c r="D37" s="14">
        <v>3657.25</v>
      </c>
      <c r="E37" s="14"/>
    </row>
    <row r="38" spans="1:5" ht="12.75">
      <c r="A38" s="14"/>
      <c r="B38" s="14" t="s">
        <v>20</v>
      </c>
      <c r="C38" s="14"/>
      <c r="D38" s="18">
        <v>6740.73</v>
      </c>
      <c r="E38" s="18"/>
    </row>
    <row r="39" spans="1:5" ht="12.75">
      <c r="A39" s="14"/>
      <c r="B39" s="22" t="s">
        <v>141</v>
      </c>
      <c r="C39" s="14"/>
      <c r="D39" s="14">
        <v>610</v>
      </c>
      <c r="E39" s="14"/>
    </row>
    <row r="40" spans="1:5" ht="12.75">
      <c r="A40" s="14"/>
      <c r="B40" s="22" t="s">
        <v>28</v>
      </c>
      <c r="C40" s="14"/>
      <c r="D40" s="14">
        <v>406.48</v>
      </c>
      <c r="E40" s="14"/>
    </row>
    <row r="41" spans="1:5" ht="12.75">
      <c r="A41" s="14"/>
      <c r="B41" s="22" t="s">
        <v>55</v>
      </c>
      <c r="C41" s="14"/>
      <c r="D41" s="14">
        <v>868.63</v>
      </c>
      <c r="E41" s="14"/>
    </row>
    <row r="42" spans="1:5" ht="12.75">
      <c r="A42" s="14"/>
      <c r="B42" s="352" t="s">
        <v>21</v>
      </c>
      <c r="C42" s="14"/>
      <c r="D42" s="14">
        <v>2329.95</v>
      </c>
      <c r="E42" s="14"/>
    </row>
    <row r="43" spans="1:5" ht="12.75">
      <c r="A43" s="475" t="s">
        <v>64</v>
      </c>
      <c r="B43" s="20" t="s">
        <v>92</v>
      </c>
      <c r="C43" s="14"/>
      <c r="D43" s="19">
        <v>55738.46</v>
      </c>
      <c r="E43" s="19"/>
    </row>
    <row r="44" spans="1:5" ht="12.75">
      <c r="A44" s="475" t="s">
        <v>65</v>
      </c>
      <c r="B44" s="20" t="s">
        <v>23</v>
      </c>
      <c r="C44" s="14"/>
      <c r="D44" s="19">
        <f>D23+D29+D34+D43</f>
        <v>255540.87054</v>
      </c>
      <c r="E44" s="14"/>
    </row>
    <row r="45" spans="1:5" ht="12.75">
      <c r="A45" s="475" t="s">
        <v>66</v>
      </c>
      <c r="B45" s="14" t="s">
        <v>32</v>
      </c>
      <c r="C45" s="14"/>
      <c r="D45" s="19">
        <f>D20*6%</f>
        <v>14474.616000000002</v>
      </c>
      <c r="E45" s="14"/>
    </row>
    <row r="46" spans="1:5" ht="12.75">
      <c r="A46" s="475" t="s">
        <v>67</v>
      </c>
      <c r="B46" s="20" t="s">
        <v>24</v>
      </c>
      <c r="C46" s="14"/>
      <c r="D46" s="19">
        <f>D44+D45</f>
        <v>270015.48654</v>
      </c>
      <c r="E46" s="14"/>
    </row>
    <row r="47" spans="1:5" ht="12.75">
      <c r="A47" s="475"/>
      <c r="B47" s="20"/>
      <c r="C47" s="14"/>
      <c r="D47" s="14"/>
      <c r="E47" s="14"/>
    </row>
    <row r="48" spans="1:5" ht="12.75">
      <c r="A48" s="475" t="s">
        <v>68</v>
      </c>
      <c r="B48" s="20" t="s">
        <v>142</v>
      </c>
      <c r="C48" s="14"/>
      <c r="D48" s="19">
        <f>(D17+D19)-D46+7500.803</f>
        <v>-91372.04354</v>
      </c>
      <c r="E48" s="14"/>
    </row>
    <row r="49" spans="1:5" ht="12.75">
      <c r="A49" s="14">
        <v>9</v>
      </c>
      <c r="B49" s="20" t="s">
        <v>44</v>
      </c>
      <c r="C49" s="14"/>
      <c r="D49" s="19">
        <f>D10+D48</f>
        <v>-260036.83354000002</v>
      </c>
      <c r="E49" s="14"/>
    </row>
    <row r="50" spans="1:5" ht="12.75">
      <c r="A50" s="3"/>
      <c r="B50" s="377" t="s">
        <v>74</v>
      </c>
      <c r="C50" s="3"/>
      <c r="D50" s="380">
        <f>D11+D18-7500.8</f>
        <v>146511.65000000002</v>
      </c>
      <c r="E50" s="3"/>
    </row>
    <row r="51" spans="1:6" ht="12.75">
      <c r="A51" s="3"/>
      <c r="B51" s="377" t="s">
        <v>104</v>
      </c>
      <c r="C51" s="3"/>
      <c r="D51" s="380">
        <v>1561.89</v>
      </c>
      <c r="E51" s="3"/>
      <c r="F51" s="130"/>
    </row>
    <row r="52" spans="1:6" ht="12.75">
      <c r="A52" s="3"/>
      <c r="B52" s="377" t="s">
        <v>86</v>
      </c>
      <c r="C52" s="3"/>
      <c r="D52" s="380">
        <f>D50-D51</f>
        <v>144949.76</v>
      </c>
      <c r="E52" s="3"/>
      <c r="F52" s="130"/>
    </row>
    <row r="53" spans="1:5" ht="12.75">
      <c r="A53" s="3"/>
      <c r="B53" s="377"/>
      <c r="C53" s="3"/>
      <c r="D53" s="380"/>
      <c r="E53" s="3"/>
    </row>
    <row r="54" spans="1:5" ht="12.75">
      <c r="A54" s="1"/>
      <c r="B54" s="377"/>
      <c r="C54" s="1"/>
      <c r="D54" s="1" t="s">
        <v>0</v>
      </c>
      <c r="E54" s="1"/>
    </row>
    <row r="55" spans="1:5" ht="12.75">
      <c r="A55" s="1"/>
      <c r="B55" s="1" t="s">
        <v>30</v>
      </c>
      <c r="C55" s="1"/>
      <c r="D55" s="1" t="s">
        <v>26</v>
      </c>
      <c r="E55" s="1"/>
    </row>
    <row r="56" ht="12.75">
      <c r="B56" s="1" t="s">
        <v>31</v>
      </c>
    </row>
  </sheetData>
  <sheetProtection/>
  <mergeCells count="2">
    <mergeCell ref="D8:E8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34">
      <selection activeCell="I44" sqref="I44"/>
    </sheetView>
  </sheetViews>
  <sheetFormatPr defaultColWidth="9.00390625" defaultRowHeight="12.75"/>
  <cols>
    <col min="1" max="1" width="5.875" style="0" customWidth="1"/>
    <col min="2" max="2" width="42.625" style="0" customWidth="1"/>
    <col min="3" max="3" width="6.375" style="0" customWidth="1"/>
    <col min="4" max="4" width="11.75390625" style="0" customWidth="1"/>
    <col min="5" max="5" width="11.875" style="0" customWidth="1"/>
    <col min="7" max="7" width="11.25390625" style="0" customWidth="1"/>
    <col min="8" max="8" width="11.75390625" style="0" customWidth="1"/>
    <col min="10" max="10" width="11.125" style="0" customWidth="1"/>
    <col min="11" max="11" width="11.625" style="0" customWidth="1"/>
    <col min="13" max="13" width="5.25390625" style="0" customWidth="1"/>
    <col min="14" max="14" width="40.875" style="0" customWidth="1"/>
    <col min="16" max="16" width="12.125" style="0" customWidth="1"/>
    <col min="17" max="17" width="10.875" style="0" customWidth="1"/>
    <col min="19" max="19" width="6.25390625" style="0" customWidth="1"/>
    <col min="20" max="20" width="7.625" style="0" customWidth="1"/>
    <col min="21" max="21" width="43.125" style="0" customWidth="1"/>
    <col min="23" max="23" width="11.125" style="0" customWidth="1"/>
  </cols>
  <sheetData>
    <row r="1" spans="1:7" ht="15.75">
      <c r="A1" s="149"/>
      <c r="B1" s="150" t="s">
        <v>25</v>
      </c>
      <c r="C1" s="149"/>
      <c r="D1" s="149"/>
      <c r="E1" s="149"/>
      <c r="F1" s="149"/>
      <c r="G1" s="149"/>
    </row>
    <row r="2" spans="1:7" ht="12.75">
      <c r="A2" s="149"/>
      <c r="B2" s="149"/>
      <c r="C2" s="149"/>
      <c r="D2" s="149"/>
      <c r="E2" s="149"/>
      <c r="F2" s="149"/>
      <c r="G2" s="149"/>
    </row>
    <row r="3" spans="1:7" ht="12.75">
      <c r="A3" s="149"/>
      <c r="B3" s="345" t="s">
        <v>75</v>
      </c>
      <c r="C3" s="149"/>
      <c r="D3" s="149"/>
      <c r="E3" s="149"/>
      <c r="F3" s="149"/>
      <c r="G3" s="149"/>
    </row>
    <row r="4" spans="1:7" ht="12.75">
      <c r="A4" s="149"/>
      <c r="B4" s="404" t="s">
        <v>201</v>
      </c>
      <c r="C4" s="149"/>
      <c r="D4" s="149"/>
      <c r="E4" s="149"/>
      <c r="F4" s="149"/>
      <c r="G4" s="149"/>
    </row>
    <row r="5" spans="1:7" ht="12.75">
      <c r="A5" s="149"/>
      <c r="B5" s="149" t="s">
        <v>40</v>
      </c>
      <c r="C5" s="149"/>
      <c r="D5" s="149"/>
      <c r="E5" s="149"/>
      <c r="F5" s="149"/>
      <c r="G5" s="149"/>
    </row>
    <row r="6" spans="1:7" ht="12.75">
      <c r="A6" s="386"/>
      <c r="B6" s="386"/>
      <c r="C6" s="386"/>
      <c r="D6" s="152"/>
      <c r="E6" s="385"/>
      <c r="F6" s="149"/>
      <c r="G6" s="153"/>
    </row>
    <row r="7" spans="1:7" ht="15.75">
      <c r="A7" s="151"/>
      <c r="B7" s="154" t="s">
        <v>1</v>
      </c>
      <c r="C7" s="155" t="s">
        <v>3</v>
      </c>
      <c r="D7" s="524" t="s">
        <v>4</v>
      </c>
      <c r="E7" s="525"/>
      <c r="F7" s="149"/>
      <c r="G7" s="149"/>
    </row>
    <row r="8" spans="1:7" ht="15.75">
      <c r="A8" s="156"/>
      <c r="B8" s="154" t="s">
        <v>2</v>
      </c>
      <c r="C8" s="155" t="s">
        <v>33</v>
      </c>
      <c r="D8" s="526" t="s">
        <v>146</v>
      </c>
      <c r="E8" s="527"/>
      <c r="F8" s="153"/>
      <c r="G8" s="149"/>
    </row>
    <row r="9" spans="1:7" ht="12.75">
      <c r="A9" s="157"/>
      <c r="B9" s="157"/>
      <c r="C9" s="157"/>
      <c r="D9" s="158"/>
      <c r="E9" s="159"/>
      <c r="F9" s="149"/>
      <c r="G9" s="149"/>
    </row>
    <row r="10" spans="1:7" ht="12.75">
      <c r="A10" s="157"/>
      <c r="B10" s="367" t="s">
        <v>70</v>
      </c>
      <c r="C10" s="157"/>
      <c r="D10" s="158">
        <v>52848.33</v>
      </c>
      <c r="E10" s="159"/>
      <c r="F10" s="149"/>
      <c r="G10" s="149"/>
    </row>
    <row r="11" spans="1:7" ht="12.75">
      <c r="A11" s="160"/>
      <c r="B11" s="161" t="s">
        <v>5</v>
      </c>
      <c r="C11" s="160" t="s">
        <v>34</v>
      </c>
      <c r="D11" s="160">
        <v>5460.6</v>
      </c>
      <c r="E11" s="160"/>
      <c r="F11" s="149"/>
      <c r="G11" s="149"/>
    </row>
    <row r="12" spans="1:7" ht="12.75">
      <c r="A12" s="160"/>
      <c r="B12" s="161" t="s">
        <v>6</v>
      </c>
      <c r="C12" s="160" t="s">
        <v>34</v>
      </c>
      <c r="D12" s="160">
        <v>4405.1</v>
      </c>
      <c r="E12" s="160"/>
      <c r="F12" s="149"/>
      <c r="G12" s="149"/>
    </row>
    <row r="13" spans="1:7" ht="12.75">
      <c r="A13" s="160"/>
      <c r="B13" s="162" t="s">
        <v>27</v>
      </c>
      <c r="C13" s="160" t="s">
        <v>36</v>
      </c>
      <c r="D13" s="160">
        <v>339260.1</v>
      </c>
      <c r="E13" s="160"/>
      <c r="F13" s="149"/>
      <c r="G13" s="149"/>
    </row>
    <row r="14" spans="1:7" ht="12.75">
      <c r="A14" s="160"/>
      <c r="B14" s="160"/>
      <c r="C14" s="160"/>
      <c r="D14" s="160"/>
      <c r="E14" s="160"/>
      <c r="F14" s="149"/>
      <c r="G14" s="149"/>
    </row>
    <row r="15" spans="1:7" ht="15.75">
      <c r="A15" s="160"/>
      <c r="B15" s="163" t="s">
        <v>7</v>
      </c>
      <c r="C15" s="160"/>
      <c r="D15" s="160"/>
      <c r="E15" s="160"/>
      <c r="F15" s="149"/>
      <c r="G15" s="149"/>
    </row>
    <row r="16" spans="1:7" ht="12.75">
      <c r="A16" s="160">
        <v>1</v>
      </c>
      <c r="B16" s="160" t="s">
        <v>8</v>
      </c>
      <c r="C16" s="160" t="s">
        <v>9</v>
      </c>
      <c r="D16" s="160">
        <v>329579.03</v>
      </c>
      <c r="E16" s="160"/>
      <c r="F16" s="149"/>
      <c r="G16" s="149"/>
    </row>
    <row r="17" spans="1:7" ht="12.75">
      <c r="A17" s="160">
        <v>2</v>
      </c>
      <c r="B17" s="160" t="s">
        <v>82</v>
      </c>
      <c r="C17" s="160"/>
      <c r="D17" s="160">
        <v>15000</v>
      </c>
      <c r="E17" s="160"/>
      <c r="F17" s="149"/>
      <c r="G17" s="149"/>
    </row>
    <row r="18" spans="1:7" ht="15.75">
      <c r="A18" s="160"/>
      <c r="B18" s="163" t="s">
        <v>10</v>
      </c>
      <c r="C18" s="160"/>
      <c r="D18" s="164">
        <f>D16+D17</f>
        <v>344579.03</v>
      </c>
      <c r="E18" s="160"/>
      <c r="F18" s="149"/>
      <c r="G18" s="149"/>
    </row>
    <row r="19" spans="1:7" ht="15.75">
      <c r="A19" s="160"/>
      <c r="B19" s="163"/>
      <c r="C19" s="160"/>
      <c r="D19" s="164"/>
      <c r="E19" s="160"/>
      <c r="F19" s="149"/>
      <c r="G19" s="149"/>
    </row>
    <row r="20" spans="1:7" ht="15.75">
      <c r="A20" s="14"/>
      <c r="B20" s="17" t="s">
        <v>57</v>
      </c>
      <c r="C20" s="14"/>
      <c r="D20" s="20"/>
      <c r="E20" s="160"/>
      <c r="F20" s="149"/>
      <c r="G20" s="149"/>
    </row>
    <row r="21" spans="1:7" ht="12.75">
      <c r="A21" s="358" t="s">
        <v>58</v>
      </c>
      <c r="B21" s="16" t="s">
        <v>59</v>
      </c>
      <c r="C21" s="14"/>
      <c r="D21" s="19">
        <f>D22+D23+D24+D25</f>
        <v>28698.0477</v>
      </c>
      <c r="E21" s="160"/>
      <c r="F21" s="149"/>
      <c r="G21" s="149"/>
    </row>
    <row r="22" spans="1:7" ht="12.75">
      <c r="A22" s="14">
        <v>1</v>
      </c>
      <c r="B22" s="22" t="s">
        <v>11</v>
      </c>
      <c r="C22" s="22" t="s">
        <v>9</v>
      </c>
      <c r="D22" s="22">
        <v>10398.85</v>
      </c>
      <c r="E22" s="160"/>
      <c r="F22" s="149"/>
      <c r="G22" s="149"/>
    </row>
    <row r="23" spans="1:7" ht="12.75">
      <c r="A23" s="14">
        <v>2</v>
      </c>
      <c r="B23" s="22" t="s">
        <v>136</v>
      </c>
      <c r="C23" s="14"/>
      <c r="D23" s="18">
        <f>D22*20.2%</f>
        <v>2100.5677</v>
      </c>
      <c r="E23" s="160"/>
      <c r="F23" s="149"/>
      <c r="G23" s="149"/>
    </row>
    <row r="24" spans="1:7" ht="12.75">
      <c r="A24" s="14">
        <v>3</v>
      </c>
      <c r="B24" s="22" t="s">
        <v>156</v>
      </c>
      <c r="C24" s="14"/>
      <c r="D24" s="353">
        <v>11353.76</v>
      </c>
      <c r="E24" s="160"/>
      <c r="F24" s="149"/>
      <c r="G24" s="149"/>
    </row>
    <row r="25" spans="1:7" ht="12.75">
      <c r="A25" s="14">
        <v>4</v>
      </c>
      <c r="B25" s="22" t="s">
        <v>143</v>
      </c>
      <c r="C25" s="14"/>
      <c r="D25" s="14">
        <v>4844.87</v>
      </c>
      <c r="E25" s="160"/>
      <c r="F25" s="149"/>
      <c r="G25" s="149"/>
    </row>
    <row r="26" spans="1:7" ht="12.75">
      <c r="A26" s="358" t="s">
        <v>61</v>
      </c>
      <c r="B26" s="359" t="s">
        <v>60</v>
      </c>
      <c r="C26" s="14"/>
      <c r="D26" s="19">
        <f>D27+D28+D29+D30</f>
        <v>141134.57678</v>
      </c>
      <c r="E26" s="160"/>
      <c r="F26" s="149"/>
      <c r="G26" s="149"/>
    </row>
    <row r="27" spans="1:7" ht="12.75">
      <c r="A27" s="14">
        <v>1</v>
      </c>
      <c r="B27" s="22" t="s">
        <v>95</v>
      </c>
      <c r="C27" s="14"/>
      <c r="D27" s="22">
        <v>107669.39</v>
      </c>
      <c r="E27" s="160"/>
      <c r="F27" s="149"/>
      <c r="G27" s="149"/>
    </row>
    <row r="28" spans="1:7" ht="12.75">
      <c r="A28" s="14">
        <v>2</v>
      </c>
      <c r="B28" s="22" t="s">
        <v>136</v>
      </c>
      <c r="C28" s="14"/>
      <c r="D28" s="21">
        <f>D27*20.2%</f>
        <v>21749.21678</v>
      </c>
      <c r="E28" s="18"/>
      <c r="F28" s="149"/>
      <c r="G28" s="149"/>
    </row>
    <row r="29" spans="1:7" ht="12.75">
      <c r="A29" s="14">
        <v>3</v>
      </c>
      <c r="B29" s="22" t="s">
        <v>15</v>
      </c>
      <c r="C29" s="14"/>
      <c r="D29" s="22">
        <v>3954.97</v>
      </c>
      <c r="E29" s="14"/>
      <c r="F29" s="149"/>
      <c r="G29" s="149"/>
    </row>
    <row r="30" spans="1:7" ht="12.75">
      <c r="A30" s="14">
        <v>4</v>
      </c>
      <c r="B30" s="22" t="s">
        <v>83</v>
      </c>
      <c r="C30" s="14"/>
      <c r="D30" s="22">
        <v>7761</v>
      </c>
      <c r="E30" s="14"/>
      <c r="F30" s="149"/>
      <c r="G30" s="149"/>
    </row>
    <row r="31" spans="1:7" ht="12.75">
      <c r="A31" s="358" t="s">
        <v>62</v>
      </c>
      <c r="B31" s="20" t="s">
        <v>16</v>
      </c>
      <c r="C31" s="14"/>
      <c r="D31" s="19">
        <f>D32+D33+D34+D35+D36+D37+D38+D39+D40</f>
        <v>61109.0315</v>
      </c>
      <c r="E31" s="19"/>
      <c r="F31" s="149"/>
      <c r="G31" s="149"/>
    </row>
    <row r="32" spans="1:7" ht="12.75">
      <c r="A32" s="14"/>
      <c r="B32" s="14" t="s">
        <v>17</v>
      </c>
      <c r="C32" s="14"/>
      <c r="D32" s="18">
        <f>D18*5%</f>
        <v>17228.951500000003</v>
      </c>
      <c r="E32" s="14"/>
      <c r="F32" s="149"/>
      <c r="G32" s="149"/>
    </row>
    <row r="33" spans="1:7" ht="12.75">
      <c r="A33" s="14"/>
      <c r="B33" s="14" t="s">
        <v>18</v>
      </c>
      <c r="C33" s="14"/>
      <c r="D33" s="14">
        <v>1742.07</v>
      </c>
      <c r="E33" s="14"/>
      <c r="F33" s="149"/>
      <c r="G33" s="149"/>
    </row>
    <row r="34" spans="1:7" ht="12.75">
      <c r="A34" s="14"/>
      <c r="B34" s="22" t="s">
        <v>19</v>
      </c>
      <c r="C34" s="14"/>
      <c r="D34" s="14">
        <v>5485.87</v>
      </c>
      <c r="E34" s="14"/>
      <c r="F34" s="149"/>
      <c r="G34" s="149"/>
    </row>
    <row r="35" spans="1:7" ht="12.75">
      <c r="A35" s="14"/>
      <c r="B35" s="14" t="s">
        <v>20</v>
      </c>
      <c r="C35" s="14"/>
      <c r="D35" s="18">
        <v>13908.01</v>
      </c>
      <c r="E35" s="18"/>
      <c r="F35" s="149"/>
      <c r="G35" s="149"/>
    </row>
    <row r="36" spans="1:7" ht="12.75">
      <c r="A36" s="14"/>
      <c r="B36" s="22" t="s">
        <v>141</v>
      </c>
      <c r="C36" s="14"/>
      <c r="D36" s="18">
        <v>811</v>
      </c>
      <c r="E36" s="18"/>
      <c r="F36" s="149"/>
      <c r="G36" s="149"/>
    </row>
    <row r="37" spans="1:7" ht="12.75">
      <c r="A37" s="14"/>
      <c r="B37" s="22" t="s">
        <v>148</v>
      </c>
      <c r="C37" s="14"/>
      <c r="D37" s="14">
        <v>15000</v>
      </c>
      <c r="E37" s="14"/>
      <c r="F37" s="149"/>
      <c r="G37" s="149"/>
    </row>
    <row r="38" spans="1:6" ht="12.75">
      <c r="A38" s="14"/>
      <c r="B38" s="22" t="s">
        <v>28</v>
      </c>
      <c r="C38" s="14"/>
      <c r="D38" s="14">
        <v>333.6</v>
      </c>
      <c r="E38" s="14"/>
      <c r="F38" s="149"/>
    </row>
    <row r="39" spans="1:6" ht="12.75">
      <c r="A39" s="14"/>
      <c r="B39" s="352" t="s">
        <v>55</v>
      </c>
      <c r="C39" s="14"/>
      <c r="D39" s="14">
        <v>1792.2</v>
      </c>
      <c r="E39" s="14"/>
      <c r="F39" s="149"/>
    </row>
    <row r="40" spans="1:6" ht="12.75">
      <c r="A40" s="14"/>
      <c r="B40" s="14" t="s">
        <v>21</v>
      </c>
      <c r="C40" s="14"/>
      <c r="D40" s="14">
        <v>4807.33</v>
      </c>
      <c r="E40" s="14"/>
      <c r="F40" s="149"/>
    </row>
    <row r="41" spans="1:6" ht="12.75">
      <c r="A41" s="475" t="s">
        <v>64</v>
      </c>
      <c r="B41" s="377" t="s">
        <v>74</v>
      </c>
      <c r="C41" s="14"/>
      <c r="D41" s="20">
        <f>2095.36+7369</f>
        <v>9464.36</v>
      </c>
      <c r="E41" s="19"/>
      <c r="F41" s="149"/>
    </row>
    <row r="42" spans="1:7" ht="12.75">
      <c r="A42" s="475" t="s">
        <v>65</v>
      </c>
      <c r="B42" s="20" t="s">
        <v>92</v>
      </c>
      <c r="C42" s="14"/>
      <c r="D42" s="19">
        <v>106749.17</v>
      </c>
      <c r="E42" s="14"/>
      <c r="F42" s="149"/>
      <c r="G42" s="149"/>
    </row>
    <row r="43" spans="1:7" ht="12.75">
      <c r="A43" s="475" t="s">
        <v>66</v>
      </c>
      <c r="B43" s="20" t="s">
        <v>23</v>
      </c>
      <c r="C43" s="14"/>
      <c r="D43" s="19">
        <f>D21+D26+D31+D41+D42</f>
        <v>347155.18597999995</v>
      </c>
      <c r="E43" s="14"/>
      <c r="F43" s="149"/>
      <c r="G43" s="149"/>
    </row>
    <row r="44" spans="1:7" ht="12.75">
      <c r="A44" s="475" t="s">
        <v>67</v>
      </c>
      <c r="B44" s="14" t="s">
        <v>32</v>
      </c>
      <c r="C44" s="14"/>
      <c r="D44" s="19">
        <f>D18*6%</f>
        <v>20674.7418</v>
      </c>
      <c r="E44" s="14"/>
      <c r="F44" s="149"/>
      <c r="G44" s="149"/>
    </row>
    <row r="45" spans="1:7" ht="12.75">
      <c r="A45" s="475" t="s">
        <v>68</v>
      </c>
      <c r="B45" s="20" t="s">
        <v>24</v>
      </c>
      <c r="C45" s="14"/>
      <c r="D45" s="19">
        <f>D43+D44</f>
        <v>367829.92777999997</v>
      </c>
      <c r="E45" s="14"/>
      <c r="F45" s="149"/>
      <c r="G45" s="149"/>
    </row>
    <row r="46" spans="1:7" ht="12.75">
      <c r="A46" s="14"/>
      <c r="B46" s="14"/>
      <c r="C46" s="14"/>
      <c r="D46" s="14"/>
      <c r="E46" s="14"/>
      <c r="F46" s="149"/>
      <c r="G46" s="149"/>
    </row>
    <row r="47" spans="1:7" ht="12.75">
      <c r="A47" s="475" t="s">
        <v>69</v>
      </c>
      <c r="B47" s="20" t="s">
        <v>142</v>
      </c>
      <c r="C47" s="14"/>
      <c r="D47" s="19">
        <f>D18-D45</f>
        <v>-23250.89777999994</v>
      </c>
      <c r="E47" s="14"/>
      <c r="F47" s="149"/>
      <c r="G47" s="149"/>
    </row>
    <row r="48" spans="1:7" ht="12.75">
      <c r="A48" s="475" t="s">
        <v>165</v>
      </c>
      <c r="B48" s="20" t="s">
        <v>44</v>
      </c>
      <c r="C48" s="14"/>
      <c r="D48" s="19">
        <f>D10+D47</f>
        <v>29597.43222000006</v>
      </c>
      <c r="E48" s="14"/>
      <c r="F48" s="149"/>
      <c r="G48" s="149"/>
    </row>
    <row r="49" spans="1:7" ht="12.75">
      <c r="A49" s="3"/>
      <c r="B49" s="377"/>
      <c r="C49" s="3"/>
      <c r="D49" s="380"/>
      <c r="E49" s="3"/>
      <c r="F49" s="149"/>
      <c r="G49" s="149"/>
    </row>
    <row r="50" spans="1:7" ht="12.75">
      <c r="A50" s="1"/>
      <c r="B50" s="377"/>
      <c r="C50" s="1"/>
      <c r="D50" s="380"/>
      <c r="E50" s="1"/>
      <c r="F50" s="149"/>
      <c r="G50" s="149"/>
    </row>
    <row r="51" spans="1:6" ht="12.75">
      <c r="A51" s="1"/>
      <c r="B51" s="1" t="s">
        <v>30</v>
      </c>
      <c r="C51" s="1"/>
      <c r="D51" s="1" t="s">
        <v>0</v>
      </c>
      <c r="E51" s="1"/>
      <c r="F51" s="149"/>
    </row>
    <row r="52" spans="2:6" ht="12.75">
      <c r="B52" s="1" t="s">
        <v>31</v>
      </c>
      <c r="D52" s="1" t="s">
        <v>26</v>
      </c>
      <c r="F52" s="149"/>
    </row>
    <row r="53" ht="12.75">
      <c r="F53" s="149"/>
    </row>
  </sheetData>
  <sheetProtection/>
  <mergeCells count="2">
    <mergeCell ref="D7:E7"/>
    <mergeCell ref="D8:E8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6"/>
  <sheetViews>
    <sheetView zoomScaleSheetLayoutView="100" zoomScalePageLayoutView="0" workbookViewId="0" topLeftCell="A1">
      <selection activeCell="I46" sqref="I46"/>
    </sheetView>
  </sheetViews>
  <sheetFormatPr defaultColWidth="9.00390625" defaultRowHeight="12.75"/>
  <cols>
    <col min="1" max="1" width="6.25390625" style="0" customWidth="1"/>
    <col min="2" max="2" width="43.125" style="0" customWidth="1"/>
    <col min="3" max="3" width="7.125" style="0" customWidth="1"/>
    <col min="4" max="4" width="10.875" style="0" customWidth="1"/>
    <col min="5" max="5" width="10.25390625" style="0" customWidth="1"/>
    <col min="7" max="7" width="8.875" style="0" customWidth="1"/>
    <col min="8" max="8" width="13.25390625" style="0" customWidth="1"/>
    <col min="10" max="10" width="10.125" style="0" bestFit="1" customWidth="1"/>
    <col min="13" max="13" width="4.875" style="0" customWidth="1"/>
    <col min="14" max="14" width="38.375" style="0" customWidth="1"/>
    <col min="16" max="16" width="10.375" style="0" customWidth="1"/>
    <col min="20" max="20" width="39.875" style="0" customWidth="1"/>
    <col min="22" max="22" width="10.75390625" style="0" customWidth="1"/>
    <col min="25" max="25" width="6.375" style="0" customWidth="1"/>
    <col min="26" max="26" width="43.75390625" style="0" customWidth="1"/>
    <col min="28" max="28" width="10.625" style="0" customWidth="1"/>
  </cols>
  <sheetData>
    <row r="1" spans="1:7" ht="15.75">
      <c r="A1" s="165"/>
      <c r="B1" s="166" t="s">
        <v>25</v>
      </c>
      <c r="C1" s="165"/>
      <c r="D1" s="165"/>
      <c r="E1" s="165"/>
      <c r="F1" s="165"/>
      <c r="G1" s="165"/>
    </row>
    <row r="2" spans="1:7" ht="12.75">
      <c r="A2" s="165"/>
      <c r="B2" s="165"/>
      <c r="C2" s="165"/>
      <c r="D2" s="165"/>
      <c r="E2" s="165"/>
      <c r="F2" s="165"/>
      <c r="G2" s="165"/>
    </row>
    <row r="3" spans="1:7" ht="12.75">
      <c r="A3" s="165"/>
      <c r="B3" s="165" t="s">
        <v>29</v>
      </c>
      <c r="C3" s="165"/>
      <c r="D3" s="165"/>
      <c r="E3" s="165"/>
      <c r="F3" s="165"/>
      <c r="G3" s="165"/>
    </row>
    <row r="4" spans="1:7" ht="12.75">
      <c r="A4" s="165"/>
      <c r="B4" s="376" t="s">
        <v>202</v>
      </c>
      <c r="C4" s="165"/>
      <c r="D4" s="165"/>
      <c r="E4" s="165"/>
      <c r="F4" s="165"/>
      <c r="G4" s="165"/>
    </row>
    <row r="5" spans="1:7" ht="12.75">
      <c r="A5" s="165"/>
      <c r="B5" s="165" t="s">
        <v>43</v>
      </c>
      <c r="C5" s="165"/>
      <c r="D5" s="165"/>
      <c r="E5" s="165"/>
      <c r="F5" s="165"/>
      <c r="G5" s="165"/>
    </row>
    <row r="6" spans="1:7" ht="12.75">
      <c r="A6" s="387"/>
      <c r="B6" s="387"/>
      <c r="C6" s="387"/>
      <c r="D6" s="168"/>
      <c r="E6" s="388"/>
      <c r="F6" s="169"/>
      <c r="G6" s="169"/>
    </row>
    <row r="7" spans="1:7" ht="15.75">
      <c r="A7" s="167"/>
      <c r="B7" s="170" t="s">
        <v>1</v>
      </c>
      <c r="C7" s="171" t="s">
        <v>3</v>
      </c>
      <c r="D7" s="428" t="s">
        <v>4</v>
      </c>
      <c r="E7" s="429"/>
      <c r="F7" s="165"/>
      <c r="G7" s="165"/>
    </row>
    <row r="8" spans="1:7" ht="15.75">
      <c r="A8" s="172"/>
      <c r="B8" s="170" t="s">
        <v>2</v>
      </c>
      <c r="C8" s="171" t="s">
        <v>33</v>
      </c>
      <c r="D8" s="426" t="s">
        <v>138</v>
      </c>
      <c r="E8" s="427"/>
      <c r="F8" s="165"/>
      <c r="G8" s="165"/>
    </row>
    <row r="9" spans="1:7" ht="12.75">
      <c r="A9" s="173"/>
      <c r="B9" s="173"/>
      <c r="C9" s="173"/>
      <c r="D9" s="174"/>
      <c r="E9" s="175"/>
      <c r="F9" s="165"/>
      <c r="G9" s="165"/>
    </row>
    <row r="10" spans="1:7" ht="12.75">
      <c r="A10" s="173"/>
      <c r="B10" s="368" t="s">
        <v>70</v>
      </c>
      <c r="C10" s="173"/>
      <c r="D10" s="174">
        <v>-58391.03</v>
      </c>
      <c r="E10" s="175"/>
      <c r="F10" s="165"/>
      <c r="G10" s="165"/>
    </row>
    <row r="11" spans="1:7" ht="12.75">
      <c r="A11" s="176"/>
      <c r="B11" s="177" t="s">
        <v>5</v>
      </c>
      <c r="C11" s="176" t="s">
        <v>34</v>
      </c>
      <c r="D11" s="176">
        <v>4143.2</v>
      </c>
      <c r="E11" s="176"/>
      <c r="F11" s="165"/>
      <c r="G11" s="165"/>
    </row>
    <row r="12" spans="1:7" ht="12.75">
      <c r="A12" s="176"/>
      <c r="B12" s="177" t="s">
        <v>6</v>
      </c>
      <c r="C12" s="176" t="s">
        <v>34</v>
      </c>
      <c r="D12" s="176">
        <v>2538.2</v>
      </c>
      <c r="E12" s="176"/>
      <c r="F12" s="165"/>
      <c r="G12" s="165"/>
    </row>
    <row r="13" spans="1:7" ht="12.75">
      <c r="A13" s="176"/>
      <c r="B13" s="178" t="s">
        <v>27</v>
      </c>
      <c r="C13" s="176" t="s">
        <v>36</v>
      </c>
      <c r="D13" s="176">
        <f>283693.06+16009.14</f>
        <v>299702.2</v>
      </c>
      <c r="E13" s="176"/>
      <c r="F13" s="165"/>
      <c r="G13" s="165"/>
    </row>
    <row r="14" spans="1:7" ht="12.75">
      <c r="A14" s="176"/>
      <c r="B14" s="176"/>
      <c r="C14" s="176"/>
      <c r="D14" s="176"/>
      <c r="E14" s="176"/>
      <c r="F14" s="165"/>
      <c r="G14" s="165"/>
    </row>
    <row r="15" spans="1:7" ht="15.75">
      <c r="A15" s="176"/>
      <c r="B15" s="179" t="s">
        <v>7</v>
      </c>
      <c r="C15" s="176"/>
      <c r="D15" s="176"/>
      <c r="E15" s="176"/>
      <c r="F15" s="165"/>
      <c r="G15" s="165"/>
    </row>
    <row r="16" spans="1:7" ht="12.75">
      <c r="A16" s="176">
        <v>1</v>
      </c>
      <c r="B16" s="176" t="s">
        <v>8</v>
      </c>
      <c r="C16" s="176" t="s">
        <v>9</v>
      </c>
      <c r="D16" s="176">
        <f>250422.56+28321.5</f>
        <v>278744.06</v>
      </c>
      <c r="E16" s="176"/>
      <c r="F16" s="165"/>
      <c r="G16" s="165"/>
    </row>
    <row r="17" spans="1:7" ht="12.75">
      <c r="A17" s="176">
        <v>3</v>
      </c>
      <c r="B17" s="176" t="s">
        <v>82</v>
      </c>
      <c r="C17" s="176"/>
      <c r="D17" s="176">
        <v>9000</v>
      </c>
      <c r="E17" s="176"/>
      <c r="F17" s="165"/>
      <c r="G17" s="165"/>
    </row>
    <row r="18" spans="1:7" ht="15.75">
      <c r="A18" s="176"/>
      <c r="B18" s="179" t="s">
        <v>10</v>
      </c>
      <c r="C18" s="176"/>
      <c r="D18" s="180">
        <f>D16+D17</f>
        <v>287744.06</v>
      </c>
      <c r="E18" s="176"/>
      <c r="F18" s="165"/>
      <c r="G18" s="165"/>
    </row>
    <row r="19" spans="1:7" ht="15.75">
      <c r="A19" s="176"/>
      <c r="B19" s="179"/>
      <c r="C19" s="176"/>
      <c r="D19" s="180"/>
      <c r="E19" s="176"/>
      <c r="F19" s="165"/>
      <c r="G19" s="165"/>
    </row>
    <row r="20" spans="1:7" ht="15.75">
      <c r="A20" s="14"/>
      <c r="B20" s="17" t="s">
        <v>57</v>
      </c>
      <c r="C20" s="14"/>
      <c r="D20" s="20"/>
      <c r="E20" s="176"/>
      <c r="F20" s="165"/>
      <c r="G20" s="165"/>
    </row>
    <row r="21" spans="1:7" ht="12.75">
      <c r="A21" s="358" t="s">
        <v>58</v>
      </c>
      <c r="B21" s="16" t="s">
        <v>59</v>
      </c>
      <c r="C21" s="14"/>
      <c r="D21" s="19">
        <f>D22+D23+D26+D24+D25</f>
        <v>66788.4767</v>
      </c>
      <c r="E21" s="176"/>
      <c r="F21" s="165"/>
      <c r="G21" s="165"/>
    </row>
    <row r="22" spans="1:7" ht="12.75">
      <c r="A22" s="14">
        <v>1</v>
      </c>
      <c r="B22" s="22" t="s">
        <v>11</v>
      </c>
      <c r="C22" s="22" t="s">
        <v>9</v>
      </c>
      <c r="D22" s="22">
        <v>45843.35</v>
      </c>
      <c r="E22" s="176"/>
      <c r="F22" s="165"/>
      <c r="G22" s="165"/>
    </row>
    <row r="23" spans="1:7" ht="12.75">
      <c r="A23" s="14">
        <v>2</v>
      </c>
      <c r="B23" s="22" t="s">
        <v>136</v>
      </c>
      <c r="C23" s="14"/>
      <c r="D23" s="18">
        <f>D22*20.2%</f>
        <v>9260.356699999998</v>
      </c>
      <c r="E23" s="176"/>
      <c r="F23" s="165"/>
      <c r="G23" s="165"/>
    </row>
    <row r="24" spans="1:7" ht="12.75">
      <c r="A24" s="14">
        <v>3</v>
      </c>
      <c r="B24" s="22" t="s">
        <v>157</v>
      </c>
      <c r="C24" s="14"/>
      <c r="D24" s="353">
        <v>5730.14</v>
      </c>
      <c r="E24" s="176"/>
      <c r="F24" s="165"/>
      <c r="G24" s="165"/>
    </row>
    <row r="25" spans="1:7" ht="12.75">
      <c r="A25" s="14">
        <v>4</v>
      </c>
      <c r="B25" s="22" t="s">
        <v>143</v>
      </c>
      <c r="C25" s="14"/>
      <c r="D25" s="14">
        <v>1344.85</v>
      </c>
      <c r="E25" s="176"/>
      <c r="F25" s="165"/>
      <c r="G25" s="165"/>
    </row>
    <row r="26" spans="1:7" ht="12.75">
      <c r="A26" s="14">
        <v>5</v>
      </c>
      <c r="B26" s="352" t="s">
        <v>15</v>
      </c>
      <c r="C26" s="14"/>
      <c r="D26" s="14">
        <v>4609.78</v>
      </c>
      <c r="E26" s="176"/>
      <c r="F26" s="165"/>
      <c r="G26" s="165"/>
    </row>
    <row r="27" spans="1:7" ht="12.75">
      <c r="A27" s="358" t="s">
        <v>61</v>
      </c>
      <c r="B27" s="359" t="s">
        <v>60</v>
      </c>
      <c r="C27" s="14"/>
      <c r="D27" s="19">
        <f>D28+D29+D30+D31</f>
        <v>88429.8473</v>
      </c>
      <c r="E27" s="176"/>
      <c r="F27" s="165"/>
      <c r="G27" s="165"/>
    </row>
    <row r="28" spans="1:7" ht="12.75">
      <c r="A28" s="14">
        <v>1</v>
      </c>
      <c r="B28" s="22" t="s">
        <v>95</v>
      </c>
      <c r="C28" s="14"/>
      <c r="D28" s="22">
        <v>62038.65</v>
      </c>
      <c r="E28" s="176"/>
      <c r="F28" s="165"/>
      <c r="G28" s="165"/>
    </row>
    <row r="29" spans="1:7" ht="12.75">
      <c r="A29" s="14">
        <v>2</v>
      </c>
      <c r="B29" s="22" t="s">
        <v>136</v>
      </c>
      <c r="C29" s="14"/>
      <c r="D29" s="21">
        <f>D28*20.2%</f>
        <v>12531.807299999999</v>
      </c>
      <c r="E29" s="176"/>
      <c r="F29" s="165"/>
      <c r="G29" s="165"/>
    </row>
    <row r="30" spans="1:6" ht="12.75">
      <c r="A30" s="14">
        <v>3</v>
      </c>
      <c r="B30" s="22" t="s">
        <v>15</v>
      </c>
      <c r="C30" s="14"/>
      <c r="D30" s="22">
        <v>10759.39</v>
      </c>
      <c r="E30" s="14"/>
      <c r="F30" s="165"/>
    </row>
    <row r="31" spans="1:6" ht="12.75">
      <c r="A31" s="14">
        <v>4</v>
      </c>
      <c r="B31" s="22" t="s">
        <v>83</v>
      </c>
      <c r="C31" s="14"/>
      <c r="D31" s="22">
        <v>3100</v>
      </c>
      <c r="E31" s="14"/>
      <c r="F31" s="165"/>
    </row>
    <row r="32" spans="1:6" ht="12.75">
      <c r="A32" s="358" t="s">
        <v>62</v>
      </c>
      <c r="B32" s="20" t="s">
        <v>16</v>
      </c>
      <c r="C32" s="14"/>
      <c r="D32" s="19">
        <f>D33+D34+D35+D36+D37+D38+D39+D40+D41</f>
        <v>33682.233</v>
      </c>
      <c r="E32" s="19"/>
      <c r="F32" s="165"/>
    </row>
    <row r="33" spans="1:6" ht="12.75">
      <c r="A33" s="14"/>
      <c r="B33" s="14" t="s">
        <v>17</v>
      </c>
      <c r="C33" s="14"/>
      <c r="D33" s="18">
        <f>D18*5%</f>
        <v>14387.203000000001</v>
      </c>
      <c r="E33" s="14"/>
      <c r="F33" s="165"/>
    </row>
    <row r="34" spans="1:6" ht="12.75">
      <c r="A34" s="14"/>
      <c r="B34" s="14" t="s">
        <v>18</v>
      </c>
      <c r="C34" s="14"/>
      <c r="D34" s="14">
        <v>2287.78</v>
      </c>
      <c r="E34" s="14"/>
      <c r="F34" s="165"/>
    </row>
    <row r="35" spans="1:6" ht="12.75">
      <c r="A35" s="14"/>
      <c r="B35" s="22" t="s">
        <v>19</v>
      </c>
      <c r="C35" s="14"/>
      <c r="D35" s="14">
        <v>3657.25</v>
      </c>
      <c r="E35" s="14"/>
      <c r="F35" s="165"/>
    </row>
    <row r="36" spans="1:6" ht="12.75">
      <c r="A36" s="14"/>
      <c r="B36" s="14" t="s">
        <v>20</v>
      </c>
      <c r="C36" s="14"/>
      <c r="D36" s="18">
        <v>8013.73</v>
      </c>
      <c r="E36" s="18"/>
      <c r="F36" s="165"/>
    </row>
    <row r="37" spans="1:6" ht="12.75">
      <c r="A37" s="14"/>
      <c r="B37" s="22" t="s">
        <v>141</v>
      </c>
      <c r="C37" s="14"/>
      <c r="D37" s="18">
        <v>200</v>
      </c>
      <c r="E37" s="18"/>
      <c r="F37" s="165"/>
    </row>
    <row r="38" spans="1:6" ht="12.75">
      <c r="A38" s="14"/>
      <c r="B38" s="22" t="s">
        <v>28</v>
      </c>
      <c r="C38" s="14"/>
      <c r="D38" s="14">
        <v>333.6</v>
      </c>
      <c r="E38" s="14"/>
      <c r="F38" s="165"/>
    </row>
    <row r="39" spans="1:6" ht="12.75">
      <c r="A39" s="14"/>
      <c r="B39" s="22" t="s">
        <v>112</v>
      </c>
      <c r="C39" s="14"/>
      <c r="D39" s="14">
        <v>1000</v>
      </c>
      <c r="E39" s="14"/>
      <c r="F39" s="165"/>
    </row>
    <row r="40" spans="1:6" ht="12.75">
      <c r="A40" s="14"/>
      <c r="B40" s="352" t="s">
        <v>55</v>
      </c>
      <c r="C40" s="14"/>
      <c r="D40" s="14">
        <v>1032.7</v>
      </c>
      <c r="E40" s="14"/>
      <c r="F40" s="165"/>
    </row>
    <row r="41" spans="1:6" ht="12.75">
      <c r="A41" s="14"/>
      <c r="B41" s="14" t="s">
        <v>21</v>
      </c>
      <c r="C41" s="14"/>
      <c r="D41" s="14">
        <v>2769.97</v>
      </c>
      <c r="E41" s="14"/>
      <c r="F41" s="165"/>
    </row>
    <row r="42" spans="1:6" ht="12.75">
      <c r="A42" s="475" t="s">
        <v>64</v>
      </c>
      <c r="B42" s="377" t="s">
        <v>74</v>
      </c>
      <c r="C42" s="14"/>
      <c r="D42" s="20">
        <f>11770.42+3000+2250</f>
        <v>17020.42</v>
      </c>
      <c r="E42" s="14"/>
      <c r="F42" s="165"/>
    </row>
    <row r="43" spans="1:6" ht="12.75">
      <c r="A43" s="475" t="s">
        <v>65</v>
      </c>
      <c r="B43" s="20" t="s">
        <v>92</v>
      </c>
      <c r="C43" s="14"/>
      <c r="D43" s="19">
        <v>66898.57</v>
      </c>
      <c r="E43" s="20"/>
      <c r="F43" s="165"/>
    </row>
    <row r="44" spans="1:6" ht="12.75">
      <c r="A44" s="475" t="s">
        <v>66</v>
      </c>
      <c r="B44" s="20" t="s">
        <v>23</v>
      </c>
      <c r="C44" s="14"/>
      <c r="D44" s="19">
        <f>D21+D27+D32+D42+D43</f>
        <v>272819.547</v>
      </c>
      <c r="E44" s="14"/>
      <c r="F44" s="165"/>
    </row>
    <row r="45" spans="1:7" ht="12.75">
      <c r="A45" s="475" t="s">
        <v>67</v>
      </c>
      <c r="B45" s="14" t="s">
        <v>32</v>
      </c>
      <c r="C45" s="14"/>
      <c r="D45" s="19">
        <f>D18*6%</f>
        <v>17264.6436</v>
      </c>
      <c r="E45" s="14"/>
      <c r="F45" s="165"/>
      <c r="G45" s="165"/>
    </row>
    <row r="46" spans="1:6" ht="12.75">
      <c r="A46" s="475" t="s">
        <v>68</v>
      </c>
      <c r="B46" s="20" t="s">
        <v>24</v>
      </c>
      <c r="C46" s="14"/>
      <c r="D46" s="19">
        <f>D44+D45</f>
        <v>290084.19060000003</v>
      </c>
      <c r="E46" s="14"/>
      <c r="F46" s="165"/>
    </row>
    <row r="47" spans="1:6" ht="12.75">
      <c r="A47" s="14"/>
      <c r="B47" s="14"/>
      <c r="C47" s="14"/>
      <c r="D47" s="14"/>
      <c r="E47" s="14"/>
      <c r="F47" s="165"/>
    </row>
    <row r="48" spans="1:6" ht="12.75">
      <c r="A48" s="475" t="s">
        <v>69</v>
      </c>
      <c r="B48" s="20" t="s">
        <v>142</v>
      </c>
      <c r="C48" s="14"/>
      <c r="D48" s="19">
        <f>D18-D46</f>
        <v>-2340.130600000033</v>
      </c>
      <c r="E48" s="14"/>
      <c r="F48" s="165"/>
    </row>
    <row r="49" spans="1:6" ht="12.75">
      <c r="A49" s="475" t="s">
        <v>165</v>
      </c>
      <c r="B49" s="20" t="s">
        <v>44</v>
      </c>
      <c r="C49" s="14"/>
      <c r="D49" s="19">
        <f>D10+D48</f>
        <v>-60731.16060000003</v>
      </c>
      <c r="E49" s="14"/>
      <c r="F49" s="165"/>
    </row>
    <row r="50" spans="1:7" ht="12.75">
      <c r="A50" s="3"/>
      <c r="B50" s="377"/>
      <c r="C50" s="3"/>
      <c r="D50" s="380"/>
      <c r="E50" s="3"/>
      <c r="F50" s="165"/>
      <c r="G50" s="165"/>
    </row>
    <row r="51" spans="1:6" ht="12.75">
      <c r="A51" s="3"/>
      <c r="B51" s="377"/>
      <c r="C51" s="3"/>
      <c r="D51" s="165"/>
      <c r="F51" s="165"/>
    </row>
    <row r="52" spans="1:4" ht="12.75">
      <c r="A52" s="1"/>
      <c r="B52" s="1" t="s">
        <v>30</v>
      </c>
      <c r="C52" s="378" t="s">
        <v>0</v>
      </c>
      <c r="D52" s="165"/>
    </row>
    <row r="53" spans="1:4" ht="12.75">
      <c r="A53" s="1"/>
      <c r="B53" s="1" t="s">
        <v>31</v>
      </c>
      <c r="C53" s="378" t="s">
        <v>26</v>
      </c>
      <c r="D53" s="165"/>
    </row>
    <row r="54" ht="12.75">
      <c r="D54" s="165"/>
    </row>
    <row r="55" spans="4:23" ht="12.75">
      <c r="D55" s="165"/>
      <c r="W55" s="1"/>
    </row>
    <row r="56" spans="4:23" ht="12.75">
      <c r="D56" s="165"/>
      <c r="W5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37">
      <selection activeCell="H41" sqref="H41"/>
    </sheetView>
  </sheetViews>
  <sheetFormatPr defaultColWidth="9.00390625" defaultRowHeight="12.75"/>
  <cols>
    <col min="1" max="1" width="3.75390625" style="0" customWidth="1"/>
    <col min="2" max="2" width="40.375" style="0" customWidth="1"/>
    <col min="3" max="3" width="7.125" style="0" customWidth="1"/>
    <col min="4" max="4" width="12.625" style="0" customWidth="1"/>
    <col min="5" max="5" width="10.00390625" style="0" customWidth="1"/>
    <col min="7" max="7" width="10.00390625" style="0" customWidth="1"/>
    <col min="8" max="8" width="39.875" style="0" customWidth="1"/>
    <col min="10" max="10" width="10.25390625" style="0" customWidth="1"/>
    <col min="13" max="13" width="5.875" style="0" customWidth="1"/>
    <col min="14" max="14" width="35.625" style="0" customWidth="1"/>
    <col min="16" max="16" width="10.00390625" style="0" customWidth="1"/>
    <col min="20" max="20" width="37.75390625" style="0" customWidth="1"/>
    <col min="22" max="22" width="11.75390625" style="0" customWidth="1"/>
  </cols>
  <sheetData>
    <row r="1" spans="1:5" ht="15.75">
      <c r="A1" s="181"/>
      <c r="B1" s="182" t="s">
        <v>25</v>
      </c>
      <c r="C1" s="181"/>
      <c r="D1" s="181"/>
      <c r="E1" s="181"/>
    </row>
    <row r="2" spans="1:5" ht="12.75">
      <c r="A2" s="181"/>
      <c r="B2" s="181"/>
      <c r="C2" s="181"/>
      <c r="D2" s="181"/>
      <c r="E2" s="181"/>
    </row>
    <row r="3" spans="1:5" ht="12.75">
      <c r="A3" s="181"/>
      <c r="B3" s="181" t="s">
        <v>29</v>
      </c>
      <c r="C3" s="181"/>
      <c r="D3" s="181"/>
      <c r="E3" s="181"/>
    </row>
    <row r="4" spans="1:5" ht="12.75">
      <c r="A4" s="181"/>
      <c r="B4" s="405" t="s">
        <v>113</v>
      </c>
      <c r="C4" s="181"/>
      <c r="D4" s="181"/>
      <c r="E4" s="181"/>
    </row>
    <row r="5" spans="1:5" ht="12.75">
      <c r="A5" s="181"/>
      <c r="B5" s="181" t="s">
        <v>40</v>
      </c>
      <c r="C5" s="181"/>
      <c r="D5" s="181"/>
      <c r="E5" s="181"/>
    </row>
    <row r="6" spans="1:5" ht="15.75">
      <c r="A6" s="389"/>
      <c r="B6" s="417" t="s">
        <v>1</v>
      </c>
      <c r="C6" s="418" t="s">
        <v>3</v>
      </c>
      <c r="D6" s="530" t="s">
        <v>4</v>
      </c>
      <c r="E6" s="531"/>
    </row>
    <row r="7" spans="1:5" ht="15.75">
      <c r="A7" s="185"/>
      <c r="B7" s="183" t="s">
        <v>2</v>
      </c>
      <c r="C7" s="184" t="s">
        <v>33</v>
      </c>
      <c r="D7" s="528" t="s">
        <v>110</v>
      </c>
      <c r="E7" s="529"/>
    </row>
    <row r="8" spans="1:5" ht="12.75">
      <c r="A8" s="186"/>
      <c r="B8" s="187" t="s">
        <v>70</v>
      </c>
      <c r="C8" s="186"/>
      <c r="D8" s="415">
        <v>59660.64</v>
      </c>
      <c r="E8" s="416"/>
    </row>
    <row r="9" spans="1:5" ht="12.75">
      <c r="A9" s="186"/>
      <c r="B9" s="187" t="s">
        <v>5</v>
      </c>
      <c r="C9" s="186" t="s">
        <v>34</v>
      </c>
      <c r="D9" s="186">
        <v>5388.2</v>
      </c>
      <c r="E9" s="186"/>
    </row>
    <row r="10" spans="1:5" ht="12.75">
      <c r="A10" s="186"/>
      <c r="B10" s="187" t="s">
        <v>6</v>
      </c>
      <c r="C10" s="186" t="s">
        <v>34</v>
      </c>
      <c r="D10" s="186">
        <v>4378</v>
      </c>
      <c r="E10" s="186"/>
    </row>
    <row r="11" spans="1:5" ht="12.75">
      <c r="A11" s="186"/>
      <c r="B11" s="188" t="s">
        <v>27</v>
      </c>
      <c r="C11" s="186" t="s">
        <v>36</v>
      </c>
      <c r="D11" s="186">
        <v>331220.68</v>
      </c>
      <c r="E11" s="186"/>
    </row>
    <row r="12" spans="1:5" ht="12.75">
      <c r="A12" s="186"/>
      <c r="B12" s="186"/>
      <c r="C12" s="186"/>
      <c r="D12" s="186"/>
      <c r="E12" s="186"/>
    </row>
    <row r="13" spans="1:5" ht="15.75">
      <c r="A13" s="186"/>
      <c r="B13" s="189" t="s">
        <v>7</v>
      </c>
      <c r="C13" s="186"/>
      <c r="D13" s="186"/>
      <c r="E13" s="186"/>
    </row>
    <row r="14" spans="1:5" ht="12.75">
      <c r="A14" s="186">
        <v>1</v>
      </c>
      <c r="B14" s="186" t="s">
        <v>8</v>
      </c>
      <c r="C14" s="186" t="s">
        <v>9</v>
      </c>
      <c r="D14" s="186">
        <v>314940.58</v>
      </c>
      <c r="E14" s="186"/>
    </row>
    <row r="15" spans="1:5" ht="12.75">
      <c r="A15" s="186">
        <v>2</v>
      </c>
      <c r="B15" s="186" t="s">
        <v>82</v>
      </c>
      <c r="C15" s="186"/>
      <c r="D15" s="186">
        <v>22863.1</v>
      </c>
      <c r="E15" s="186"/>
    </row>
    <row r="16" spans="1:5" ht="15.75">
      <c r="A16" s="186"/>
      <c r="B16" s="189" t="s">
        <v>10</v>
      </c>
      <c r="C16" s="186"/>
      <c r="D16" s="190">
        <f>D14+D15</f>
        <v>337803.68</v>
      </c>
      <c r="E16" s="186"/>
    </row>
    <row r="17" spans="1:5" ht="15.75">
      <c r="A17" s="186"/>
      <c r="B17" s="189"/>
      <c r="C17" s="186"/>
      <c r="D17" s="190"/>
      <c r="E17" s="186"/>
    </row>
    <row r="18" spans="1:5" ht="15.75">
      <c r="A18" s="14"/>
      <c r="B18" s="17" t="s">
        <v>57</v>
      </c>
      <c r="C18" s="14"/>
      <c r="D18" s="20"/>
      <c r="E18" s="186"/>
    </row>
    <row r="19" spans="1:5" ht="12.75">
      <c r="A19" s="358" t="s">
        <v>58</v>
      </c>
      <c r="B19" s="16" t="s">
        <v>59</v>
      </c>
      <c r="C19" s="14"/>
      <c r="D19" s="19">
        <f>D20+D24+D23+D21+D22</f>
        <v>91243.3829</v>
      </c>
      <c r="E19" s="186"/>
    </row>
    <row r="20" spans="1:5" ht="12.75">
      <c r="A20" s="14">
        <v>1</v>
      </c>
      <c r="B20" s="22" t="s">
        <v>11</v>
      </c>
      <c r="C20" s="22" t="s">
        <v>9</v>
      </c>
      <c r="D20" s="22">
        <v>62046.45</v>
      </c>
      <c r="E20" s="186"/>
    </row>
    <row r="21" spans="1:5" ht="12.75">
      <c r="A21" s="14">
        <v>2</v>
      </c>
      <c r="B21" s="22" t="s">
        <v>136</v>
      </c>
      <c r="C21" s="14"/>
      <c r="D21" s="18">
        <f>D20*20.2%</f>
        <v>12533.382899999999</v>
      </c>
      <c r="E21" s="186"/>
    </row>
    <row r="22" spans="1:5" ht="12.75">
      <c r="A22" s="14">
        <v>3</v>
      </c>
      <c r="B22" s="22" t="s">
        <v>156</v>
      </c>
      <c r="C22" s="14"/>
      <c r="D22" s="14">
        <v>7903.74</v>
      </c>
      <c r="E22" s="186"/>
    </row>
    <row r="23" spans="1:5" ht="12.75">
      <c r="A23" s="14">
        <v>4</v>
      </c>
      <c r="B23" s="22" t="s">
        <v>143</v>
      </c>
      <c r="C23" s="14"/>
      <c r="D23" s="353">
        <v>4844.87</v>
      </c>
      <c r="E23" s="186"/>
    </row>
    <row r="24" spans="1:5" ht="12.75">
      <c r="A24" s="14">
        <v>5</v>
      </c>
      <c r="B24" s="352" t="s">
        <v>15</v>
      </c>
      <c r="C24" s="14"/>
      <c r="D24" s="14">
        <v>3914.94</v>
      </c>
      <c r="E24" s="186"/>
    </row>
    <row r="25" spans="1:5" ht="12.75">
      <c r="A25" s="358" t="s">
        <v>61</v>
      </c>
      <c r="B25" s="359" t="s">
        <v>60</v>
      </c>
      <c r="C25" s="14"/>
      <c r="D25" s="19">
        <f>D26+D28+D27+D29</f>
        <v>138076.88602</v>
      </c>
      <c r="E25" s="186"/>
    </row>
    <row r="26" spans="1:5" ht="12.75">
      <c r="A26" s="14">
        <v>1</v>
      </c>
      <c r="B26" s="22" t="s">
        <v>95</v>
      </c>
      <c r="C26" s="14"/>
      <c r="D26" s="22">
        <v>107007.01</v>
      </c>
      <c r="E26" s="186"/>
    </row>
    <row r="27" spans="1:5" ht="12.75">
      <c r="A27" s="14">
        <v>2</v>
      </c>
      <c r="B27" s="22" t="s">
        <v>136</v>
      </c>
      <c r="C27" s="14"/>
      <c r="D27" s="21">
        <f>D26*20.2%</f>
        <v>21615.416019999997</v>
      </c>
      <c r="E27" s="186"/>
    </row>
    <row r="28" spans="1:5" ht="12.75">
      <c r="A28" s="14">
        <v>3</v>
      </c>
      <c r="B28" s="22" t="s">
        <v>15</v>
      </c>
      <c r="C28" s="14"/>
      <c r="D28" s="22">
        <v>1693.46</v>
      </c>
      <c r="E28" s="14"/>
    </row>
    <row r="29" spans="1:5" ht="12.75">
      <c r="A29" s="14">
        <v>4</v>
      </c>
      <c r="B29" s="22" t="s">
        <v>83</v>
      </c>
      <c r="C29" s="14"/>
      <c r="D29" s="22">
        <v>7761</v>
      </c>
      <c r="E29" s="14"/>
    </row>
    <row r="30" spans="1:5" ht="12.75">
      <c r="A30" s="358" t="s">
        <v>62</v>
      </c>
      <c r="B30" s="20" t="s">
        <v>16</v>
      </c>
      <c r="C30" s="14"/>
      <c r="D30" s="19">
        <f>D31+D32+D33+D34+D35+D36+D37+D38</f>
        <v>47175.064</v>
      </c>
      <c r="E30" s="19"/>
    </row>
    <row r="31" spans="1:5" ht="12.75">
      <c r="A31" s="14"/>
      <c r="B31" s="14" t="s">
        <v>17</v>
      </c>
      <c r="C31" s="14"/>
      <c r="D31" s="18">
        <f>D16*5%</f>
        <v>16890.184</v>
      </c>
      <c r="E31" s="14"/>
    </row>
    <row r="32" spans="1:5" ht="12.75">
      <c r="A32" s="14"/>
      <c r="B32" s="14" t="s">
        <v>18</v>
      </c>
      <c r="C32" s="14"/>
      <c r="D32" s="14">
        <v>3883.99</v>
      </c>
      <c r="E32" s="14"/>
    </row>
    <row r="33" spans="1:5" ht="12.75">
      <c r="A33" s="14"/>
      <c r="B33" s="22" t="s">
        <v>19</v>
      </c>
      <c r="C33" s="14"/>
      <c r="D33" s="14">
        <v>5485.88</v>
      </c>
      <c r="E33" s="14"/>
    </row>
    <row r="34" spans="1:5" ht="12.75">
      <c r="A34" s="14"/>
      <c r="B34" s="14" t="s">
        <v>20</v>
      </c>
      <c r="C34" s="14"/>
      <c r="D34" s="18">
        <v>13822.45</v>
      </c>
      <c r="E34" s="18"/>
    </row>
    <row r="35" spans="1:5" ht="12.75">
      <c r="A35" s="14"/>
      <c r="B35" s="352" t="s">
        <v>55</v>
      </c>
      <c r="C35" s="14"/>
      <c r="D35" s="14">
        <v>1781.2</v>
      </c>
      <c r="E35" s="14"/>
    </row>
    <row r="36" spans="1:5" ht="12.75">
      <c r="A36" s="14"/>
      <c r="B36" s="22" t="s">
        <v>28</v>
      </c>
      <c r="C36" s="14"/>
      <c r="D36" s="14">
        <v>333.6</v>
      </c>
      <c r="E36" s="14"/>
    </row>
    <row r="37" spans="1:5" ht="12.75">
      <c r="A37" s="14"/>
      <c r="B37" s="22" t="s">
        <v>141</v>
      </c>
      <c r="C37" s="14"/>
      <c r="D37" s="14">
        <v>200</v>
      </c>
      <c r="E37" s="14"/>
    </row>
    <row r="38" spans="1:5" ht="12.75">
      <c r="A38" s="14"/>
      <c r="B38" s="14" t="s">
        <v>21</v>
      </c>
      <c r="C38" s="14"/>
      <c r="D38" s="14">
        <v>4777.76</v>
      </c>
      <c r="E38" s="14"/>
    </row>
    <row r="39" spans="1:5" ht="12.75">
      <c r="A39" s="475" t="s">
        <v>64</v>
      </c>
      <c r="B39" s="377" t="s">
        <v>74</v>
      </c>
      <c r="C39" s="14"/>
      <c r="D39" s="20">
        <f>3305.26+34575.63</f>
        <v>37880.89</v>
      </c>
      <c r="E39" s="14"/>
    </row>
    <row r="40" spans="1:5" ht="12.75">
      <c r="A40" s="475" t="s">
        <v>65</v>
      </c>
      <c r="B40" s="20" t="s">
        <v>92</v>
      </c>
      <c r="C40" s="14"/>
      <c r="D40" s="19">
        <v>106092.49</v>
      </c>
      <c r="E40" s="19"/>
    </row>
    <row r="41" spans="1:5" ht="12.75">
      <c r="A41" s="475" t="s">
        <v>66</v>
      </c>
      <c r="B41" s="20" t="s">
        <v>23</v>
      </c>
      <c r="C41" s="14"/>
      <c r="D41" s="19">
        <f>D19+D25+D30+D39+D40</f>
        <v>420468.71292</v>
      </c>
      <c r="E41" s="14"/>
    </row>
    <row r="42" spans="1:5" ht="12.75">
      <c r="A42" s="475" t="s">
        <v>67</v>
      </c>
      <c r="B42" s="14" t="s">
        <v>32</v>
      </c>
      <c r="C42" s="14"/>
      <c r="D42" s="19">
        <f>D16*6%</f>
        <v>20268.2208</v>
      </c>
      <c r="E42" s="14"/>
    </row>
    <row r="43" spans="1:5" ht="12.75">
      <c r="A43" s="475" t="s">
        <v>68</v>
      </c>
      <c r="B43" s="20" t="s">
        <v>24</v>
      </c>
      <c r="C43" s="14"/>
      <c r="D43" s="19">
        <f>D41+D42</f>
        <v>440736.93372000003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475" t="s">
        <v>69</v>
      </c>
      <c r="B45" s="20" t="s">
        <v>142</v>
      </c>
      <c r="C45" s="14"/>
      <c r="D45" s="19">
        <f>D16-D43</f>
        <v>-102933.25372000004</v>
      </c>
      <c r="E45" s="14"/>
    </row>
    <row r="46" spans="1:5" ht="12.75">
      <c r="A46" s="475" t="s">
        <v>165</v>
      </c>
      <c r="B46" s="20" t="s">
        <v>44</v>
      </c>
      <c r="C46" s="14"/>
      <c r="D46" s="19">
        <f>D8+D45</f>
        <v>-43272.61372000004</v>
      </c>
      <c r="E46" s="14"/>
    </row>
    <row r="47" spans="1:5" ht="12.75">
      <c r="A47" s="3"/>
      <c r="B47" s="377"/>
      <c r="C47" s="3"/>
      <c r="D47" s="380"/>
      <c r="E47" s="3"/>
    </row>
    <row r="48" spans="1:5" ht="12.75">
      <c r="A48" s="1"/>
      <c r="B48" s="1" t="s">
        <v>30</v>
      </c>
      <c r="C48" s="1"/>
      <c r="D48" s="1" t="s">
        <v>0</v>
      </c>
      <c r="E48" s="1"/>
    </row>
    <row r="49" spans="1:5" ht="12.75">
      <c r="A49" s="1"/>
      <c r="B49" s="1" t="s">
        <v>31</v>
      </c>
      <c r="C49" s="1"/>
      <c r="D49" s="1" t="s">
        <v>26</v>
      </c>
      <c r="E49" s="1"/>
    </row>
  </sheetData>
  <sheetProtection/>
  <mergeCells count="2"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G4" sqref="G4:H24"/>
    </sheetView>
  </sheetViews>
  <sheetFormatPr defaultColWidth="9.00390625" defaultRowHeight="12.75"/>
  <cols>
    <col min="1" max="1" width="7.00390625" style="0" customWidth="1"/>
    <col min="2" max="2" width="45.00390625" style="0" customWidth="1"/>
    <col min="3" max="3" width="6.25390625" style="0" customWidth="1"/>
    <col min="4" max="4" width="11.75390625" style="0" customWidth="1"/>
    <col min="5" max="5" width="11.125" style="0" customWidth="1"/>
    <col min="7" max="7" width="10.25390625" style="0" customWidth="1"/>
    <col min="8" max="8" width="10.625" style="0" customWidth="1"/>
    <col min="10" max="10" width="11.125" style="0" customWidth="1"/>
    <col min="13" max="13" width="4.875" style="0" customWidth="1"/>
    <col min="14" max="14" width="40.875" style="0" customWidth="1"/>
    <col min="16" max="16" width="11.375" style="0" customWidth="1"/>
    <col min="20" max="20" width="38.00390625" style="0" customWidth="1"/>
    <col min="22" max="22" width="11.00390625" style="0" customWidth="1"/>
  </cols>
  <sheetData>
    <row r="1" spans="1:5" ht="15.75">
      <c r="A1" s="191"/>
      <c r="B1" s="192" t="s">
        <v>25</v>
      </c>
      <c r="C1" s="191"/>
      <c r="D1" s="191"/>
      <c r="E1" s="191"/>
    </row>
    <row r="2" spans="1:5" ht="12.75">
      <c r="A2" s="191"/>
      <c r="B2" s="191"/>
      <c r="C2" s="191"/>
      <c r="D2" s="191"/>
      <c r="E2" s="191"/>
    </row>
    <row r="3" spans="1:5" ht="12.75">
      <c r="A3" s="191"/>
      <c r="B3" s="346" t="s">
        <v>75</v>
      </c>
      <c r="C3" s="191"/>
      <c r="D3" s="191"/>
      <c r="E3" s="191"/>
    </row>
    <row r="4" spans="1:5" ht="12.75">
      <c r="A4" s="191"/>
      <c r="B4" s="406" t="s">
        <v>203</v>
      </c>
      <c r="C4" s="191"/>
      <c r="D4" s="191"/>
      <c r="E4" s="191"/>
    </row>
    <row r="5" spans="1:5" ht="12.75">
      <c r="A5" s="532"/>
      <c r="B5" s="532"/>
      <c r="C5" s="532"/>
      <c r="D5" s="193"/>
      <c r="E5" s="194"/>
    </row>
    <row r="6" spans="1:5" ht="12.75">
      <c r="A6" s="195"/>
      <c r="B6" s="195"/>
      <c r="C6" s="195"/>
      <c r="D6" s="196"/>
      <c r="E6" s="197"/>
    </row>
    <row r="7" spans="1:5" ht="15.75">
      <c r="A7" s="195"/>
      <c r="B7" s="198" t="s">
        <v>1</v>
      </c>
      <c r="C7" s="199" t="s">
        <v>3</v>
      </c>
      <c r="D7" s="533" t="s">
        <v>4</v>
      </c>
      <c r="E7" s="534"/>
    </row>
    <row r="8" spans="1:5" ht="15.75">
      <c r="A8" s="200"/>
      <c r="B8" s="198" t="s">
        <v>2</v>
      </c>
      <c r="C8" s="199" t="s">
        <v>33</v>
      </c>
      <c r="D8" s="535" t="s">
        <v>138</v>
      </c>
      <c r="E8" s="536"/>
    </row>
    <row r="9" spans="1:5" ht="12.75">
      <c r="A9" s="201"/>
      <c r="B9" s="201"/>
      <c r="C9" s="201"/>
      <c r="D9" s="202"/>
      <c r="E9" s="203"/>
    </row>
    <row r="10" spans="1:5" ht="12.75">
      <c r="A10" s="201"/>
      <c r="B10" s="369" t="s">
        <v>102</v>
      </c>
      <c r="C10" s="201"/>
      <c r="D10" s="413">
        <f>-286683.12+88512</f>
        <v>-198171.12</v>
      </c>
      <c r="E10" s="203"/>
    </row>
    <row r="11" spans="1:5" ht="12.75">
      <c r="A11" s="201"/>
      <c r="B11" s="369" t="s">
        <v>79</v>
      </c>
      <c r="C11" s="201"/>
      <c r="D11" s="413">
        <v>8019.43</v>
      </c>
      <c r="E11" s="203"/>
    </row>
    <row r="12" spans="1:5" ht="12.75">
      <c r="A12" s="204"/>
      <c r="B12" s="205" t="s">
        <v>5</v>
      </c>
      <c r="C12" s="204" t="s">
        <v>34</v>
      </c>
      <c r="D12" s="204">
        <v>6439.15</v>
      </c>
      <c r="E12" s="204"/>
    </row>
    <row r="13" spans="1:5" ht="12.75">
      <c r="A13" s="204"/>
      <c r="B13" s="205" t="s">
        <v>6</v>
      </c>
      <c r="C13" s="204" t="s">
        <v>34</v>
      </c>
      <c r="D13" s="210">
        <v>4391.3</v>
      </c>
      <c r="E13" s="204"/>
    </row>
    <row r="14" spans="1:5" ht="12.75">
      <c r="A14" s="204"/>
      <c r="B14" s="206" t="s">
        <v>37</v>
      </c>
      <c r="C14" s="204" t="s">
        <v>9</v>
      </c>
      <c r="D14" s="207">
        <f>532942.84+157737.54</f>
        <v>690680.38</v>
      </c>
      <c r="E14" s="204"/>
    </row>
    <row r="15" spans="1:5" ht="15.75">
      <c r="A15" s="204"/>
      <c r="B15" s="208" t="s">
        <v>7</v>
      </c>
      <c r="C15" s="204"/>
      <c r="D15" s="204"/>
      <c r="E15" s="204"/>
    </row>
    <row r="16" spans="1:5" ht="12.75">
      <c r="A16" s="204">
        <v>1</v>
      </c>
      <c r="B16" s="204" t="s">
        <v>8</v>
      </c>
      <c r="C16" s="204" t="s">
        <v>9</v>
      </c>
      <c r="D16" s="210">
        <v>517569</v>
      </c>
      <c r="E16" s="204"/>
    </row>
    <row r="17" spans="1:5" ht="12.75">
      <c r="A17" s="204">
        <v>2</v>
      </c>
      <c r="B17" s="204" t="s">
        <v>74</v>
      </c>
      <c r="C17" s="204"/>
      <c r="D17" s="210">
        <v>140039.72</v>
      </c>
      <c r="E17" s="204"/>
    </row>
    <row r="18" spans="1:5" ht="12.75">
      <c r="A18" s="204">
        <v>3</v>
      </c>
      <c r="B18" s="204" t="s">
        <v>82</v>
      </c>
      <c r="C18" s="204"/>
      <c r="D18" s="204">
        <v>6000</v>
      </c>
      <c r="E18" s="204"/>
    </row>
    <row r="19" spans="1:5" ht="15.75">
      <c r="A19" s="204"/>
      <c r="B19" s="208" t="s">
        <v>10</v>
      </c>
      <c r="C19" s="204"/>
      <c r="D19" s="209">
        <f>D16+D17+D18</f>
        <v>663608.72</v>
      </c>
      <c r="E19" s="204"/>
    </row>
    <row r="20" spans="1:5" ht="15.75">
      <c r="A20" s="204"/>
      <c r="B20" s="208"/>
      <c r="C20" s="204"/>
      <c r="D20" s="207"/>
      <c r="E20" s="204"/>
    </row>
    <row r="21" spans="1:5" ht="15.75">
      <c r="A21" s="14"/>
      <c r="B21" s="17" t="s">
        <v>57</v>
      </c>
      <c r="C21" s="14"/>
      <c r="D21" s="20"/>
      <c r="E21" s="204"/>
    </row>
    <row r="22" spans="1:5" ht="12.75">
      <c r="A22" s="358" t="s">
        <v>58</v>
      </c>
      <c r="B22" s="16" t="s">
        <v>59</v>
      </c>
      <c r="C22" s="14"/>
      <c r="D22" s="19">
        <f>D23+D28+D26+D27</f>
        <v>164149.07546000002</v>
      </c>
      <c r="E22" s="204"/>
    </row>
    <row r="23" spans="1:5" ht="12.75">
      <c r="A23" s="14">
        <v>1</v>
      </c>
      <c r="B23" s="22" t="s">
        <v>11</v>
      </c>
      <c r="C23" s="22" t="s">
        <v>9</v>
      </c>
      <c r="D23" s="21">
        <f>D24+D25</f>
        <v>133854.73</v>
      </c>
      <c r="E23" s="204"/>
    </row>
    <row r="24" spans="1:5" ht="12.75">
      <c r="A24" s="468" t="s">
        <v>126</v>
      </c>
      <c r="B24" s="14" t="s">
        <v>12</v>
      </c>
      <c r="C24" s="14"/>
      <c r="D24" s="14">
        <v>64491.87</v>
      </c>
      <c r="E24" s="204"/>
    </row>
    <row r="25" spans="1:5" ht="12.75">
      <c r="A25" s="468" t="s">
        <v>127</v>
      </c>
      <c r="B25" s="14" t="s">
        <v>13</v>
      </c>
      <c r="C25" s="14"/>
      <c r="D25" s="353">
        <v>69362.86</v>
      </c>
      <c r="E25" s="204"/>
    </row>
    <row r="26" spans="1:5" ht="12.75">
      <c r="A26" s="14">
        <v>2</v>
      </c>
      <c r="B26" s="22" t="s">
        <v>136</v>
      </c>
      <c r="C26" s="14"/>
      <c r="D26" s="18">
        <f>D23*20.2%</f>
        <v>27038.65546</v>
      </c>
      <c r="E26" s="18"/>
    </row>
    <row r="27" spans="1:5" ht="12.75">
      <c r="A27" s="14">
        <v>3</v>
      </c>
      <c r="B27" s="22" t="s">
        <v>156</v>
      </c>
      <c r="C27" s="14"/>
      <c r="D27" s="14">
        <v>125</v>
      </c>
      <c r="E27" s="18"/>
    </row>
    <row r="28" spans="1:5" ht="12.75">
      <c r="A28" s="14">
        <v>4</v>
      </c>
      <c r="B28" s="352" t="s">
        <v>15</v>
      </c>
      <c r="C28" s="14"/>
      <c r="D28" s="14">
        <v>3130.69</v>
      </c>
      <c r="E28" s="18"/>
    </row>
    <row r="29" spans="1:5" ht="12.75">
      <c r="A29" s="358" t="s">
        <v>61</v>
      </c>
      <c r="B29" s="359" t="s">
        <v>60</v>
      </c>
      <c r="C29" s="14"/>
      <c r="D29" s="19">
        <f>D30+D33+D32+D31</f>
        <v>136636.66217999998</v>
      </c>
      <c r="E29" s="18"/>
    </row>
    <row r="30" spans="1:5" ht="12.75">
      <c r="A30" s="14">
        <v>1</v>
      </c>
      <c r="B30" s="22" t="s">
        <v>95</v>
      </c>
      <c r="C30" s="14"/>
      <c r="D30" s="22">
        <v>107332.09</v>
      </c>
      <c r="E30" s="18"/>
    </row>
    <row r="31" spans="1:5" ht="12.75">
      <c r="A31" s="14">
        <v>2</v>
      </c>
      <c r="B31" s="22" t="s">
        <v>136</v>
      </c>
      <c r="C31" s="14"/>
      <c r="D31" s="21">
        <f>D30*20.2%</f>
        <v>21681.082179999998</v>
      </c>
      <c r="E31" s="18"/>
    </row>
    <row r="32" spans="1:5" ht="12.75">
      <c r="A32" s="14">
        <v>3</v>
      </c>
      <c r="B32" s="22" t="s">
        <v>15</v>
      </c>
      <c r="C32" s="14"/>
      <c r="D32" s="22">
        <v>2573.49</v>
      </c>
      <c r="E32" s="18"/>
    </row>
    <row r="33" spans="1:5" ht="12.75">
      <c r="A33" s="14">
        <v>4</v>
      </c>
      <c r="B33" s="22" t="s">
        <v>83</v>
      </c>
      <c r="C33" s="14"/>
      <c r="D33" s="22">
        <v>5050</v>
      </c>
      <c r="E33" s="18"/>
    </row>
    <row r="34" spans="1:5" ht="12.75">
      <c r="A34" s="358" t="s">
        <v>62</v>
      </c>
      <c r="B34" s="20" t="s">
        <v>16</v>
      </c>
      <c r="C34" s="14"/>
      <c r="D34" s="19">
        <f>D35+D36+D37+D38+D39+D40+D41+D42</f>
        <v>64675.106</v>
      </c>
      <c r="E34" s="18"/>
    </row>
    <row r="35" spans="1:5" ht="12.75">
      <c r="A35" s="14"/>
      <c r="B35" s="14" t="s">
        <v>17</v>
      </c>
      <c r="C35" s="14"/>
      <c r="D35" s="18">
        <f>D19*5%</f>
        <v>33180.436</v>
      </c>
      <c r="E35" s="14"/>
    </row>
    <row r="36" spans="1:5" ht="12.75">
      <c r="A36" s="14"/>
      <c r="B36" s="14" t="s">
        <v>18</v>
      </c>
      <c r="C36" s="14"/>
      <c r="D36" s="14">
        <v>1657.26</v>
      </c>
      <c r="E36" s="14"/>
    </row>
    <row r="37" spans="1:5" ht="12.75">
      <c r="A37" s="14"/>
      <c r="B37" s="22" t="s">
        <v>19</v>
      </c>
      <c r="C37" s="14"/>
      <c r="D37" s="14">
        <v>7314.5</v>
      </c>
      <c r="E37" s="14"/>
    </row>
    <row r="38" spans="1:5" ht="12.75">
      <c r="A38" s="14"/>
      <c r="B38" s="14" t="s">
        <v>20</v>
      </c>
      <c r="C38" s="14"/>
      <c r="D38" s="18">
        <v>13864.44</v>
      </c>
      <c r="E38" s="18"/>
    </row>
    <row r="39" spans="1:5" ht="12.75">
      <c r="A39" s="14"/>
      <c r="B39" s="22" t="s">
        <v>28</v>
      </c>
      <c r="C39" s="14"/>
      <c r="D39" s="14">
        <v>333.6</v>
      </c>
      <c r="E39" s="14"/>
    </row>
    <row r="40" spans="1:5" ht="12.75">
      <c r="A40" s="14"/>
      <c r="B40" s="352" t="s">
        <v>55</v>
      </c>
      <c r="C40" s="14"/>
      <c r="D40" s="14">
        <v>1786.6</v>
      </c>
      <c r="E40" s="14"/>
    </row>
    <row r="41" spans="1:5" ht="12.75">
      <c r="A41" s="14"/>
      <c r="B41" s="22" t="s">
        <v>141</v>
      </c>
      <c r="C41" s="14"/>
      <c r="D41" s="14">
        <v>1746</v>
      </c>
      <c r="E41" s="14"/>
    </row>
    <row r="42" spans="1:5" ht="12.75">
      <c r="A42" s="14"/>
      <c r="B42" s="14" t="s">
        <v>21</v>
      </c>
      <c r="C42" s="14"/>
      <c r="D42" s="14">
        <v>4792.27</v>
      </c>
      <c r="E42" s="14"/>
    </row>
    <row r="43" spans="1:5" ht="12.75">
      <c r="A43" s="475" t="s">
        <v>64</v>
      </c>
      <c r="B43" s="20" t="s">
        <v>92</v>
      </c>
      <c r="C43" s="14"/>
      <c r="D43" s="19">
        <v>106414.76</v>
      </c>
      <c r="E43" s="19"/>
    </row>
    <row r="44" spans="1:5" ht="12.75">
      <c r="A44" s="475" t="s">
        <v>65</v>
      </c>
      <c r="B44" s="20" t="s">
        <v>23</v>
      </c>
      <c r="C44" s="14"/>
      <c r="D44" s="19">
        <f>D22+D29+D34+D43</f>
        <v>471875.60364</v>
      </c>
      <c r="E44" s="14"/>
    </row>
    <row r="45" spans="1:5" ht="12.75">
      <c r="A45" s="475" t="s">
        <v>66</v>
      </c>
      <c r="B45" s="14" t="s">
        <v>32</v>
      </c>
      <c r="C45" s="14"/>
      <c r="D45" s="19">
        <f>D19*6%</f>
        <v>39816.523199999996</v>
      </c>
      <c r="E45" s="14"/>
    </row>
    <row r="46" spans="1:5" ht="12.75">
      <c r="A46" s="475" t="s">
        <v>67</v>
      </c>
      <c r="B46" s="20" t="s">
        <v>24</v>
      </c>
      <c r="C46" s="14"/>
      <c r="D46" s="19">
        <f>D44+D45</f>
        <v>511692.12684</v>
      </c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475" t="s">
        <v>68</v>
      </c>
      <c r="B48" s="20" t="s">
        <v>142</v>
      </c>
      <c r="C48" s="14"/>
      <c r="D48" s="19">
        <f>D16-D46+14984.25</f>
        <v>20861.123160000017</v>
      </c>
      <c r="E48" s="14"/>
    </row>
    <row r="49" spans="1:5" ht="12.75">
      <c r="A49" s="475" t="s">
        <v>69</v>
      </c>
      <c r="B49" s="20" t="s">
        <v>44</v>
      </c>
      <c r="C49" s="14"/>
      <c r="D49" s="19">
        <f>D10+D48</f>
        <v>-177309.99683999998</v>
      </c>
      <c r="E49" s="14"/>
    </row>
    <row r="50" spans="1:5" ht="12.75">
      <c r="A50" s="3"/>
      <c r="B50" s="377"/>
      <c r="C50" s="3"/>
      <c r="D50" s="380"/>
      <c r="E50" s="3"/>
    </row>
    <row r="51" spans="1:5" ht="12.75">
      <c r="A51" s="3"/>
      <c r="B51" s="377" t="s">
        <v>74</v>
      </c>
      <c r="C51" s="3"/>
      <c r="D51" s="380">
        <f>D11+D17-14984.25</f>
        <v>133074.9</v>
      </c>
      <c r="E51" s="3"/>
    </row>
    <row r="52" spans="1:5" ht="12.75">
      <c r="A52" s="3"/>
      <c r="B52" s="377" t="s">
        <v>104</v>
      </c>
      <c r="C52" s="3"/>
      <c r="D52" s="380">
        <f>16110.67+63333.3</f>
        <v>79443.97</v>
      </c>
      <c r="E52" s="3"/>
    </row>
    <row r="53" spans="1:5" ht="12.75">
      <c r="A53" s="3"/>
      <c r="B53" s="377" t="s">
        <v>97</v>
      </c>
      <c r="C53" s="3"/>
      <c r="D53" s="380">
        <f>D51-D52</f>
        <v>53630.92999999999</v>
      </c>
      <c r="E53" s="3"/>
    </row>
    <row r="54" spans="1:5" ht="12.75">
      <c r="A54" s="3"/>
      <c r="B54" s="377"/>
      <c r="C54" s="3"/>
      <c r="D54" s="380"/>
      <c r="E54" s="3"/>
    </row>
    <row r="55" spans="1:5" ht="12.75">
      <c r="A55" s="1"/>
      <c r="B55" s="1" t="s">
        <v>30</v>
      </c>
      <c r="C55" s="1"/>
      <c r="D55" s="1" t="s">
        <v>0</v>
      </c>
      <c r="E55" s="1"/>
    </row>
    <row r="56" spans="1:5" ht="12.75">
      <c r="A56" s="1"/>
      <c r="B56" s="1" t="s">
        <v>31</v>
      </c>
      <c r="C56" s="1"/>
      <c r="D56" s="1" t="s">
        <v>26</v>
      </c>
      <c r="E56" s="1"/>
    </row>
  </sheetData>
  <sheetProtection/>
  <mergeCells count="3">
    <mergeCell ref="A5:C5"/>
    <mergeCell ref="D7:E7"/>
    <mergeCell ref="D8:E8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zoomScalePageLayoutView="0" workbookViewId="0" topLeftCell="A1">
      <selection activeCell="I47" sqref="I47"/>
    </sheetView>
  </sheetViews>
  <sheetFormatPr defaultColWidth="9.00390625" defaultRowHeight="12.75"/>
  <cols>
    <col min="1" max="1" width="3.75390625" style="0" customWidth="1"/>
    <col min="2" max="2" width="40.375" style="0" customWidth="1"/>
    <col min="3" max="3" width="8.625" style="0" customWidth="1"/>
    <col min="4" max="5" width="11.125" style="0" customWidth="1"/>
    <col min="7" max="7" width="13.125" style="0" customWidth="1"/>
    <col min="8" max="8" width="11.25390625" style="0" customWidth="1"/>
    <col min="10" max="10" width="10.00390625" style="0" customWidth="1"/>
    <col min="13" max="13" width="5.00390625" style="0" customWidth="1"/>
    <col min="14" max="14" width="43.125" style="0" customWidth="1"/>
    <col min="16" max="16" width="10.625" style="0" customWidth="1"/>
    <col min="20" max="20" width="41.00390625" style="0" customWidth="1"/>
    <col min="22" max="22" width="11.375" style="0" customWidth="1"/>
  </cols>
  <sheetData>
    <row r="1" spans="1:5" ht="15.75">
      <c r="A1" s="211"/>
      <c r="B1" s="212" t="s">
        <v>25</v>
      </c>
      <c r="C1" s="211"/>
      <c r="D1" s="211"/>
      <c r="E1" s="211"/>
    </row>
    <row r="2" spans="1:5" ht="12.75">
      <c r="A2" s="211"/>
      <c r="B2" s="211"/>
      <c r="C2" s="211"/>
      <c r="D2" s="211"/>
      <c r="E2" s="211"/>
    </row>
    <row r="3" spans="1:5" ht="12.75">
      <c r="A3" s="211"/>
      <c r="B3" s="211" t="s">
        <v>29</v>
      </c>
      <c r="C3" s="211"/>
      <c r="D3" s="211"/>
      <c r="E3" s="211"/>
    </row>
    <row r="4" spans="1:5" ht="12.75">
      <c r="A4" s="211"/>
      <c r="B4" s="407" t="s">
        <v>185</v>
      </c>
      <c r="C4" s="211"/>
      <c r="D4" s="211"/>
      <c r="E4" s="211"/>
    </row>
    <row r="5" spans="1:5" ht="12.75">
      <c r="A5" s="211"/>
      <c r="B5" s="211" t="s">
        <v>42</v>
      </c>
      <c r="C5" s="211"/>
      <c r="D5" s="211"/>
      <c r="E5" s="211"/>
    </row>
    <row r="6" spans="1:5" ht="15.75">
      <c r="A6" s="390"/>
      <c r="B6" s="451" t="s">
        <v>1</v>
      </c>
      <c r="C6" s="452" t="s">
        <v>3</v>
      </c>
      <c r="D6" s="539" t="s">
        <v>4</v>
      </c>
      <c r="E6" s="540"/>
    </row>
    <row r="7" spans="1:5" ht="15.75">
      <c r="A7" s="215"/>
      <c r="B7" s="213" t="s">
        <v>2</v>
      </c>
      <c r="C7" s="214" t="s">
        <v>33</v>
      </c>
      <c r="D7" s="537" t="s">
        <v>146</v>
      </c>
      <c r="E7" s="538"/>
    </row>
    <row r="8" spans="1:5" ht="12.75">
      <c r="A8" s="219"/>
      <c r="B8" s="220" t="s">
        <v>102</v>
      </c>
      <c r="C8" s="219"/>
      <c r="D8" s="453">
        <v>33512.03</v>
      </c>
      <c r="E8" s="454"/>
    </row>
    <row r="9" spans="1:5" ht="12.75">
      <c r="A9" s="216"/>
      <c r="B9" s="370" t="s">
        <v>79</v>
      </c>
      <c r="C9" s="216"/>
      <c r="D9" s="217">
        <v>22845.73</v>
      </c>
      <c r="E9" s="218"/>
    </row>
    <row r="10" spans="1:5" ht="12.75">
      <c r="A10" s="219"/>
      <c r="B10" s="220" t="s">
        <v>5</v>
      </c>
      <c r="C10" s="219" t="s">
        <v>34</v>
      </c>
      <c r="D10" s="219">
        <v>6610.9</v>
      </c>
      <c r="E10" s="219"/>
    </row>
    <row r="11" spans="1:5" ht="12.75">
      <c r="A11" s="219"/>
      <c r="B11" s="220" t="s">
        <v>6</v>
      </c>
      <c r="C11" s="219" t="s">
        <v>34</v>
      </c>
      <c r="D11" s="219">
        <v>5369.9</v>
      </c>
      <c r="E11" s="219"/>
    </row>
    <row r="12" spans="1:5" ht="12.75">
      <c r="A12" s="219"/>
      <c r="B12" s="221" t="s">
        <v>27</v>
      </c>
      <c r="C12" s="219" t="s">
        <v>36</v>
      </c>
      <c r="D12" s="222">
        <f>546854.09+225706.6</f>
        <v>772560.69</v>
      </c>
      <c r="E12" s="219"/>
    </row>
    <row r="13" spans="1:5" ht="12.75">
      <c r="A13" s="219"/>
      <c r="B13" s="219"/>
      <c r="C13" s="219"/>
      <c r="D13" s="219"/>
      <c r="E13" s="219"/>
    </row>
    <row r="14" spans="1:5" ht="15.75">
      <c r="A14" s="219"/>
      <c r="B14" s="223" t="s">
        <v>7</v>
      </c>
      <c r="C14" s="219"/>
      <c r="D14" s="219"/>
      <c r="E14" s="219"/>
    </row>
    <row r="15" spans="1:5" ht="12.75">
      <c r="A15" s="219">
        <v>1</v>
      </c>
      <c r="B15" s="219" t="s">
        <v>8</v>
      </c>
      <c r="C15" s="219" t="s">
        <v>9</v>
      </c>
      <c r="D15" s="219">
        <v>528402.09</v>
      </c>
      <c r="E15" s="219"/>
    </row>
    <row r="16" spans="1:5" ht="12.75">
      <c r="A16" s="219">
        <v>2</v>
      </c>
      <c r="B16" s="219" t="s">
        <v>74</v>
      </c>
      <c r="C16" s="219"/>
      <c r="D16" s="219">
        <v>206106.32</v>
      </c>
      <c r="E16" s="219"/>
    </row>
    <row r="17" spans="1:5" ht="12.75">
      <c r="A17" s="219">
        <v>3</v>
      </c>
      <c r="B17" s="219" t="s">
        <v>82</v>
      </c>
      <c r="C17" s="219"/>
      <c r="D17" s="219">
        <v>9000</v>
      </c>
      <c r="E17" s="219"/>
    </row>
    <row r="18" spans="1:5" ht="15.75">
      <c r="A18" s="219"/>
      <c r="B18" s="223" t="s">
        <v>10</v>
      </c>
      <c r="C18" s="219"/>
      <c r="D18" s="222">
        <f>D15+D16+D17</f>
        <v>743508.4099999999</v>
      </c>
      <c r="E18" s="219"/>
    </row>
    <row r="19" spans="1:5" ht="15.75">
      <c r="A19" s="219"/>
      <c r="B19" s="223"/>
      <c r="C19" s="219"/>
      <c r="D19" s="222"/>
      <c r="E19" s="219"/>
    </row>
    <row r="20" spans="1:5" ht="15.75">
      <c r="A20" s="14"/>
      <c r="B20" s="17" t="s">
        <v>57</v>
      </c>
      <c r="C20" s="14"/>
      <c r="D20" s="20"/>
      <c r="E20" s="219"/>
    </row>
    <row r="21" spans="1:5" ht="12.75">
      <c r="A21" s="358" t="s">
        <v>58</v>
      </c>
      <c r="B21" s="16" t="s">
        <v>59</v>
      </c>
      <c r="C21" s="14"/>
      <c r="D21" s="19">
        <f>D22+D23+D24+D25+D26</f>
        <v>108259.78371999999</v>
      </c>
      <c r="E21" s="219"/>
    </row>
    <row r="22" spans="1:5" ht="12.75">
      <c r="A22" s="14">
        <v>1</v>
      </c>
      <c r="B22" s="22" t="s">
        <v>11</v>
      </c>
      <c r="C22" s="22" t="s">
        <v>9</v>
      </c>
      <c r="D22" s="22">
        <v>66635.86</v>
      </c>
      <c r="E22" s="219"/>
    </row>
    <row r="23" spans="1:5" ht="12.75">
      <c r="A23" s="14"/>
      <c r="B23" s="22" t="s">
        <v>136</v>
      </c>
      <c r="C23" s="14"/>
      <c r="D23" s="18">
        <f>D22*20.2%</f>
        <v>13460.44372</v>
      </c>
      <c r="E23" s="219"/>
    </row>
    <row r="24" spans="1:5" ht="12.75">
      <c r="A24" s="14"/>
      <c r="B24" s="22" t="s">
        <v>156</v>
      </c>
      <c r="C24" s="14"/>
      <c r="D24" s="353">
        <v>14711.25</v>
      </c>
      <c r="E24" s="219"/>
    </row>
    <row r="25" spans="1:5" ht="12.75">
      <c r="A25" s="14"/>
      <c r="B25" s="22" t="s">
        <v>143</v>
      </c>
      <c r="C25" s="14"/>
      <c r="D25" s="14">
        <v>9888.08</v>
      </c>
      <c r="E25" s="219"/>
    </row>
    <row r="26" spans="1:5" ht="12.75">
      <c r="A26" s="14">
        <v>2</v>
      </c>
      <c r="B26" s="352" t="s">
        <v>15</v>
      </c>
      <c r="C26" s="14"/>
      <c r="D26" s="14">
        <v>3564.15</v>
      </c>
      <c r="E26" s="219"/>
    </row>
    <row r="27" spans="1:5" ht="12.75">
      <c r="A27" s="358" t="s">
        <v>61</v>
      </c>
      <c r="B27" s="359" t="s">
        <v>60</v>
      </c>
      <c r="C27" s="14"/>
      <c r="D27" s="19">
        <f>D28+D29+D30+D31</f>
        <v>165048.44402000002</v>
      </c>
      <c r="E27" s="219"/>
    </row>
    <row r="28" spans="1:5" ht="12.75">
      <c r="A28" s="14">
        <v>1</v>
      </c>
      <c r="B28" s="22" t="s">
        <v>95</v>
      </c>
      <c r="C28" s="14"/>
      <c r="D28" s="22">
        <v>131251.01</v>
      </c>
      <c r="E28" s="219"/>
    </row>
    <row r="29" spans="1:5" ht="12.75">
      <c r="A29" s="14">
        <v>2</v>
      </c>
      <c r="B29" s="22" t="s">
        <v>136</v>
      </c>
      <c r="C29" s="14"/>
      <c r="D29" s="21">
        <f>D28*20.2%</f>
        <v>26512.70402</v>
      </c>
      <c r="E29" s="219"/>
    </row>
    <row r="30" spans="1:5" ht="12.75">
      <c r="A30" s="14">
        <v>3</v>
      </c>
      <c r="B30" s="22" t="s">
        <v>15</v>
      </c>
      <c r="C30" s="14"/>
      <c r="D30" s="22">
        <v>184.73</v>
      </c>
      <c r="E30" s="14"/>
    </row>
    <row r="31" spans="1:5" ht="12.75">
      <c r="A31" s="14">
        <v>4</v>
      </c>
      <c r="B31" s="22" t="s">
        <v>83</v>
      </c>
      <c r="C31" s="14"/>
      <c r="D31" s="22">
        <v>7100</v>
      </c>
      <c r="E31" s="14"/>
    </row>
    <row r="32" spans="1:5" ht="12.75">
      <c r="A32" s="358" t="s">
        <v>62</v>
      </c>
      <c r="B32" s="20" t="s">
        <v>16</v>
      </c>
      <c r="C32" s="14"/>
      <c r="D32" s="19">
        <f>D33+D34+D35+D36+D37+D38+D39+D40+D41</f>
        <v>95462.6505</v>
      </c>
      <c r="E32" s="19"/>
    </row>
    <row r="33" spans="1:5" ht="12.75">
      <c r="A33" s="14"/>
      <c r="B33" s="14" t="s">
        <v>17</v>
      </c>
      <c r="C33" s="14"/>
      <c r="D33" s="18">
        <f>D18*5%</f>
        <v>37175.4205</v>
      </c>
      <c r="E33" s="14"/>
    </row>
    <row r="34" spans="1:5" ht="12.75">
      <c r="A34" s="14"/>
      <c r="B34" s="14" t="s">
        <v>18</v>
      </c>
      <c r="C34" s="14"/>
      <c r="D34" s="14">
        <v>2542.65</v>
      </c>
      <c r="E34" s="14"/>
    </row>
    <row r="35" spans="1:5" ht="12.75">
      <c r="A35" s="14"/>
      <c r="B35" s="22" t="s">
        <v>19</v>
      </c>
      <c r="C35" s="14"/>
      <c r="D35" s="14">
        <v>14378.83</v>
      </c>
      <c r="E35" s="14"/>
    </row>
    <row r="36" spans="1:5" ht="12.75">
      <c r="A36" s="14"/>
      <c r="B36" s="14" t="s">
        <v>20</v>
      </c>
      <c r="C36" s="14"/>
      <c r="D36" s="18">
        <v>16954.12</v>
      </c>
      <c r="E36" s="18"/>
    </row>
    <row r="37" spans="1:5" ht="12.75">
      <c r="A37" s="14"/>
      <c r="B37" s="22" t="s">
        <v>28</v>
      </c>
      <c r="C37" s="14"/>
      <c r="D37" s="14">
        <v>333.6</v>
      </c>
      <c r="E37" s="14"/>
    </row>
    <row r="38" spans="1:5" ht="12.75">
      <c r="A38" s="14"/>
      <c r="B38" s="352" t="s">
        <v>55</v>
      </c>
      <c r="C38" s="14"/>
      <c r="D38" s="14">
        <v>2184.8</v>
      </c>
      <c r="E38" s="14"/>
    </row>
    <row r="39" spans="1:5" ht="12.75">
      <c r="A39" s="14"/>
      <c r="B39" s="22" t="s">
        <v>148</v>
      </c>
      <c r="C39" s="14"/>
      <c r="D39" s="14">
        <v>15000</v>
      </c>
      <c r="E39" s="14"/>
    </row>
    <row r="40" spans="1:5" ht="12.75">
      <c r="A40" s="14"/>
      <c r="B40" s="22" t="s">
        <v>141</v>
      </c>
      <c r="C40" s="14"/>
      <c r="D40" s="14">
        <v>1033</v>
      </c>
      <c r="E40" s="14"/>
    </row>
    <row r="41" spans="1:5" ht="12.75">
      <c r="A41" s="14"/>
      <c r="B41" s="14" t="s">
        <v>21</v>
      </c>
      <c r="C41" s="14"/>
      <c r="D41" s="14">
        <v>5860.23</v>
      </c>
      <c r="E41" s="14"/>
    </row>
    <row r="42" spans="1:5" ht="12.75">
      <c r="A42" s="475" t="s">
        <v>64</v>
      </c>
      <c r="B42" s="20" t="s">
        <v>92</v>
      </c>
      <c r="C42" s="14"/>
      <c r="D42" s="19">
        <v>156282.02</v>
      </c>
      <c r="E42" s="19"/>
    </row>
    <row r="43" spans="1:5" ht="12.75">
      <c r="A43" s="475" t="s">
        <v>65</v>
      </c>
      <c r="B43" s="20" t="s">
        <v>23</v>
      </c>
      <c r="C43" s="14"/>
      <c r="D43" s="19">
        <f>D21+D27+D32+D42</f>
        <v>525052.89824</v>
      </c>
      <c r="E43" s="14"/>
    </row>
    <row r="44" spans="1:5" ht="12.75">
      <c r="A44" s="475" t="s">
        <v>66</v>
      </c>
      <c r="B44" s="14" t="s">
        <v>32</v>
      </c>
      <c r="C44" s="14"/>
      <c r="D44" s="19">
        <f>D18*6%</f>
        <v>44610.50459999999</v>
      </c>
      <c r="E44" s="14"/>
    </row>
    <row r="45" spans="1:5" ht="12.75">
      <c r="A45" s="475" t="s">
        <v>67</v>
      </c>
      <c r="B45" s="20" t="s">
        <v>24</v>
      </c>
      <c r="C45" s="14"/>
      <c r="D45" s="19">
        <f>D43+D44</f>
        <v>569663.40284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475" t="s">
        <v>68</v>
      </c>
      <c r="B47" s="20" t="s">
        <v>142</v>
      </c>
      <c r="C47" s="14"/>
      <c r="D47" s="19">
        <f>D15-D45+22053.37</f>
        <v>-19207.94284000003</v>
      </c>
      <c r="E47" s="14"/>
    </row>
    <row r="48" spans="1:5" ht="12.75">
      <c r="A48" s="475" t="s">
        <v>69</v>
      </c>
      <c r="B48" s="20" t="s">
        <v>44</v>
      </c>
      <c r="C48" s="14"/>
      <c r="D48" s="19">
        <f>D8+D47</f>
        <v>14304.08715999997</v>
      </c>
      <c r="E48" s="14"/>
    </row>
    <row r="49" spans="1:5" ht="12.75">
      <c r="A49" s="3"/>
      <c r="B49" s="377"/>
      <c r="C49" s="3"/>
      <c r="D49" s="380"/>
      <c r="E49" s="3"/>
    </row>
    <row r="50" spans="1:5" ht="12.75">
      <c r="A50" s="3"/>
      <c r="B50" s="377" t="s">
        <v>74</v>
      </c>
      <c r="C50" s="3"/>
      <c r="D50" s="380">
        <f>D9+D16-22053.38</f>
        <v>206898.67</v>
      </c>
      <c r="E50" s="3"/>
    </row>
    <row r="51" spans="1:5" ht="12.75">
      <c r="A51" s="3"/>
      <c r="B51" s="377" t="s">
        <v>104</v>
      </c>
      <c r="C51" s="3"/>
      <c r="D51" s="380">
        <f>126392.4+9862.36</f>
        <v>136254.76</v>
      </c>
      <c r="E51" s="3"/>
    </row>
    <row r="52" spans="1:5" ht="12.75">
      <c r="A52" s="3"/>
      <c r="B52" s="377" t="s">
        <v>97</v>
      </c>
      <c r="C52" s="3"/>
      <c r="D52" s="380">
        <f>D50-D51</f>
        <v>70643.91</v>
      </c>
      <c r="E52" s="3"/>
    </row>
    <row r="53" spans="1:5" ht="12.75">
      <c r="A53" s="1"/>
      <c r="B53" s="1" t="s">
        <v>30</v>
      </c>
      <c r="C53" s="1"/>
      <c r="D53" s="1" t="s">
        <v>0</v>
      </c>
      <c r="E53" s="1"/>
    </row>
    <row r="54" spans="1:5" ht="12.75">
      <c r="A54" s="1"/>
      <c r="B54" s="1" t="s">
        <v>31</v>
      </c>
      <c r="C54" s="1"/>
      <c r="D54" s="1" t="s">
        <v>26</v>
      </c>
      <c r="E54" s="1"/>
    </row>
  </sheetData>
  <sheetProtection/>
  <mergeCells count="2"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G44" sqref="G44"/>
    </sheetView>
  </sheetViews>
  <sheetFormatPr defaultColWidth="9.00390625" defaultRowHeight="12.75"/>
  <cols>
    <col min="1" max="1" width="4.25390625" style="0" customWidth="1"/>
    <col min="2" max="2" width="41.625" style="0" customWidth="1"/>
    <col min="3" max="3" width="7.25390625" style="0" customWidth="1"/>
    <col min="4" max="4" width="10.75390625" style="0" customWidth="1"/>
    <col min="5" max="5" width="10.125" style="0" customWidth="1"/>
    <col min="7" max="7" width="12.875" style="0" customWidth="1"/>
    <col min="8" max="8" width="11.875" style="0" customWidth="1"/>
    <col min="10" max="10" width="10.375" style="0" customWidth="1"/>
    <col min="13" max="13" width="4.375" style="0" customWidth="1"/>
    <col min="14" max="14" width="40.00390625" style="0" customWidth="1"/>
    <col min="15" max="15" width="7.875" style="0" customWidth="1"/>
    <col min="16" max="16" width="11.125" style="0" customWidth="1"/>
    <col min="20" max="20" width="42.125" style="0" customWidth="1"/>
    <col min="22" max="22" width="11.00390625" style="0" customWidth="1"/>
  </cols>
  <sheetData>
    <row r="1" spans="1:5" ht="15.75">
      <c r="A1" s="224"/>
      <c r="B1" s="225" t="s">
        <v>25</v>
      </c>
      <c r="C1" s="224"/>
      <c r="D1" s="224"/>
      <c r="E1" s="224"/>
    </row>
    <row r="2" spans="1:5" ht="12.75">
      <c r="A2" s="224"/>
      <c r="B2" s="224"/>
      <c r="C2" s="224"/>
      <c r="D2" s="224"/>
      <c r="E2" s="224"/>
    </row>
    <row r="3" spans="1:5" ht="12.75">
      <c r="A3" s="224"/>
      <c r="B3" s="224" t="s">
        <v>29</v>
      </c>
      <c r="C3" s="224"/>
      <c r="D3" s="224"/>
      <c r="E3" s="224"/>
    </row>
    <row r="4" spans="1:5" ht="12.75">
      <c r="A4" s="224"/>
      <c r="B4" s="408" t="s">
        <v>204</v>
      </c>
      <c r="C4" s="224"/>
      <c r="D4" s="224"/>
      <c r="E4" s="224"/>
    </row>
    <row r="5" spans="1:5" ht="12.75">
      <c r="A5" s="224"/>
      <c r="B5" s="224" t="s">
        <v>43</v>
      </c>
      <c r="C5" s="224"/>
      <c r="D5" s="224"/>
      <c r="E5" s="224"/>
    </row>
    <row r="6" spans="1:5" ht="12.75">
      <c r="A6" s="391"/>
      <c r="B6" s="391"/>
      <c r="C6" s="391"/>
      <c r="D6" s="227"/>
      <c r="E6" s="392"/>
    </row>
    <row r="7" spans="1:5" ht="15.75">
      <c r="A7" s="226"/>
      <c r="B7" s="228" t="s">
        <v>1</v>
      </c>
      <c r="C7" s="229" t="s">
        <v>3</v>
      </c>
      <c r="D7" s="541" t="s">
        <v>4</v>
      </c>
      <c r="E7" s="542"/>
    </row>
    <row r="8" spans="1:5" ht="15.75">
      <c r="A8" s="230"/>
      <c r="B8" s="228" t="s">
        <v>2</v>
      </c>
      <c r="C8" s="229" t="s">
        <v>33</v>
      </c>
      <c r="D8" s="543" t="s">
        <v>138</v>
      </c>
      <c r="E8" s="544"/>
    </row>
    <row r="9" spans="1:5" ht="12.75">
      <c r="A9" s="231"/>
      <c r="B9" s="231"/>
      <c r="C9" s="231"/>
      <c r="D9" s="232"/>
      <c r="E9" s="233"/>
    </row>
    <row r="10" spans="1:5" ht="12.75">
      <c r="A10" s="231"/>
      <c r="B10" s="371" t="s">
        <v>70</v>
      </c>
      <c r="C10" s="231"/>
      <c r="D10" s="232">
        <f>-213535.98+81131.75</f>
        <v>-132404.23</v>
      </c>
      <c r="E10" s="233"/>
    </row>
    <row r="11" spans="1:5" ht="12.75">
      <c r="A11" s="234"/>
      <c r="B11" s="235" t="s">
        <v>5</v>
      </c>
      <c r="C11" s="234" t="s">
        <v>34</v>
      </c>
      <c r="D11" s="234">
        <v>5109.3</v>
      </c>
      <c r="E11" s="234"/>
    </row>
    <row r="12" spans="1:5" ht="12.75">
      <c r="A12" s="234"/>
      <c r="B12" s="235" t="s">
        <v>6</v>
      </c>
      <c r="C12" s="234" t="s">
        <v>34</v>
      </c>
      <c r="D12" s="234">
        <v>3548.4</v>
      </c>
      <c r="E12" s="234"/>
    </row>
    <row r="13" spans="1:5" ht="12.75">
      <c r="A13" s="234"/>
      <c r="B13" s="236" t="s">
        <v>27</v>
      </c>
      <c r="C13" s="234" t="s">
        <v>36</v>
      </c>
      <c r="D13" s="237">
        <v>401848.72</v>
      </c>
      <c r="E13" s="234"/>
    </row>
    <row r="14" spans="1:5" ht="12.75">
      <c r="A14" s="234"/>
      <c r="B14" s="234"/>
      <c r="C14" s="234"/>
      <c r="D14" s="234"/>
      <c r="E14" s="234"/>
    </row>
    <row r="15" spans="1:5" ht="15.75">
      <c r="A15" s="234"/>
      <c r="B15" s="238" t="s">
        <v>7</v>
      </c>
      <c r="C15" s="234"/>
      <c r="D15" s="234"/>
      <c r="E15" s="234"/>
    </row>
    <row r="16" spans="1:5" ht="12.75">
      <c r="A16" s="234">
        <v>1</v>
      </c>
      <c r="B16" s="234" t="s">
        <v>8</v>
      </c>
      <c r="C16" s="234" t="s">
        <v>9</v>
      </c>
      <c r="D16" s="234">
        <v>381535.47</v>
      </c>
      <c r="E16" s="234"/>
    </row>
    <row r="17" spans="1:5" ht="12.75">
      <c r="A17" s="234">
        <v>2</v>
      </c>
      <c r="B17" s="234" t="s">
        <v>82</v>
      </c>
      <c r="C17" s="234"/>
      <c r="D17" s="234">
        <v>4800</v>
      </c>
      <c r="E17" s="234"/>
    </row>
    <row r="18" spans="1:5" ht="15.75">
      <c r="A18" s="234"/>
      <c r="B18" s="238" t="s">
        <v>10</v>
      </c>
      <c r="C18" s="234"/>
      <c r="D18" s="237">
        <f>D16+D17</f>
        <v>386335.47</v>
      </c>
      <c r="E18" s="234"/>
    </row>
    <row r="19" spans="1:5" ht="15.75">
      <c r="A19" s="234"/>
      <c r="B19" s="238"/>
      <c r="C19" s="234"/>
      <c r="D19" s="237"/>
      <c r="E19" s="234"/>
    </row>
    <row r="20" spans="1:5" ht="15.75">
      <c r="A20" s="14"/>
      <c r="B20" s="17" t="s">
        <v>57</v>
      </c>
      <c r="C20" s="14"/>
      <c r="D20" s="20"/>
      <c r="E20" s="234"/>
    </row>
    <row r="21" spans="1:5" ht="12.75">
      <c r="A21" s="358" t="s">
        <v>58</v>
      </c>
      <c r="B21" s="16" t="s">
        <v>59</v>
      </c>
      <c r="C21" s="14"/>
      <c r="D21" s="19">
        <f>D22+D25+D26</f>
        <v>120160.49079999999</v>
      </c>
      <c r="E21" s="234"/>
    </row>
    <row r="22" spans="1:5" ht="12.75">
      <c r="A22" s="14">
        <v>1</v>
      </c>
      <c r="B22" s="22" t="s">
        <v>11</v>
      </c>
      <c r="C22" s="22" t="s">
        <v>9</v>
      </c>
      <c r="D22" s="21">
        <f>D23+D24</f>
        <v>98570.4</v>
      </c>
      <c r="E22" s="234"/>
    </row>
    <row r="23" spans="1:5" ht="12.75">
      <c r="A23" s="468" t="s">
        <v>126</v>
      </c>
      <c r="B23" s="14" t="s">
        <v>12</v>
      </c>
      <c r="C23" s="14"/>
      <c r="D23" s="14">
        <v>46594.36</v>
      </c>
      <c r="E23" s="234"/>
    </row>
    <row r="24" spans="1:5" ht="12.75">
      <c r="A24" s="468" t="s">
        <v>127</v>
      </c>
      <c r="B24" s="14" t="s">
        <v>13</v>
      </c>
      <c r="C24" s="14"/>
      <c r="D24" s="353">
        <v>51976.04</v>
      </c>
      <c r="E24" s="234"/>
    </row>
    <row r="25" spans="1:5" ht="12.75">
      <c r="A25" s="14">
        <v>2</v>
      </c>
      <c r="B25" s="22" t="s">
        <v>136</v>
      </c>
      <c r="C25" s="14"/>
      <c r="D25" s="18">
        <f>D22*20.2%</f>
        <v>19911.2208</v>
      </c>
      <c r="E25" s="234"/>
    </row>
    <row r="26" spans="1:5" ht="12.75">
      <c r="A26" s="14">
        <v>3</v>
      </c>
      <c r="B26" s="352" t="s">
        <v>15</v>
      </c>
      <c r="C26" s="14"/>
      <c r="D26" s="14">
        <v>1678.87</v>
      </c>
      <c r="E26" s="234"/>
    </row>
    <row r="27" spans="1:5" ht="12.75">
      <c r="A27" s="358" t="s">
        <v>61</v>
      </c>
      <c r="B27" s="359" t="s">
        <v>60</v>
      </c>
      <c r="C27" s="14"/>
      <c r="D27" s="19">
        <f>D28+D29+D30+D31</f>
        <v>112420.96788</v>
      </c>
      <c r="E27" s="234"/>
    </row>
    <row r="28" spans="1:5" ht="12.75">
      <c r="A28" s="14">
        <v>1</v>
      </c>
      <c r="B28" s="22" t="s">
        <v>95</v>
      </c>
      <c r="C28" s="14"/>
      <c r="D28" s="22">
        <v>86729.94</v>
      </c>
      <c r="E28" s="234"/>
    </row>
    <row r="29" spans="1:5" ht="12.75">
      <c r="A29" s="14">
        <v>2</v>
      </c>
      <c r="B29" s="22" t="s">
        <v>136</v>
      </c>
      <c r="C29" s="14"/>
      <c r="D29" s="21">
        <f>D28*20.2%</f>
        <v>17519.44788</v>
      </c>
      <c r="E29" s="234"/>
    </row>
    <row r="30" spans="1:5" ht="12.75">
      <c r="A30" s="14">
        <v>3</v>
      </c>
      <c r="B30" s="22" t="s">
        <v>15</v>
      </c>
      <c r="C30" s="14"/>
      <c r="D30" s="22">
        <v>1695.58</v>
      </c>
      <c r="E30" s="14"/>
    </row>
    <row r="31" spans="1:5" ht="12.75">
      <c r="A31" s="14">
        <v>4</v>
      </c>
      <c r="B31" s="22" t="s">
        <v>83</v>
      </c>
      <c r="C31" s="14"/>
      <c r="D31" s="22">
        <v>6476</v>
      </c>
      <c r="E31" s="14"/>
    </row>
    <row r="32" spans="1:5" ht="12.75">
      <c r="A32" s="358" t="s">
        <v>62</v>
      </c>
      <c r="B32" s="20" t="s">
        <v>16</v>
      </c>
      <c r="C32" s="14"/>
      <c r="D32" s="19">
        <f>D33+D34+D35+D36+D37+D38+D39+D40</f>
        <v>41722.6835</v>
      </c>
      <c r="E32" s="19"/>
    </row>
    <row r="33" spans="1:5" ht="12.75">
      <c r="A33" s="14"/>
      <c r="B33" s="14" t="s">
        <v>17</v>
      </c>
      <c r="C33" s="14"/>
      <c r="D33" s="18">
        <f>D18*5%</f>
        <v>19316.7735</v>
      </c>
      <c r="E33" s="14"/>
    </row>
    <row r="34" spans="1:5" ht="12.75">
      <c r="A34" s="14"/>
      <c r="B34" s="14" t="s">
        <v>18</v>
      </c>
      <c r="C34" s="14"/>
      <c r="D34" s="14">
        <v>3657.25</v>
      </c>
      <c r="E34" s="14"/>
    </row>
    <row r="35" spans="1:5" ht="12.75">
      <c r="A35" s="14"/>
      <c r="B35" s="22" t="s">
        <v>141</v>
      </c>
      <c r="C35" s="14"/>
      <c r="D35" s="14">
        <v>400</v>
      </c>
      <c r="E35" s="14"/>
    </row>
    <row r="36" spans="1:5" ht="12.75">
      <c r="A36" s="14"/>
      <c r="B36" s="14" t="s">
        <v>20</v>
      </c>
      <c r="C36" s="14"/>
      <c r="D36" s="18">
        <v>11203.19</v>
      </c>
      <c r="E36" s="18"/>
    </row>
    <row r="37" spans="1:5" ht="12.75">
      <c r="A37" s="14"/>
      <c r="B37" s="22" t="s">
        <v>28</v>
      </c>
      <c r="C37" s="14"/>
      <c r="D37" s="14">
        <v>479.36</v>
      </c>
      <c r="E37" s="14"/>
    </row>
    <row r="38" spans="1:5" ht="12.75">
      <c r="A38" s="14"/>
      <c r="B38" s="22" t="s">
        <v>112</v>
      </c>
      <c r="C38" s="14"/>
      <c r="D38" s="14">
        <v>1350</v>
      </c>
      <c r="E38" s="14"/>
    </row>
    <row r="39" spans="1:5" ht="12.75">
      <c r="A39" s="14"/>
      <c r="B39" s="352" t="s">
        <v>55</v>
      </c>
      <c r="C39" s="14"/>
      <c r="D39" s="14">
        <v>1443.7</v>
      </c>
      <c r="E39" s="14"/>
    </row>
    <row r="40" spans="1:5" ht="12.75">
      <c r="A40" s="14"/>
      <c r="B40" s="14" t="s">
        <v>21</v>
      </c>
      <c r="C40" s="14"/>
      <c r="D40" s="14">
        <v>3872.41</v>
      </c>
      <c r="E40" s="14"/>
    </row>
    <row r="41" spans="1:5" ht="12.75">
      <c r="A41" s="475" t="s">
        <v>64</v>
      </c>
      <c r="B41" s="377" t="s">
        <v>74</v>
      </c>
      <c r="C41" s="14"/>
      <c r="D41" s="20">
        <v>1455.48</v>
      </c>
      <c r="E41" s="14"/>
    </row>
    <row r="42" spans="1:5" ht="12.75">
      <c r="A42" s="475" t="s">
        <v>65</v>
      </c>
      <c r="B42" s="20" t="s">
        <v>92</v>
      </c>
      <c r="C42" s="14"/>
      <c r="D42" s="19">
        <v>91568.5</v>
      </c>
      <c r="E42" s="19"/>
    </row>
    <row r="43" spans="1:5" ht="12.75">
      <c r="A43" s="475" t="s">
        <v>66</v>
      </c>
      <c r="B43" s="20" t="s">
        <v>23</v>
      </c>
      <c r="C43" s="14"/>
      <c r="D43" s="19">
        <f>D21+D27+D32+D41+D42</f>
        <v>367328.12217999995</v>
      </c>
      <c r="E43" s="14"/>
    </row>
    <row r="44" spans="1:5" ht="12.75">
      <c r="A44" s="475" t="s">
        <v>67</v>
      </c>
      <c r="B44" s="14" t="s">
        <v>32</v>
      </c>
      <c r="C44" s="14"/>
      <c r="D44" s="19">
        <f>D18*6%</f>
        <v>23180.1282</v>
      </c>
      <c r="E44" s="14"/>
    </row>
    <row r="45" spans="1:5" ht="12.75">
      <c r="A45" s="475" t="s">
        <v>68</v>
      </c>
      <c r="B45" s="20" t="s">
        <v>24</v>
      </c>
      <c r="C45" s="14"/>
      <c r="D45" s="19">
        <f>D43+D44</f>
        <v>390508.2503799999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475" t="s">
        <v>69</v>
      </c>
      <c r="B47" s="20" t="s">
        <v>142</v>
      </c>
      <c r="C47" s="14"/>
      <c r="D47" s="19">
        <f>D18-D45</f>
        <v>-4172.780379999953</v>
      </c>
      <c r="E47" s="14"/>
    </row>
    <row r="48" spans="1:5" ht="12.75">
      <c r="A48" s="475" t="s">
        <v>165</v>
      </c>
      <c r="B48" s="20" t="s">
        <v>44</v>
      </c>
      <c r="C48" s="14"/>
      <c r="D48" s="19">
        <f>D10+D47</f>
        <v>-136577.01037999996</v>
      </c>
      <c r="E48" s="14"/>
    </row>
    <row r="49" spans="1:5" ht="12.75">
      <c r="A49" s="3"/>
      <c r="B49" s="377"/>
      <c r="C49" s="3"/>
      <c r="D49" s="380"/>
      <c r="E49" s="3"/>
    </row>
    <row r="50" spans="1:5" ht="12.75">
      <c r="A50" s="3"/>
      <c r="B50" s="377"/>
      <c r="C50" s="3"/>
      <c r="D50" s="380"/>
      <c r="E50" s="3"/>
    </row>
    <row r="51" spans="1:5" ht="12.75">
      <c r="A51" s="1"/>
      <c r="B51" s="1" t="s">
        <v>30</v>
      </c>
      <c r="C51" s="1"/>
      <c r="D51" s="1" t="s">
        <v>0</v>
      </c>
      <c r="E51" s="1"/>
    </row>
    <row r="52" spans="1:5" ht="12.75">
      <c r="A52" s="1"/>
      <c r="B52" s="1" t="s">
        <v>31</v>
      </c>
      <c r="C52" s="1"/>
      <c r="D52" s="1" t="s">
        <v>26</v>
      </c>
      <c r="E52" s="1"/>
    </row>
  </sheetData>
  <sheetProtection/>
  <mergeCells count="2">
    <mergeCell ref="D7:E7"/>
    <mergeCell ref="D8:E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H51" sqref="H51"/>
    </sheetView>
  </sheetViews>
  <sheetFormatPr defaultColWidth="9.00390625" defaultRowHeight="12.75"/>
  <cols>
    <col min="1" max="1" width="5.375" style="0" customWidth="1"/>
    <col min="2" max="2" width="40.25390625" style="0" customWidth="1"/>
    <col min="4" max="4" width="12.25390625" style="0" customWidth="1"/>
    <col min="5" max="5" width="13.375" style="0" customWidth="1"/>
  </cols>
  <sheetData>
    <row r="1" spans="1:5" ht="15.75">
      <c r="A1" s="1"/>
      <c r="B1" s="2" t="s">
        <v>25</v>
      </c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 t="s">
        <v>71</v>
      </c>
      <c r="C3" s="1"/>
      <c r="D3" s="1"/>
      <c r="E3" s="1"/>
    </row>
    <row r="4" spans="1:5" ht="12.75">
      <c r="A4" s="1"/>
      <c r="B4" s="342" t="s">
        <v>180</v>
      </c>
      <c r="C4" s="1"/>
      <c r="D4" s="1"/>
      <c r="E4" s="1"/>
    </row>
    <row r="5" spans="1:5" ht="12.75">
      <c r="A5" s="1"/>
      <c r="B5" s="1" t="s">
        <v>38</v>
      </c>
      <c r="C5" s="1"/>
      <c r="D5" s="1"/>
      <c r="E5" s="1"/>
    </row>
    <row r="6" spans="1:5" ht="12.75">
      <c r="A6" s="4"/>
      <c r="B6" s="4"/>
      <c r="C6" s="4"/>
      <c r="D6" s="4"/>
      <c r="E6" s="5"/>
    </row>
    <row r="7" spans="1:6" ht="12.75">
      <c r="A7" s="344"/>
      <c r="B7" s="344"/>
      <c r="C7" s="344"/>
      <c r="D7" s="3"/>
      <c r="E7" s="7"/>
      <c r="F7" s="317"/>
    </row>
    <row r="8" spans="1:5" ht="15.75">
      <c r="A8" s="6"/>
      <c r="B8" s="8" t="s">
        <v>1</v>
      </c>
      <c r="C8" s="9" t="s">
        <v>3</v>
      </c>
      <c r="D8" s="473" t="s">
        <v>4</v>
      </c>
      <c r="E8" s="474"/>
    </row>
    <row r="9" spans="1:5" ht="15.75">
      <c r="A9" s="10"/>
      <c r="B9" s="8" t="s">
        <v>2</v>
      </c>
      <c r="C9" s="9" t="s">
        <v>33</v>
      </c>
      <c r="D9" s="471" t="s">
        <v>106</v>
      </c>
      <c r="E9" s="472"/>
    </row>
    <row r="10" spans="1:5" ht="12.75">
      <c r="A10" s="11"/>
      <c r="B10" s="11"/>
      <c r="C10" s="11"/>
      <c r="D10" s="12"/>
      <c r="E10" s="13"/>
    </row>
    <row r="11" spans="1:5" ht="12.75">
      <c r="A11" s="11"/>
      <c r="B11" s="357" t="s">
        <v>56</v>
      </c>
      <c r="C11" s="11"/>
      <c r="D11" s="14">
        <v>-82110.77</v>
      </c>
      <c r="E11" s="13"/>
    </row>
    <row r="12" spans="1:5" ht="12.75">
      <c r="A12" s="14"/>
      <c r="B12" s="15" t="s">
        <v>5</v>
      </c>
      <c r="C12" s="14" t="s">
        <v>34</v>
      </c>
      <c r="D12" s="14">
        <v>13078.4</v>
      </c>
      <c r="E12" s="14"/>
    </row>
    <row r="13" spans="1:5" ht="12.75">
      <c r="A13" s="14"/>
      <c r="B13" s="15" t="s">
        <v>6</v>
      </c>
      <c r="C13" s="14" t="s">
        <v>34</v>
      </c>
      <c r="D13" s="14">
        <v>13078.4</v>
      </c>
      <c r="E13" s="14"/>
    </row>
    <row r="14" spans="1:5" ht="12.75">
      <c r="A14" s="14"/>
      <c r="B14" s="16" t="s">
        <v>27</v>
      </c>
      <c r="C14" s="14" t="s">
        <v>9</v>
      </c>
      <c r="D14" s="20">
        <f>2092008.9+15253.66</f>
        <v>2107262.56</v>
      </c>
      <c r="E14" s="14"/>
    </row>
    <row r="15" spans="1:5" ht="12.75">
      <c r="A15" s="14"/>
      <c r="B15" s="14"/>
      <c r="C15" s="14"/>
      <c r="D15" s="14"/>
      <c r="E15" s="14"/>
    </row>
    <row r="16" spans="1:5" ht="15.75">
      <c r="A16" s="14"/>
      <c r="B16" s="17" t="s">
        <v>7</v>
      </c>
      <c r="C16" s="14"/>
      <c r="D16" s="14"/>
      <c r="E16" s="14"/>
    </row>
    <row r="17" spans="1:5" ht="12.75">
      <c r="A17" s="14">
        <v>1</v>
      </c>
      <c r="B17" s="14" t="s">
        <v>8</v>
      </c>
      <c r="C17" s="14" t="s">
        <v>9</v>
      </c>
      <c r="D17" s="20">
        <f>2165410.4+21838.47</f>
        <v>2187248.87</v>
      </c>
      <c r="E17" s="14"/>
    </row>
    <row r="18" spans="1:5" ht="12.75">
      <c r="A18" s="14">
        <v>2</v>
      </c>
      <c r="B18" s="22" t="s">
        <v>82</v>
      </c>
      <c r="C18" s="14"/>
      <c r="D18" s="20">
        <v>1800</v>
      </c>
      <c r="E18" s="14"/>
    </row>
    <row r="19" spans="1:5" ht="15.75">
      <c r="A19" s="14"/>
      <c r="B19" s="17" t="s">
        <v>10</v>
      </c>
      <c r="C19" s="14"/>
      <c r="D19" s="19">
        <f>D17+D18</f>
        <v>2189048.87</v>
      </c>
      <c r="E19" s="14"/>
    </row>
    <row r="20" spans="1:5" ht="15.75">
      <c r="A20" s="14"/>
      <c r="B20" s="17"/>
      <c r="C20" s="14"/>
      <c r="D20" s="19"/>
      <c r="E20" s="14"/>
    </row>
    <row r="21" spans="1:5" ht="15.75">
      <c r="A21" s="14"/>
      <c r="B21" s="17" t="s">
        <v>57</v>
      </c>
      <c r="C21" s="14"/>
      <c r="D21" s="20"/>
      <c r="E21" s="14"/>
    </row>
    <row r="22" spans="1:5" ht="12.75">
      <c r="A22" s="358" t="s">
        <v>58</v>
      </c>
      <c r="B22" s="16" t="s">
        <v>59</v>
      </c>
      <c r="C22" s="14"/>
      <c r="D22" s="19">
        <f>D23+D29+D28+D27+D26</f>
        <v>457889.4436799999</v>
      </c>
      <c r="E22" s="14"/>
    </row>
    <row r="23" spans="1:5" ht="12.75">
      <c r="A23" s="14">
        <v>1</v>
      </c>
      <c r="B23" s="22" t="s">
        <v>11</v>
      </c>
      <c r="C23" s="22" t="s">
        <v>9</v>
      </c>
      <c r="D23" s="21">
        <f>D24+D25</f>
        <v>371152.83999999997</v>
      </c>
      <c r="E23" s="14"/>
    </row>
    <row r="24" spans="1:5" ht="12.75">
      <c r="A24" s="468" t="s">
        <v>126</v>
      </c>
      <c r="B24" s="14" t="s">
        <v>12</v>
      </c>
      <c r="C24" s="14"/>
      <c r="D24" s="14">
        <v>109887.5</v>
      </c>
      <c r="E24" s="14"/>
    </row>
    <row r="25" spans="1:5" ht="12.75">
      <c r="A25" s="468" t="s">
        <v>127</v>
      </c>
      <c r="B25" s="14" t="s">
        <v>13</v>
      </c>
      <c r="C25" s="14"/>
      <c r="D25" s="353">
        <v>261265.34</v>
      </c>
      <c r="E25" s="14"/>
    </row>
    <row r="26" spans="1:5" ht="12.75">
      <c r="A26" s="14">
        <v>2</v>
      </c>
      <c r="B26" s="22" t="s">
        <v>136</v>
      </c>
      <c r="C26" s="14"/>
      <c r="D26" s="18">
        <f>D23*20.2%</f>
        <v>74972.87367999999</v>
      </c>
      <c r="E26" s="14"/>
    </row>
    <row r="27" spans="1:5" ht="12.75">
      <c r="A27" s="14">
        <v>3</v>
      </c>
      <c r="B27" s="22" t="s">
        <v>156</v>
      </c>
      <c r="C27" s="14"/>
      <c r="D27" s="14">
        <v>125</v>
      </c>
      <c r="E27" s="14"/>
    </row>
    <row r="28" spans="1:5" ht="12.75">
      <c r="A28" s="14">
        <v>4</v>
      </c>
      <c r="B28" s="22" t="s">
        <v>143</v>
      </c>
      <c r="C28" s="14"/>
      <c r="D28" s="14">
        <v>5171.54</v>
      </c>
      <c r="E28" s="14"/>
    </row>
    <row r="29" spans="1:5" ht="12.75">
      <c r="A29" s="14">
        <v>5</v>
      </c>
      <c r="B29" s="352" t="s">
        <v>15</v>
      </c>
      <c r="C29" s="14"/>
      <c r="D29" s="14">
        <v>6467.19</v>
      </c>
      <c r="E29" s="14"/>
    </row>
    <row r="30" spans="1:5" ht="12.75">
      <c r="A30" s="358" t="s">
        <v>61</v>
      </c>
      <c r="B30" s="359" t="s">
        <v>60</v>
      </c>
      <c r="C30" s="14"/>
      <c r="D30" s="19">
        <f>D31+D32+D33</f>
        <v>395357.7841</v>
      </c>
      <c r="E30" s="14"/>
    </row>
    <row r="31" spans="1:5" ht="12.75">
      <c r="A31" s="14">
        <v>1</v>
      </c>
      <c r="B31" s="22" t="s">
        <v>95</v>
      </c>
      <c r="C31" s="14"/>
      <c r="D31" s="22">
        <v>319662.05</v>
      </c>
      <c r="E31" s="14"/>
    </row>
    <row r="32" spans="1:5" ht="12.75">
      <c r="A32" s="14">
        <v>2</v>
      </c>
      <c r="B32" s="22" t="s">
        <v>136</v>
      </c>
      <c r="C32" s="14"/>
      <c r="D32" s="21">
        <f>D31*20.2%</f>
        <v>64571.734099999994</v>
      </c>
      <c r="E32" s="18"/>
    </row>
    <row r="33" spans="1:5" ht="12.75">
      <c r="A33" s="14">
        <v>3</v>
      </c>
      <c r="B33" s="22" t="s">
        <v>83</v>
      </c>
      <c r="C33" s="14"/>
      <c r="D33" s="22">
        <v>11124</v>
      </c>
      <c r="E33" s="14"/>
    </row>
    <row r="34" spans="1:5" ht="12.75">
      <c r="A34" s="358" t="s">
        <v>62</v>
      </c>
      <c r="B34" s="20" t="s">
        <v>16</v>
      </c>
      <c r="C34" s="14"/>
      <c r="D34" s="19">
        <f>D35+D36+D37+D38+D39+D40+D41+D42</f>
        <v>204091.38689000002</v>
      </c>
      <c r="E34" s="19"/>
    </row>
    <row r="35" spans="1:5" ht="12.75">
      <c r="A35" s="14"/>
      <c r="B35" s="14" t="s">
        <v>17</v>
      </c>
      <c r="C35" s="14"/>
      <c r="D35" s="18">
        <f>D19*4.7%</f>
        <v>102885.29689000001</v>
      </c>
      <c r="E35" s="14"/>
    </row>
    <row r="36" spans="1:5" ht="12.75">
      <c r="A36" s="14"/>
      <c r="B36" s="14" t="s">
        <v>18</v>
      </c>
      <c r="C36" s="14"/>
      <c r="D36" s="14">
        <v>737.66</v>
      </c>
      <c r="E36" s="14"/>
    </row>
    <row r="37" spans="1:5" ht="12.75">
      <c r="A37" s="14"/>
      <c r="B37" s="14" t="s">
        <v>20</v>
      </c>
      <c r="C37" s="14"/>
      <c r="D37" s="18">
        <v>41291.79</v>
      </c>
      <c r="E37" s="18"/>
    </row>
    <row r="38" spans="1:5" ht="12.75">
      <c r="A38" s="14"/>
      <c r="B38" s="352" t="s">
        <v>28</v>
      </c>
      <c r="C38" s="14"/>
      <c r="D38" s="14">
        <v>583.04</v>
      </c>
      <c r="E38" s="14"/>
    </row>
    <row r="39" spans="1:5" ht="12.75">
      <c r="A39" s="14"/>
      <c r="B39" s="22" t="s">
        <v>148</v>
      </c>
      <c r="C39" s="14"/>
      <c r="D39" s="14">
        <v>15000</v>
      </c>
      <c r="E39" s="14"/>
    </row>
    <row r="40" spans="1:5" ht="12.75">
      <c r="A40" s="14"/>
      <c r="B40" s="14" t="s">
        <v>80</v>
      </c>
      <c r="C40" s="14"/>
      <c r="D40" s="14">
        <v>24000</v>
      </c>
      <c r="E40" s="14"/>
    </row>
    <row r="41" spans="1:5" ht="12.75">
      <c r="A41" s="14"/>
      <c r="B41" s="352" t="s">
        <v>55</v>
      </c>
      <c r="C41" s="14"/>
      <c r="D41" s="14">
        <v>5321</v>
      </c>
      <c r="E41" s="14"/>
    </row>
    <row r="42" spans="1:5" ht="12.75">
      <c r="A42" s="14"/>
      <c r="B42" s="14" t="s">
        <v>21</v>
      </c>
      <c r="C42" s="14"/>
      <c r="D42" s="14">
        <v>14272.6</v>
      </c>
      <c r="E42" s="14"/>
    </row>
    <row r="43" spans="1:5" ht="12.75">
      <c r="A43" s="475" t="s">
        <v>64</v>
      </c>
      <c r="B43" s="20" t="s">
        <v>74</v>
      </c>
      <c r="C43" s="20"/>
      <c r="D43" s="20">
        <f>81938.7+19088.91</f>
        <v>101027.61</v>
      </c>
      <c r="E43" s="14"/>
    </row>
    <row r="44" spans="1:5" ht="12.75">
      <c r="A44" s="475" t="s">
        <v>65</v>
      </c>
      <c r="B44" s="20" t="s">
        <v>108</v>
      </c>
      <c r="C44" s="14"/>
      <c r="D44" s="20">
        <v>155193.8</v>
      </c>
      <c r="E44" s="14"/>
    </row>
    <row r="45" spans="1:5" ht="12.75">
      <c r="A45" s="475" t="s">
        <v>66</v>
      </c>
      <c r="B45" s="20" t="s">
        <v>92</v>
      </c>
      <c r="C45" s="14"/>
      <c r="D45" s="19">
        <v>470095.3</v>
      </c>
      <c r="E45" s="19"/>
    </row>
    <row r="46" spans="1:5" ht="12.75">
      <c r="A46" s="475" t="s">
        <v>67</v>
      </c>
      <c r="B46" s="20" t="s">
        <v>23</v>
      </c>
      <c r="C46" s="14"/>
      <c r="D46" s="19">
        <f>D22+D30+D34+D43+D44+D45</f>
        <v>1783655.32467</v>
      </c>
      <c r="E46" s="14"/>
    </row>
    <row r="47" spans="1:5" ht="12.75">
      <c r="A47" s="475" t="s">
        <v>68</v>
      </c>
      <c r="B47" s="14" t="s">
        <v>32</v>
      </c>
      <c r="C47" s="14"/>
      <c r="D47" s="19">
        <f>D19*6%</f>
        <v>131342.9322</v>
      </c>
      <c r="E47" s="14"/>
    </row>
    <row r="48" spans="1:5" ht="12.75">
      <c r="A48" s="475" t="s">
        <v>69</v>
      </c>
      <c r="B48" s="20" t="s">
        <v>24</v>
      </c>
      <c r="C48" s="14"/>
      <c r="D48" s="19">
        <f>D46+D47</f>
        <v>1914998.25687</v>
      </c>
      <c r="E48" s="14"/>
    </row>
    <row r="49" spans="1:5" ht="12.75">
      <c r="A49" s="15"/>
      <c r="B49" s="14"/>
      <c r="C49" s="14"/>
      <c r="D49" s="14"/>
      <c r="E49" s="14"/>
    </row>
    <row r="50" spans="1:5" ht="12.75">
      <c r="A50" s="475" t="s">
        <v>165</v>
      </c>
      <c r="B50" s="20" t="s">
        <v>142</v>
      </c>
      <c r="C50" s="14"/>
      <c r="D50" s="19">
        <f>D19-D48</f>
        <v>274050.6131300002</v>
      </c>
      <c r="E50" s="14"/>
    </row>
    <row r="51" spans="1:5" ht="12.75">
      <c r="A51" s="475" t="s">
        <v>190</v>
      </c>
      <c r="B51" s="20" t="s">
        <v>44</v>
      </c>
      <c r="C51" s="14"/>
      <c r="D51" s="19">
        <f>D11+D50</f>
        <v>191939.84313000017</v>
      </c>
      <c r="E51" s="14"/>
    </row>
    <row r="52" spans="1:5" ht="12.75">
      <c r="A52" s="3"/>
      <c r="B52" s="377"/>
      <c r="C52" s="3"/>
      <c r="D52" s="380"/>
      <c r="E52" s="3"/>
    </row>
    <row r="53" spans="1:5" ht="12.75">
      <c r="A53" s="1"/>
      <c r="B53" s="1" t="s">
        <v>30</v>
      </c>
      <c r="C53" s="1"/>
      <c r="D53" s="1" t="s">
        <v>0</v>
      </c>
      <c r="E53" s="1"/>
    </row>
    <row r="54" spans="1:5" ht="12.75">
      <c r="A54" s="1"/>
      <c r="B54" s="1" t="s">
        <v>31</v>
      </c>
      <c r="C54" s="1"/>
      <c r="D54" s="1" t="s">
        <v>26</v>
      </c>
      <c r="E54" s="1"/>
    </row>
    <row r="55" ht="12.75">
      <c r="G55" s="1"/>
    </row>
    <row r="56" spans="8:17" ht="12.75">
      <c r="H56" s="1"/>
      <c r="I56" s="1"/>
      <c r="J56" s="1"/>
      <c r="M56" s="1"/>
      <c r="N56" s="1"/>
      <c r="O56" s="1"/>
      <c r="P56" s="1"/>
      <c r="Q56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4" spans="3:5" ht="12.75">
      <c r="C64" s="1"/>
      <c r="E64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1">
      <selection activeCell="D38" sqref="D38"/>
    </sheetView>
  </sheetViews>
  <sheetFormatPr defaultColWidth="9.00390625" defaultRowHeight="12.75"/>
  <cols>
    <col min="1" max="1" width="5.75390625" style="0" customWidth="1"/>
    <col min="2" max="2" width="41.00390625" style="0" customWidth="1"/>
    <col min="3" max="3" width="6.75390625" style="0" customWidth="1"/>
    <col min="4" max="4" width="11.625" style="0" customWidth="1"/>
    <col min="5" max="5" width="12.75390625" style="0" customWidth="1"/>
    <col min="7" max="7" width="10.875" style="0" customWidth="1"/>
    <col min="8" max="8" width="16.125" style="0" customWidth="1"/>
    <col min="10" max="10" width="10.125" style="0" bestFit="1" customWidth="1"/>
    <col min="13" max="13" width="4.625" style="0" customWidth="1"/>
    <col min="14" max="14" width="40.00390625" style="0" customWidth="1"/>
    <col min="16" max="16" width="11.125" style="0" customWidth="1"/>
    <col min="20" max="20" width="43.625" style="0" customWidth="1"/>
    <col min="22" max="22" width="14.00390625" style="0" customWidth="1"/>
  </cols>
  <sheetData>
    <row r="1" spans="1:5" ht="15.75">
      <c r="A1" s="239"/>
      <c r="B1" s="240" t="s">
        <v>25</v>
      </c>
      <c r="C1" s="239"/>
      <c r="D1" s="239"/>
      <c r="E1" s="239"/>
    </row>
    <row r="2" spans="1:5" ht="12.75">
      <c r="A2" s="239"/>
      <c r="B2" s="239"/>
      <c r="C2" s="239"/>
      <c r="D2" s="239"/>
      <c r="E2" s="239"/>
    </row>
    <row r="3" spans="1:5" ht="12.75">
      <c r="A3" s="239"/>
      <c r="B3" s="239" t="s">
        <v>29</v>
      </c>
      <c r="C3" s="239"/>
      <c r="D3" s="239"/>
      <c r="E3" s="239"/>
    </row>
    <row r="4" spans="1:5" ht="12.75">
      <c r="A4" s="239"/>
      <c r="B4" s="409" t="s">
        <v>205</v>
      </c>
      <c r="C4" s="239"/>
      <c r="D4" s="239"/>
      <c r="E4" s="239"/>
    </row>
    <row r="5" spans="1:5" ht="12.75">
      <c r="A5" s="239"/>
      <c r="B5" s="239" t="s">
        <v>42</v>
      </c>
      <c r="C5" s="239"/>
      <c r="D5" s="239"/>
      <c r="E5" s="239"/>
    </row>
    <row r="6" spans="1:5" ht="12.75">
      <c r="A6" s="393"/>
      <c r="B6" s="393"/>
      <c r="C6" s="393"/>
      <c r="D6" s="242"/>
      <c r="E6" s="394"/>
    </row>
    <row r="7" spans="1:5" ht="15.75">
      <c r="A7" s="241"/>
      <c r="B7" s="243" t="s">
        <v>1</v>
      </c>
      <c r="C7" s="244" t="s">
        <v>3</v>
      </c>
      <c r="D7" s="547" t="s">
        <v>4</v>
      </c>
      <c r="E7" s="548"/>
    </row>
    <row r="8" spans="1:5" ht="15.75">
      <c r="A8" s="245"/>
      <c r="B8" s="243" t="s">
        <v>2</v>
      </c>
      <c r="C8" s="244" t="s">
        <v>33</v>
      </c>
      <c r="D8" s="545" t="s">
        <v>146</v>
      </c>
      <c r="E8" s="546"/>
    </row>
    <row r="9" spans="1:5" ht="12.75">
      <c r="A9" s="246"/>
      <c r="B9" s="246"/>
      <c r="C9" s="246"/>
      <c r="D9" s="247"/>
      <c r="E9" s="248"/>
    </row>
    <row r="10" spans="1:5" ht="12.75">
      <c r="A10" s="246"/>
      <c r="B10" s="372" t="s">
        <v>70</v>
      </c>
      <c r="C10" s="246"/>
      <c r="D10" s="247">
        <v>-32537.42</v>
      </c>
      <c r="E10" s="248"/>
    </row>
    <row r="11" spans="1:5" ht="12.75">
      <c r="A11" s="249"/>
      <c r="B11" s="250" t="s">
        <v>5</v>
      </c>
      <c r="C11" s="249" t="s">
        <v>34</v>
      </c>
      <c r="D11" s="249">
        <v>5631.46</v>
      </c>
      <c r="E11" s="249"/>
    </row>
    <row r="12" spans="1:5" ht="12.75">
      <c r="A12" s="249"/>
      <c r="B12" s="250" t="s">
        <v>6</v>
      </c>
      <c r="C12" s="249" t="s">
        <v>34</v>
      </c>
      <c r="D12" s="249">
        <v>4522.7</v>
      </c>
      <c r="E12" s="249"/>
    </row>
    <row r="13" spans="1:5" ht="12.75">
      <c r="A13" s="249"/>
      <c r="B13" s="251" t="s">
        <v>27</v>
      </c>
      <c r="C13" s="249" t="s">
        <v>36</v>
      </c>
      <c r="D13" s="252">
        <v>115773.44</v>
      </c>
      <c r="E13" s="249"/>
    </row>
    <row r="14" spans="1:5" ht="12.75">
      <c r="A14" s="249"/>
      <c r="B14" s="249"/>
      <c r="C14" s="249"/>
      <c r="D14" s="249"/>
      <c r="E14" s="249"/>
    </row>
    <row r="15" spans="1:5" ht="15.75">
      <c r="A15" s="249"/>
      <c r="B15" s="253" t="s">
        <v>7</v>
      </c>
      <c r="C15" s="249"/>
      <c r="D15" s="249"/>
      <c r="E15" s="249"/>
    </row>
    <row r="16" spans="1:5" ht="12.75">
      <c r="A16" s="249">
        <v>1</v>
      </c>
      <c r="B16" s="249" t="s">
        <v>8</v>
      </c>
      <c r="C16" s="249" t="s">
        <v>9</v>
      </c>
      <c r="D16" s="249">
        <v>111968.67</v>
      </c>
      <c r="E16" s="249"/>
    </row>
    <row r="17" spans="1:5" ht="12.75">
      <c r="A17" s="249">
        <v>2</v>
      </c>
      <c r="B17" s="249" t="s">
        <v>82</v>
      </c>
      <c r="C17" s="249"/>
      <c r="D17" s="249">
        <v>8400</v>
      </c>
      <c r="E17" s="249"/>
    </row>
    <row r="18" spans="1:5" ht="15.75">
      <c r="A18" s="249"/>
      <c r="B18" s="253" t="s">
        <v>10</v>
      </c>
      <c r="C18" s="249"/>
      <c r="D18" s="252">
        <f>D16+D17</f>
        <v>120368.67</v>
      </c>
      <c r="E18" s="249"/>
    </row>
    <row r="19" spans="1:5" ht="15.75">
      <c r="A19" s="249"/>
      <c r="B19" s="253"/>
      <c r="C19" s="249"/>
      <c r="D19" s="252"/>
      <c r="E19" s="249"/>
    </row>
    <row r="20" spans="1:5" ht="15.75">
      <c r="A20" s="14"/>
      <c r="B20" s="17" t="s">
        <v>57</v>
      </c>
      <c r="C20" s="14"/>
      <c r="D20" s="20"/>
      <c r="E20" s="249"/>
    </row>
    <row r="21" spans="1:5" ht="12.75">
      <c r="A21" s="358" t="s">
        <v>58</v>
      </c>
      <c r="B21" s="16" t="s">
        <v>59</v>
      </c>
      <c r="C21" s="14"/>
      <c r="D21" s="19">
        <f>D22+D23+D24</f>
        <v>11178.66412</v>
      </c>
      <c r="E21" s="249"/>
    </row>
    <row r="22" spans="1:5" ht="12.75">
      <c r="A22" s="14">
        <v>1</v>
      </c>
      <c r="B22" s="22" t="s">
        <v>11</v>
      </c>
      <c r="C22" s="22" t="s">
        <v>9</v>
      </c>
      <c r="D22" s="22">
        <v>9196.06</v>
      </c>
      <c r="E22" s="249"/>
    </row>
    <row r="23" spans="1:5" ht="12.75">
      <c r="A23" s="14">
        <v>2</v>
      </c>
      <c r="B23" s="22" t="s">
        <v>136</v>
      </c>
      <c r="C23" s="14"/>
      <c r="D23" s="18">
        <f>D22*20.2%</f>
        <v>1857.6041199999997</v>
      </c>
      <c r="E23" s="249"/>
    </row>
    <row r="24" spans="1:5" ht="12.75">
      <c r="A24" s="14">
        <v>3</v>
      </c>
      <c r="B24" s="22" t="s">
        <v>156</v>
      </c>
      <c r="C24" s="14"/>
      <c r="D24" s="353">
        <v>125</v>
      </c>
      <c r="E24" s="249"/>
    </row>
    <row r="25" spans="1:5" ht="12.75">
      <c r="A25" s="358" t="s">
        <v>61</v>
      </c>
      <c r="B25" s="359" t="s">
        <v>60</v>
      </c>
      <c r="C25" s="14"/>
      <c r="D25" s="19">
        <f>D26+D28+D27</f>
        <v>42913.79338</v>
      </c>
      <c r="E25" s="249"/>
    </row>
    <row r="26" spans="1:5" ht="12.75">
      <c r="A26" s="14">
        <v>1</v>
      </c>
      <c r="B26" s="22" t="s">
        <v>95</v>
      </c>
      <c r="C26" s="14"/>
      <c r="D26" s="22">
        <v>35497.69</v>
      </c>
      <c r="E26" s="249"/>
    </row>
    <row r="27" spans="1:5" ht="12.75">
      <c r="A27" s="14">
        <v>2</v>
      </c>
      <c r="B27" s="22" t="s">
        <v>136</v>
      </c>
      <c r="C27" s="14"/>
      <c r="D27" s="21">
        <f>D26*20.2%</f>
        <v>7170.53338</v>
      </c>
      <c r="E27" s="249"/>
    </row>
    <row r="28" spans="1:5" ht="12.75">
      <c r="A28" s="14">
        <v>3</v>
      </c>
      <c r="B28" s="22" t="s">
        <v>15</v>
      </c>
      <c r="C28" s="14"/>
      <c r="D28" s="22">
        <v>245.57</v>
      </c>
      <c r="E28" s="249"/>
    </row>
    <row r="29" spans="1:5" ht="12.75">
      <c r="A29" s="358" t="s">
        <v>62</v>
      </c>
      <c r="B29" s="20" t="s">
        <v>16</v>
      </c>
      <c r="C29" s="14"/>
      <c r="D29" s="19">
        <f>D30+D31+D32+D33+D34+D35+D36</f>
        <v>47813.8235</v>
      </c>
      <c r="E29" s="19"/>
    </row>
    <row r="30" spans="1:5" ht="12.75">
      <c r="A30" s="14"/>
      <c r="B30" s="14" t="s">
        <v>17</v>
      </c>
      <c r="C30" s="14"/>
      <c r="D30" s="18">
        <f>D18*5%</f>
        <v>6018.4335</v>
      </c>
      <c r="E30" s="14"/>
    </row>
    <row r="31" spans="1:5" ht="12.75">
      <c r="A31" s="14"/>
      <c r="B31" s="14" t="s">
        <v>18</v>
      </c>
      <c r="C31" s="14"/>
      <c r="D31" s="14">
        <v>2133.18</v>
      </c>
      <c r="E31" s="14"/>
    </row>
    <row r="32" spans="1:5" ht="12.75">
      <c r="A32" s="14"/>
      <c r="B32" s="14" t="s">
        <v>20</v>
      </c>
      <c r="C32" s="14"/>
      <c r="D32" s="18">
        <v>4470.58</v>
      </c>
      <c r="E32" s="18"/>
    </row>
    <row r="33" spans="1:5" ht="12.75">
      <c r="A33" s="14"/>
      <c r="B33" s="22" t="s">
        <v>141</v>
      </c>
      <c r="C33" s="14"/>
      <c r="D33" s="14">
        <v>898</v>
      </c>
      <c r="E33" s="14"/>
    </row>
    <row r="34" spans="1:5" ht="12.75">
      <c r="A34" s="14"/>
      <c r="B34" s="352" t="s">
        <v>55</v>
      </c>
      <c r="C34" s="14"/>
      <c r="D34" s="14">
        <v>333.32</v>
      </c>
      <c r="E34" s="14"/>
    </row>
    <row r="35" spans="1:5" ht="12.75">
      <c r="A35" s="14"/>
      <c r="B35" s="22" t="s">
        <v>99</v>
      </c>
      <c r="C35" s="14"/>
      <c r="D35" s="14">
        <v>31995.06</v>
      </c>
      <c r="E35" s="14"/>
    </row>
    <row r="36" spans="1:5" ht="12.75">
      <c r="A36" s="14"/>
      <c r="B36" s="14" t="s">
        <v>21</v>
      </c>
      <c r="C36" s="14"/>
      <c r="D36" s="14">
        <v>1965.25</v>
      </c>
      <c r="E36" s="14"/>
    </row>
    <row r="37" spans="1:5" ht="12.75">
      <c r="A37" s="14">
        <v>4</v>
      </c>
      <c r="B37" s="20" t="s">
        <v>92</v>
      </c>
      <c r="C37" s="14"/>
      <c r="D37" s="19">
        <v>38092.46</v>
      </c>
      <c r="E37" s="19"/>
    </row>
    <row r="38" spans="1:5" ht="12.75">
      <c r="A38" s="14">
        <v>5</v>
      </c>
      <c r="B38" s="20" t="s">
        <v>23</v>
      </c>
      <c r="C38" s="14"/>
      <c r="D38" s="19">
        <f>D21+D25+D29+D37</f>
        <v>139998.741</v>
      </c>
      <c r="E38" s="14"/>
    </row>
    <row r="39" spans="1:5" ht="12.75">
      <c r="A39" s="14">
        <v>6</v>
      </c>
      <c r="B39" s="14" t="s">
        <v>32</v>
      </c>
      <c r="C39" s="14"/>
      <c r="D39" s="19">
        <f>D18*6%</f>
        <v>7222.120199999999</v>
      </c>
      <c r="E39" s="14"/>
    </row>
    <row r="40" spans="1:5" ht="12.75">
      <c r="A40" s="14">
        <v>7</v>
      </c>
      <c r="B40" s="20" t="s">
        <v>24</v>
      </c>
      <c r="C40" s="14"/>
      <c r="D40" s="19">
        <f>D38+D39</f>
        <v>147220.8612</v>
      </c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>
        <v>8</v>
      </c>
      <c r="B42" s="20" t="s">
        <v>142</v>
      </c>
      <c r="C42" s="14"/>
      <c r="D42" s="19">
        <f>D18-D40</f>
        <v>-26852.191200000016</v>
      </c>
      <c r="E42" s="14"/>
    </row>
    <row r="43" spans="1:5" ht="12.75">
      <c r="A43" s="14">
        <v>9</v>
      </c>
      <c r="B43" s="20" t="s">
        <v>44</v>
      </c>
      <c r="C43" s="14"/>
      <c r="D43" s="19">
        <f>D10+D42</f>
        <v>-59389.611200000014</v>
      </c>
      <c r="E43" s="14"/>
    </row>
    <row r="44" spans="1:5" ht="12.75">
      <c r="A44" s="3"/>
      <c r="B44" s="377"/>
      <c r="C44" s="3"/>
      <c r="D44" s="380"/>
      <c r="E44" s="3"/>
    </row>
    <row r="45" spans="1:5" ht="12.75">
      <c r="A45" s="3"/>
      <c r="B45" s="377"/>
      <c r="C45" s="3"/>
      <c r="D45" s="380"/>
      <c r="E45" s="3"/>
    </row>
    <row r="46" spans="1:5" ht="12.75">
      <c r="A46" s="1"/>
      <c r="B46" s="1" t="s">
        <v>30</v>
      </c>
      <c r="C46" s="1"/>
      <c r="D46" s="1" t="s">
        <v>0</v>
      </c>
      <c r="E46" s="1"/>
    </row>
    <row r="47" spans="1:5" ht="12.75">
      <c r="A47" s="1"/>
      <c r="B47" s="1" t="s">
        <v>31</v>
      </c>
      <c r="C47" s="1"/>
      <c r="D47" s="1" t="s">
        <v>26</v>
      </c>
      <c r="E47" s="1"/>
    </row>
  </sheetData>
  <sheetProtection/>
  <mergeCells count="2">
    <mergeCell ref="D8:E8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I41" sqref="I41"/>
    </sheetView>
  </sheetViews>
  <sheetFormatPr defaultColWidth="9.00390625" defaultRowHeight="12.75"/>
  <cols>
    <col min="1" max="1" width="5.75390625" style="0" customWidth="1"/>
    <col min="2" max="2" width="38.625" style="0" customWidth="1"/>
    <col min="4" max="4" width="11.625" style="0" customWidth="1"/>
    <col min="5" max="5" width="11.125" style="0" customWidth="1"/>
  </cols>
  <sheetData>
    <row r="1" spans="1:5" ht="15.75">
      <c r="A1" s="1"/>
      <c r="B1" s="2" t="s">
        <v>25</v>
      </c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 t="s">
        <v>71</v>
      </c>
      <c r="C3" s="1"/>
      <c r="D3" s="1"/>
      <c r="E3" s="1"/>
    </row>
    <row r="4" spans="1:5" ht="12.75">
      <c r="A4" s="1"/>
      <c r="B4" s="342" t="s">
        <v>206</v>
      </c>
      <c r="C4" s="1"/>
      <c r="D4" s="1"/>
      <c r="E4" s="1"/>
    </row>
    <row r="5" spans="1:5" ht="12.75">
      <c r="A5" s="1"/>
      <c r="B5" s="1" t="s">
        <v>38</v>
      </c>
      <c r="C5" s="1"/>
      <c r="D5" s="1"/>
      <c r="E5" s="1"/>
    </row>
    <row r="6" spans="1:5" ht="12.75">
      <c r="A6" s="479"/>
      <c r="B6" s="479"/>
      <c r="C6" s="479"/>
      <c r="D6" s="4"/>
      <c r="E6" s="5"/>
    </row>
    <row r="7" spans="1:6" ht="12.75">
      <c r="A7" s="344"/>
      <c r="B7" s="344"/>
      <c r="C7" s="344"/>
      <c r="D7" s="3"/>
      <c r="E7" s="7"/>
      <c r="F7" s="317"/>
    </row>
    <row r="8" spans="1:5" ht="15.75">
      <c r="A8" s="6"/>
      <c r="B8" s="8" t="s">
        <v>1</v>
      </c>
      <c r="C8" s="9" t="s">
        <v>3</v>
      </c>
      <c r="D8" s="484" t="s">
        <v>4</v>
      </c>
      <c r="E8" s="485"/>
    </row>
    <row r="9" spans="1:5" ht="15.75">
      <c r="A9" s="10"/>
      <c r="B9" s="8" t="s">
        <v>2</v>
      </c>
      <c r="C9" s="9" t="s">
        <v>33</v>
      </c>
      <c r="D9" s="482" t="s">
        <v>138</v>
      </c>
      <c r="E9" s="483"/>
    </row>
    <row r="10" spans="1:5" ht="12.75">
      <c r="A10" s="11"/>
      <c r="B10" s="11"/>
      <c r="C10" s="11"/>
      <c r="D10" s="12"/>
      <c r="E10" s="13"/>
    </row>
    <row r="11" spans="1:5" ht="12.75">
      <c r="A11" s="11"/>
      <c r="B11" s="357" t="s">
        <v>56</v>
      </c>
      <c r="C11" s="11"/>
      <c r="D11" s="14">
        <v>-47818.91</v>
      </c>
      <c r="E11" s="13"/>
    </row>
    <row r="12" spans="1:5" ht="12.75">
      <c r="A12" s="14"/>
      <c r="B12" s="15" t="s">
        <v>5</v>
      </c>
      <c r="C12" s="14" t="s">
        <v>34</v>
      </c>
      <c r="D12" s="14"/>
      <c r="E12" s="14"/>
    </row>
    <row r="13" spans="1:5" ht="12.75">
      <c r="A13" s="14"/>
      <c r="B13" s="15" t="s">
        <v>6</v>
      </c>
      <c r="C13" s="14" t="s">
        <v>34</v>
      </c>
      <c r="D13" s="14">
        <v>8903.1</v>
      </c>
      <c r="E13" s="14"/>
    </row>
    <row r="14" spans="1:5" ht="12.75">
      <c r="A14" s="14"/>
      <c r="B14" s="16" t="s">
        <v>27</v>
      </c>
      <c r="C14" s="14" t="s">
        <v>9</v>
      </c>
      <c r="D14" s="20">
        <v>1435997.6</v>
      </c>
      <c r="E14" s="14"/>
    </row>
    <row r="15" spans="1:5" ht="12.75">
      <c r="A15" s="14"/>
      <c r="B15" s="14"/>
      <c r="C15" s="14"/>
      <c r="D15" s="14"/>
      <c r="E15" s="14"/>
    </row>
    <row r="16" spans="1:5" ht="15.75">
      <c r="A16" s="14"/>
      <c r="B16" s="17" t="s">
        <v>7</v>
      </c>
      <c r="C16" s="14"/>
      <c r="D16" s="14"/>
      <c r="E16" s="14"/>
    </row>
    <row r="17" spans="1:5" ht="12.75">
      <c r="A17" s="14">
        <v>1</v>
      </c>
      <c r="B17" s="14" t="s">
        <v>8</v>
      </c>
      <c r="C17" s="14" t="s">
        <v>9</v>
      </c>
      <c r="D17" s="20">
        <v>1188487.24</v>
      </c>
      <c r="E17" s="14"/>
    </row>
    <row r="18" spans="1:5" ht="12.75">
      <c r="A18" s="14">
        <v>2</v>
      </c>
      <c r="B18" s="22" t="s">
        <v>82</v>
      </c>
      <c r="C18" s="14"/>
      <c r="D18" s="20">
        <v>0</v>
      </c>
      <c r="E18" s="14"/>
    </row>
    <row r="19" spans="1:5" ht="15.75">
      <c r="A19" s="14"/>
      <c r="B19" s="17" t="s">
        <v>10</v>
      </c>
      <c r="C19" s="14"/>
      <c r="D19" s="19">
        <f>D17+D18</f>
        <v>1188487.24</v>
      </c>
      <c r="E19" s="14"/>
    </row>
    <row r="20" spans="1:5" ht="15.75">
      <c r="A20" s="14"/>
      <c r="B20" s="17"/>
      <c r="C20" s="14"/>
      <c r="D20" s="19"/>
      <c r="E20" s="14"/>
    </row>
    <row r="21" spans="1:5" ht="15.75">
      <c r="A21" s="14"/>
      <c r="B21" s="17" t="s">
        <v>57</v>
      </c>
      <c r="C21" s="14"/>
      <c r="D21" s="20"/>
      <c r="E21" s="14"/>
    </row>
    <row r="22" spans="1:5" ht="12.75">
      <c r="A22" s="358" t="s">
        <v>58</v>
      </c>
      <c r="B22" s="16" t="s">
        <v>59</v>
      </c>
      <c r="C22" s="14"/>
      <c r="D22" s="19">
        <f>D23+D29+D28+D27+D26</f>
        <v>332789.37602</v>
      </c>
      <c r="E22" s="14"/>
    </row>
    <row r="23" spans="1:5" ht="12.75">
      <c r="A23" s="14">
        <v>1</v>
      </c>
      <c r="B23" s="22" t="s">
        <v>11</v>
      </c>
      <c r="C23" s="22" t="s">
        <v>9</v>
      </c>
      <c r="D23" s="21">
        <f>D24+D25</f>
        <v>269907.01</v>
      </c>
      <c r="E23" s="14"/>
    </row>
    <row r="24" spans="1:5" ht="12.75">
      <c r="A24" s="468" t="s">
        <v>126</v>
      </c>
      <c r="B24" s="14" t="s">
        <v>12</v>
      </c>
      <c r="C24" s="14"/>
      <c r="D24" s="14">
        <v>60356.93</v>
      </c>
      <c r="E24" s="14"/>
    </row>
    <row r="25" spans="1:5" ht="12.75">
      <c r="A25" s="468" t="s">
        <v>127</v>
      </c>
      <c r="B25" s="14" t="s">
        <v>13</v>
      </c>
      <c r="C25" s="14"/>
      <c r="D25" s="14">
        <v>209550.08</v>
      </c>
      <c r="E25" s="14"/>
    </row>
    <row r="26" spans="1:5" ht="12.75">
      <c r="A26" s="14">
        <v>2</v>
      </c>
      <c r="B26" s="22" t="s">
        <v>136</v>
      </c>
      <c r="C26" s="14"/>
      <c r="D26" s="18">
        <f>D23*20.2%</f>
        <v>54521.21602</v>
      </c>
      <c r="E26" s="14"/>
    </row>
    <row r="27" spans="1:5" ht="12.75">
      <c r="A27" s="14">
        <v>3</v>
      </c>
      <c r="B27" s="22" t="s">
        <v>156</v>
      </c>
      <c r="C27" s="14"/>
      <c r="D27" s="14">
        <v>125</v>
      </c>
      <c r="E27" s="14"/>
    </row>
    <row r="28" spans="1:5" ht="12.75">
      <c r="A28" s="14">
        <v>4</v>
      </c>
      <c r="B28" s="22" t="s">
        <v>143</v>
      </c>
      <c r="C28" s="14"/>
      <c r="D28" s="14">
        <v>2861.53</v>
      </c>
      <c r="E28" s="14"/>
    </row>
    <row r="29" spans="1:5" ht="12.75">
      <c r="A29" s="14">
        <v>5</v>
      </c>
      <c r="B29" s="352" t="s">
        <v>15</v>
      </c>
      <c r="C29" s="14"/>
      <c r="D29" s="14">
        <v>5374.62</v>
      </c>
      <c r="E29" s="14"/>
    </row>
    <row r="30" spans="1:5" ht="12.75">
      <c r="A30" s="358" t="s">
        <v>61</v>
      </c>
      <c r="B30" s="359" t="s">
        <v>60</v>
      </c>
      <c r="C30" s="14"/>
      <c r="D30" s="19">
        <f>D31+D33+D32+D34</f>
        <v>274580.38486</v>
      </c>
      <c r="E30" s="14"/>
    </row>
    <row r="31" spans="1:5" ht="12.75">
      <c r="A31" s="14">
        <v>1</v>
      </c>
      <c r="B31" s="22" t="s">
        <v>95</v>
      </c>
      <c r="C31" s="14"/>
      <c r="D31" s="22">
        <v>217609.43</v>
      </c>
      <c r="E31" s="14"/>
    </row>
    <row r="32" spans="1:5" ht="12.75">
      <c r="A32" s="14">
        <v>2</v>
      </c>
      <c r="B32" s="22" t="s">
        <v>136</v>
      </c>
      <c r="C32" s="14"/>
      <c r="D32" s="21">
        <f>D31*20.2%</f>
        <v>43957.10485999999</v>
      </c>
      <c r="E32" s="14"/>
    </row>
    <row r="33" spans="1:5" ht="12.75">
      <c r="A33" s="14">
        <v>3</v>
      </c>
      <c r="B33" s="22" t="s">
        <v>15</v>
      </c>
      <c r="C33" s="14"/>
      <c r="D33" s="22">
        <v>713.85</v>
      </c>
      <c r="E33" s="14"/>
    </row>
    <row r="34" spans="1:5" ht="12.75">
      <c r="A34" s="14"/>
      <c r="B34" s="22" t="s">
        <v>83</v>
      </c>
      <c r="C34" s="14"/>
      <c r="D34" s="22">
        <v>12300</v>
      </c>
      <c r="E34" s="14"/>
    </row>
    <row r="35" spans="1:5" ht="12.75">
      <c r="A35" s="358" t="s">
        <v>62</v>
      </c>
      <c r="B35" s="20" t="s">
        <v>16</v>
      </c>
      <c r="C35" s="14"/>
      <c r="D35" s="19">
        <f>D36+D37+D38+D39+D40+D41+D42+D43+D44</f>
        <v>180576.75028</v>
      </c>
      <c r="E35" s="19"/>
    </row>
    <row r="36" spans="1:5" ht="12.75">
      <c r="A36" s="14"/>
      <c r="B36" s="14" t="s">
        <v>17</v>
      </c>
      <c r="C36" s="14"/>
      <c r="D36" s="18">
        <f>D19*4.7%</f>
        <v>55858.90028</v>
      </c>
      <c r="E36" s="14"/>
    </row>
    <row r="37" spans="1:5" ht="12.75">
      <c r="A37" s="14"/>
      <c r="B37" s="352" t="s">
        <v>19</v>
      </c>
      <c r="C37" s="14"/>
      <c r="D37" s="14">
        <v>7314.5</v>
      </c>
      <c r="E37" s="14"/>
    </row>
    <row r="38" spans="1:5" ht="12.75">
      <c r="A38" s="14"/>
      <c r="B38" s="14" t="s">
        <v>20</v>
      </c>
      <c r="C38" s="14"/>
      <c r="D38" s="18">
        <v>28109.32</v>
      </c>
      <c r="E38" s="18"/>
    </row>
    <row r="39" spans="1:5" ht="12.75">
      <c r="A39" s="14"/>
      <c r="B39" s="352" t="s">
        <v>28</v>
      </c>
      <c r="C39" s="14"/>
      <c r="D39" s="14">
        <v>625.12</v>
      </c>
      <c r="E39" s="14"/>
    </row>
    <row r="40" spans="1:5" ht="12.75">
      <c r="A40" s="14"/>
      <c r="B40" s="14" t="s">
        <v>80</v>
      </c>
      <c r="C40" s="14"/>
      <c r="D40" s="14">
        <v>56730.66</v>
      </c>
      <c r="E40" s="14"/>
    </row>
    <row r="41" spans="1:5" ht="12.75">
      <c r="A41" s="14"/>
      <c r="B41" s="22" t="s">
        <v>148</v>
      </c>
      <c r="C41" s="14"/>
      <c r="D41" s="14">
        <v>15000</v>
      </c>
      <c r="E41" s="14"/>
    </row>
    <row r="42" spans="1:5" ht="12.75">
      <c r="A42" s="14"/>
      <c r="B42" s="22" t="s">
        <v>141</v>
      </c>
      <c r="C42" s="14"/>
      <c r="D42" s="14">
        <v>3600</v>
      </c>
      <c r="E42" s="14"/>
    </row>
    <row r="43" spans="1:5" ht="12.75">
      <c r="A43" s="14"/>
      <c r="B43" s="352" t="s">
        <v>55</v>
      </c>
      <c r="C43" s="14"/>
      <c r="D43" s="14">
        <v>3622.2</v>
      </c>
      <c r="E43" s="14"/>
    </row>
    <row r="44" spans="1:5" ht="12.75">
      <c r="A44" s="14"/>
      <c r="B44" s="14" t="s">
        <v>21</v>
      </c>
      <c r="C44" s="14"/>
      <c r="D44" s="14">
        <v>9716.05</v>
      </c>
      <c r="E44" s="14"/>
    </row>
    <row r="45" spans="1:5" ht="12.75">
      <c r="A45" s="475" t="s">
        <v>64</v>
      </c>
      <c r="B45" s="377" t="s">
        <v>74</v>
      </c>
      <c r="C45" s="14"/>
      <c r="D45" s="20">
        <f>11364.19+45703.45</f>
        <v>57067.64</v>
      </c>
      <c r="E45" s="14"/>
    </row>
    <row r="46" spans="1:5" ht="12.75">
      <c r="A46" s="475" t="s">
        <v>65</v>
      </c>
      <c r="B46" s="20" t="s">
        <v>92</v>
      </c>
      <c r="C46" s="14"/>
      <c r="D46" s="19">
        <v>215749.93</v>
      </c>
      <c r="E46" s="19"/>
    </row>
    <row r="47" spans="1:5" ht="12.75">
      <c r="A47" s="475" t="s">
        <v>66</v>
      </c>
      <c r="B47" s="20" t="s">
        <v>23</v>
      </c>
      <c r="C47" s="14"/>
      <c r="D47" s="19">
        <f>D22+D30+D35+D45+D46</f>
        <v>1060764.08116</v>
      </c>
      <c r="E47" s="14"/>
    </row>
    <row r="48" spans="1:5" ht="12.75">
      <c r="A48" s="475" t="s">
        <v>67</v>
      </c>
      <c r="B48" s="14" t="s">
        <v>32</v>
      </c>
      <c r="C48" s="14"/>
      <c r="D48" s="19">
        <f>D19*6%</f>
        <v>71309.2344</v>
      </c>
      <c r="E48" s="14"/>
    </row>
    <row r="49" spans="1:5" ht="12.75">
      <c r="A49" s="475" t="s">
        <v>68</v>
      </c>
      <c r="B49" s="20" t="s">
        <v>24</v>
      </c>
      <c r="C49" s="14"/>
      <c r="D49" s="19">
        <f>D47+D48</f>
        <v>1132073.31556</v>
      </c>
      <c r="E49" s="14"/>
    </row>
    <row r="50" spans="1:5" ht="12.75">
      <c r="A50" s="14"/>
      <c r="B50" s="14"/>
      <c r="C50" s="14"/>
      <c r="D50" s="14"/>
      <c r="E50" s="14"/>
    </row>
    <row r="51" spans="1:5" ht="12.75">
      <c r="A51" s="475" t="s">
        <v>69</v>
      </c>
      <c r="B51" s="20" t="s">
        <v>142</v>
      </c>
      <c r="C51" s="14"/>
      <c r="D51" s="19">
        <f>D19-D49</f>
        <v>56413.92443999997</v>
      </c>
      <c r="E51" s="14"/>
    </row>
    <row r="52" spans="1:5" ht="12.75">
      <c r="A52" s="475" t="s">
        <v>165</v>
      </c>
      <c r="B52" s="20" t="s">
        <v>44</v>
      </c>
      <c r="C52" s="14"/>
      <c r="D52" s="19">
        <f>D11+D51</f>
        <v>8595.01443999997</v>
      </c>
      <c r="E52" s="14"/>
    </row>
    <row r="53" spans="1:5" ht="12.75">
      <c r="A53" s="3"/>
      <c r="B53" s="377"/>
      <c r="C53" s="3"/>
      <c r="D53" s="380"/>
      <c r="E53" s="3"/>
    </row>
    <row r="54" spans="1:7" ht="12.75">
      <c r="A54" s="1"/>
      <c r="B54" s="1" t="s">
        <v>30</v>
      </c>
      <c r="C54" s="1"/>
      <c r="D54" s="1" t="s">
        <v>0</v>
      </c>
      <c r="E54" s="1"/>
      <c r="G54" s="1"/>
    </row>
    <row r="55" spans="1:5" ht="12.75">
      <c r="A55" s="1"/>
      <c r="B55" s="1" t="s">
        <v>31</v>
      </c>
      <c r="C55" s="1"/>
      <c r="D55" s="1" t="s">
        <v>26</v>
      </c>
      <c r="E55" s="1"/>
    </row>
    <row r="56" spans="8:17" ht="12.75">
      <c r="H56" s="1"/>
      <c r="I56" s="1"/>
      <c r="J56" s="1"/>
      <c r="M56" s="1"/>
      <c r="N56" s="1"/>
      <c r="O56" s="1"/>
      <c r="P56" s="1"/>
      <c r="Q56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5" spans="3:5" ht="12.75">
      <c r="C65" s="1"/>
      <c r="E65" s="1"/>
    </row>
  </sheetData>
  <sheetProtection/>
  <mergeCells count="3">
    <mergeCell ref="A6:C6"/>
    <mergeCell ref="D8:E8"/>
    <mergeCell ref="D9:E9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75390625" style="0" customWidth="1"/>
    <col min="2" max="2" width="42.625" style="0" customWidth="1"/>
    <col min="3" max="3" width="7.125" style="0" customWidth="1"/>
    <col min="4" max="4" width="14.875" style="0" customWidth="1"/>
    <col min="5" max="5" width="12.125" style="0" customWidth="1"/>
    <col min="7" max="7" width="13.375" style="0" customWidth="1"/>
    <col min="8" max="8" width="39.25390625" style="0" customWidth="1"/>
    <col min="10" max="10" width="10.125" style="0" customWidth="1"/>
    <col min="13" max="13" width="4.25390625" style="0" customWidth="1"/>
    <col min="14" max="14" width="39.25390625" style="0" customWidth="1"/>
    <col min="15" max="15" width="7.25390625" style="0" customWidth="1"/>
    <col min="16" max="16" width="11.125" style="0" customWidth="1"/>
    <col min="20" max="20" width="41.875" style="0" customWidth="1"/>
    <col min="22" max="22" width="12.625" style="0" customWidth="1"/>
  </cols>
  <sheetData>
    <row r="1" spans="1:5" ht="15.75">
      <c r="A1" s="254"/>
      <c r="B1" s="255" t="s">
        <v>25</v>
      </c>
      <c r="C1" s="254"/>
      <c r="D1" s="254"/>
      <c r="E1" s="254"/>
    </row>
    <row r="2" spans="1:5" ht="12.75">
      <c r="A2" s="254"/>
      <c r="B2" s="254"/>
      <c r="C2" s="254"/>
      <c r="D2" s="254"/>
      <c r="E2" s="254"/>
    </row>
    <row r="3" spans="1:5" ht="12.75">
      <c r="A3" s="254"/>
      <c r="B3" s="254" t="s">
        <v>29</v>
      </c>
      <c r="C3" s="254"/>
      <c r="D3" s="254"/>
      <c r="E3" s="254"/>
    </row>
    <row r="4" spans="1:5" ht="12.75">
      <c r="A4" s="254"/>
      <c r="B4" s="410" t="s">
        <v>186</v>
      </c>
      <c r="C4" s="254"/>
      <c r="D4" s="254"/>
      <c r="E4" s="254"/>
    </row>
    <row r="5" spans="1:5" ht="12.75">
      <c r="A5" s="254"/>
      <c r="B5" s="254" t="s">
        <v>42</v>
      </c>
      <c r="C5" s="254"/>
      <c r="D5" s="254"/>
      <c r="E5" s="254"/>
    </row>
    <row r="6" spans="1:5" ht="12.75">
      <c r="A6" s="395"/>
      <c r="B6" s="395"/>
      <c r="C6" s="395"/>
      <c r="D6" s="257"/>
      <c r="E6" s="396"/>
    </row>
    <row r="7" spans="1:5" ht="15.75">
      <c r="A7" s="256"/>
      <c r="B7" s="258" t="s">
        <v>1</v>
      </c>
      <c r="C7" s="259" t="s">
        <v>3</v>
      </c>
      <c r="D7" s="549" t="s">
        <v>4</v>
      </c>
      <c r="E7" s="550"/>
    </row>
    <row r="8" spans="1:5" ht="15.75">
      <c r="A8" s="260"/>
      <c r="B8" s="258" t="s">
        <v>2</v>
      </c>
      <c r="C8" s="259" t="s">
        <v>33</v>
      </c>
      <c r="D8" s="551" t="s">
        <v>170</v>
      </c>
      <c r="E8" s="552"/>
    </row>
    <row r="9" spans="1:5" ht="12.75">
      <c r="A9" s="261"/>
      <c r="B9" s="261"/>
      <c r="C9" s="261"/>
      <c r="D9" s="262"/>
      <c r="E9" s="263"/>
    </row>
    <row r="10" spans="1:5" ht="12.75">
      <c r="A10" s="261"/>
      <c r="B10" s="373" t="s">
        <v>70</v>
      </c>
      <c r="C10" s="261"/>
      <c r="D10" s="262">
        <f>-241040.43+60843.24</f>
        <v>-180197.19</v>
      </c>
      <c r="E10" s="263"/>
    </row>
    <row r="11" spans="1:5" ht="12.75">
      <c r="A11" s="264"/>
      <c r="B11" s="265" t="s">
        <v>5</v>
      </c>
      <c r="C11" s="264" t="s">
        <v>34</v>
      </c>
      <c r="D11" s="264">
        <v>3614.7</v>
      </c>
      <c r="E11" s="264"/>
    </row>
    <row r="12" spans="1:5" ht="12.75">
      <c r="A12" s="264"/>
      <c r="B12" s="265" t="s">
        <v>6</v>
      </c>
      <c r="C12" s="264" t="s">
        <v>34</v>
      </c>
      <c r="D12" s="264">
        <v>2649.9</v>
      </c>
      <c r="E12" s="264"/>
    </row>
    <row r="13" spans="1:5" ht="12.75">
      <c r="A13" s="264"/>
      <c r="B13" s="266" t="s">
        <v>27</v>
      </c>
      <c r="C13" s="264" t="s">
        <v>36</v>
      </c>
      <c r="D13" s="267">
        <v>387227.66</v>
      </c>
      <c r="E13" s="264"/>
    </row>
    <row r="14" spans="1:5" ht="12.75">
      <c r="A14" s="264"/>
      <c r="B14" s="264"/>
      <c r="C14" s="264"/>
      <c r="D14" s="264"/>
      <c r="E14" s="264"/>
    </row>
    <row r="15" spans="1:5" ht="15.75">
      <c r="A15" s="264"/>
      <c r="B15" s="268" t="s">
        <v>7</v>
      </c>
      <c r="C15" s="264"/>
      <c r="D15" s="264"/>
      <c r="E15" s="264"/>
    </row>
    <row r="16" spans="1:5" ht="12.75">
      <c r="A16" s="264">
        <v>1</v>
      </c>
      <c r="B16" s="264" t="s">
        <v>8</v>
      </c>
      <c r="C16" s="264" t="s">
        <v>9</v>
      </c>
      <c r="D16" s="264">
        <v>296012.38</v>
      </c>
      <c r="E16" s="264"/>
    </row>
    <row r="17" spans="1:5" ht="12.75">
      <c r="A17" s="264">
        <v>2</v>
      </c>
      <c r="B17" s="264" t="s">
        <v>74</v>
      </c>
      <c r="C17" s="264"/>
      <c r="D17" s="264">
        <v>70979.26</v>
      </c>
      <c r="E17" s="264"/>
    </row>
    <row r="18" spans="1:5" ht="12.75">
      <c r="A18" s="264">
        <v>3</v>
      </c>
      <c r="B18" s="264" t="s">
        <v>82</v>
      </c>
      <c r="C18" s="264"/>
      <c r="D18" s="264">
        <v>9000</v>
      </c>
      <c r="E18" s="264"/>
    </row>
    <row r="19" spans="1:5" ht="15.75">
      <c r="A19" s="264"/>
      <c r="B19" s="268" t="s">
        <v>10</v>
      </c>
      <c r="C19" s="264"/>
      <c r="D19" s="267">
        <f>D16+D18+D17</f>
        <v>375991.64</v>
      </c>
      <c r="E19" s="264"/>
    </row>
    <row r="20" spans="1:5" ht="15.75">
      <c r="A20" s="264"/>
      <c r="B20" s="268"/>
      <c r="C20" s="264"/>
      <c r="D20" s="267"/>
      <c r="E20" s="264"/>
    </row>
    <row r="21" spans="1:5" ht="15.75">
      <c r="A21" s="14"/>
      <c r="B21" s="17" t="s">
        <v>57</v>
      </c>
      <c r="C21" s="14"/>
      <c r="D21" s="20"/>
      <c r="E21" s="264"/>
    </row>
    <row r="22" spans="1:5" ht="12.75">
      <c r="A22" s="358" t="s">
        <v>58</v>
      </c>
      <c r="B22" s="16" t="s">
        <v>59</v>
      </c>
      <c r="C22" s="14"/>
      <c r="D22" s="19">
        <f>D23+D29+D28+D27</f>
        <v>149796.1044</v>
      </c>
      <c r="E22" s="264"/>
    </row>
    <row r="23" spans="1:5" ht="12.75">
      <c r="A23" s="14">
        <v>1</v>
      </c>
      <c r="B23" s="22" t="s">
        <v>11</v>
      </c>
      <c r="C23" s="22" t="s">
        <v>9</v>
      </c>
      <c r="D23" s="21">
        <f>D24+D25+D26</f>
        <v>118192.20000000001</v>
      </c>
      <c r="E23" s="264"/>
    </row>
    <row r="24" spans="1:5" ht="12.75">
      <c r="A24" s="468" t="s">
        <v>126</v>
      </c>
      <c r="B24" s="14" t="s">
        <v>12</v>
      </c>
      <c r="C24" s="14"/>
      <c r="D24" s="14">
        <v>42708.05</v>
      </c>
      <c r="E24" s="264"/>
    </row>
    <row r="25" spans="1:5" ht="12.75">
      <c r="A25" s="468" t="s">
        <v>127</v>
      </c>
      <c r="B25" s="14" t="s">
        <v>13</v>
      </c>
      <c r="C25" s="14"/>
      <c r="D25" s="353">
        <v>33002.55</v>
      </c>
      <c r="E25" s="264"/>
    </row>
    <row r="26" spans="1:5" ht="12.75">
      <c r="A26" s="468" t="s">
        <v>128</v>
      </c>
      <c r="B26" s="14" t="s">
        <v>14</v>
      </c>
      <c r="C26" s="14"/>
      <c r="D26" s="14">
        <v>42481.6</v>
      </c>
      <c r="E26" s="264"/>
    </row>
    <row r="27" spans="1:5" ht="12.75">
      <c r="A27" s="14">
        <v>2</v>
      </c>
      <c r="B27" s="22" t="s">
        <v>136</v>
      </c>
      <c r="C27" s="14"/>
      <c r="D27" s="18">
        <f>D23*20.2%</f>
        <v>23874.8244</v>
      </c>
      <c r="E27" s="264"/>
    </row>
    <row r="28" spans="1:5" ht="12.75">
      <c r="A28" s="14">
        <v>3</v>
      </c>
      <c r="B28" s="22" t="s">
        <v>143</v>
      </c>
      <c r="C28" s="14"/>
      <c r="D28" s="14">
        <v>3188.2</v>
      </c>
      <c r="E28" s="264"/>
    </row>
    <row r="29" spans="1:5" ht="12.75">
      <c r="A29" s="14">
        <v>4</v>
      </c>
      <c r="B29" s="352" t="s">
        <v>15</v>
      </c>
      <c r="C29" s="14"/>
      <c r="D29" s="14">
        <v>4540.88</v>
      </c>
      <c r="E29" s="264"/>
    </row>
    <row r="30" spans="1:5" ht="12.75">
      <c r="A30" s="358" t="s">
        <v>61</v>
      </c>
      <c r="B30" s="359" t="s">
        <v>60</v>
      </c>
      <c r="C30" s="14"/>
      <c r="D30" s="19">
        <f>D31+D32+D33+D34</f>
        <v>86022.49962</v>
      </c>
      <c r="E30" s="264"/>
    </row>
    <row r="31" spans="1:5" ht="12.75">
      <c r="A31" s="14">
        <v>1</v>
      </c>
      <c r="B31" s="22" t="s">
        <v>95</v>
      </c>
      <c r="C31" s="14"/>
      <c r="D31" s="22">
        <v>64768.81</v>
      </c>
      <c r="E31" s="264"/>
    </row>
    <row r="32" spans="1:5" ht="12.75">
      <c r="A32" s="14">
        <v>2</v>
      </c>
      <c r="B32" s="22" t="s">
        <v>136</v>
      </c>
      <c r="C32" s="14"/>
      <c r="D32" s="21">
        <f>D31*20.2%</f>
        <v>13083.299619999998</v>
      </c>
      <c r="E32" s="264"/>
    </row>
    <row r="33" spans="1:5" ht="12.75">
      <c r="A33" s="14">
        <v>3</v>
      </c>
      <c r="B33" s="22" t="s">
        <v>15</v>
      </c>
      <c r="C33" s="14"/>
      <c r="D33" s="22">
        <v>1120.39</v>
      </c>
      <c r="E33" s="264"/>
    </row>
    <row r="34" spans="1:5" ht="12.75">
      <c r="A34" s="14">
        <v>4</v>
      </c>
      <c r="B34" s="22" t="s">
        <v>83</v>
      </c>
      <c r="C34" s="14"/>
      <c r="D34" s="22">
        <v>7050</v>
      </c>
      <c r="E34" s="14"/>
    </row>
    <row r="35" spans="1:5" ht="12.75">
      <c r="A35" s="358" t="s">
        <v>62</v>
      </c>
      <c r="B35" s="20" t="s">
        <v>16</v>
      </c>
      <c r="C35" s="14"/>
      <c r="D35" s="19">
        <f>D36+D37+D38+D39+D40+D41+D42+D43+D44</f>
        <v>40438.412000000004</v>
      </c>
      <c r="E35" s="19"/>
    </row>
    <row r="36" spans="1:5" ht="12.75">
      <c r="A36" s="14"/>
      <c r="B36" s="14" t="s">
        <v>17</v>
      </c>
      <c r="C36" s="14"/>
      <c r="D36" s="18">
        <f>D19*5%</f>
        <v>18799.582000000002</v>
      </c>
      <c r="E36" s="14"/>
    </row>
    <row r="37" spans="1:5" ht="12.75">
      <c r="A37" s="14"/>
      <c r="B37" s="14" t="s">
        <v>18</v>
      </c>
      <c r="C37" s="14"/>
      <c r="D37" s="14">
        <v>769.45</v>
      </c>
      <c r="E37" s="14"/>
    </row>
    <row r="38" spans="1:5" ht="12.75">
      <c r="A38" s="14"/>
      <c r="B38" s="22" t="s">
        <v>19</v>
      </c>
      <c r="C38" s="14"/>
      <c r="D38" s="14">
        <v>7189.41</v>
      </c>
      <c r="E38" s="14"/>
    </row>
    <row r="39" spans="1:5" ht="12.75">
      <c r="A39" s="14"/>
      <c r="B39" s="14" t="s">
        <v>20</v>
      </c>
      <c r="C39" s="14"/>
      <c r="D39" s="18">
        <v>8366.4</v>
      </c>
      <c r="E39" s="18"/>
    </row>
    <row r="40" spans="1:5" ht="12.75">
      <c r="A40" s="14"/>
      <c r="B40" s="22" t="s">
        <v>141</v>
      </c>
      <c r="C40" s="14"/>
      <c r="D40" s="18">
        <v>200</v>
      </c>
      <c r="E40" s="18"/>
    </row>
    <row r="41" spans="1:5" ht="12.75">
      <c r="A41" s="14"/>
      <c r="B41" s="352" t="s">
        <v>28</v>
      </c>
      <c r="C41" s="14"/>
      <c r="D41" s="14">
        <v>333.6</v>
      </c>
      <c r="E41" s="14"/>
    </row>
    <row r="42" spans="1:5" ht="12.75">
      <c r="A42" s="14"/>
      <c r="B42" s="352" t="s">
        <v>112</v>
      </c>
      <c r="C42" s="14"/>
      <c r="D42" s="14">
        <v>810</v>
      </c>
      <c r="E42" s="14"/>
    </row>
    <row r="43" spans="1:5" ht="12.75">
      <c r="A43" s="14"/>
      <c r="B43" s="352" t="s">
        <v>55</v>
      </c>
      <c r="C43" s="14"/>
      <c r="D43" s="14">
        <v>1078.1</v>
      </c>
      <c r="E43" s="14"/>
    </row>
    <row r="44" spans="1:5" ht="12.75">
      <c r="A44" s="14"/>
      <c r="B44" s="14" t="s">
        <v>21</v>
      </c>
      <c r="C44" s="14"/>
      <c r="D44" s="14">
        <v>2891.87</v>
      </c>
      <c r="E44" s="14"/>
    </row>
    <row r="45" spans="1:5" ht="12.75">
      <c r="A45" s="475" t="s">
        <v>64</v>
      </c>
      <c r="B45" s="20" t="s">
        <v>92</v>
      </c>
      <c r="C45" s="14"/>
      <c r="D45" s="19">
        <v>64215.27</v>
      </c>
      <c r="E45" s="19"/>
    </row>
    <row r="46" spans="1:5" ht="12.75">
      <c r="A46" s="475" t="s">
        <v>65</v>
      </c>
      <c r="B46" s="20" t="s">
        <v>23</v>
      </c>
      <c r="C46" s="14"/>
      <c r="D46" s="19">
        <f>D22+D30+D35+D45</f>
        <v>340472.28602000006</v>
      </c>
      <c r="E46" s="14"/>
    </row>
    <row r="47" spans="1:5" ht="12.75">
      <c r="A47" s="475" t="s">
        <v>66</v>
      </c>
      <c r="B47" s="14" t="s">
        <v>32</v>
      </c>
      <c r="C47" s="14"/>
      <c r="D47" s="19">
        <f>D19*6%</f>
        <v>22559.4984</v>
      </c>
      <c r="E47" s="14"/>
    </row>
    <row r="48" spans="1:5" ht="12.75">
      <c r="A48" s="475" t="s">
        <v>67</v>
      </c>
      <c r="B48" s="20" t="s">
        <v>24</v>
      </c>
      <c r="C48" s="14"/>
      <c r="D48" s="19">
        <f>D46+D47</f>
        <v>363031.78442000004</v>
      </c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475" t="s">
        <v>68</v>
      </c>
      <c r="B50" s="20" t="s">
        <v>142</v>
      </c>
      <c r="C50" s="14"/>
      <c r="D50" s="19">
        <f>D19-D48+7594.781</f>
        <v>20554.636579999973</v>
      </c>
      <c r="E50" s="14"/>
    </row>
    <row r="51" spans="1:5" ht="12.75">
      <c r="A51" s="475" t="s">
        <v>69</v>
      </c>
      <c r="B51" s="20" t="s">
        <v>44</v>
      </c>
      <c r="C51" s="14"/>
      <c r="D51" s="19">
        <f>D10+D50</f>
        <v>-159642.55342000004</v>
      </c>
      <c r="E51" s="14"/>
    </row>
    <row r="52" spans="1:5" ht="12.75">
      <c r="A52" s="3"/>
      <c r="B52" s="377"/>
      <c r="C52" s="3"/>
      <c r="D52" s="380"/>
      <c r="E52" s="3"/>
    </row>
    <row r="53" spans="1:5" ht="12.75">
      <c r="A53" s="3"/>
      <c r="B53" s="377" t="s">
        <v>74</v>
      </c>
      <c r="C53" s="3"/>
      <c r="D53" s="380">
        <f>D17-7594.78</f>
        <v>63384.479999999996</v>
      </c>
      <c r="E53" s="3"/>
    </row>
    <row r="54" spans="1:5" ht="12.75">
      <c r="A54" s="3"/>
      <c r="B54" s="377" t="s">
        <v>104</v>
      </c>
      <c r="C54" s="3"/>
      <c r="D54" s="380">
        <f>5150.41+1500</f>
        <v>6650.41</v>
      </c>
      <c r="E54" s="3"/>
    </row>
    <row r="55" spans="1:5" ht="12.75">
      <c r="A55" s="3"/>
      <c r="B55" s="377" t="s">
        <v>97</v>
      </c>
      <c r="C55" s="3"/>
      <c r="D55" s="380">
        <f>D53-D54</f>
        <v>56734.06999999999</v>
      </c>
      <c r="E55" s="3"/>
    </row>
    <row r="56" spans="1:5" ht="12.75">
      <c r="A56" s="1"/>
      <c r="B56" s="1" t="s">
        <v>30</v>
      </c>
      <c r="C56" s="1"/>
      <c r="D56" s="1" t="s">
        <v>0</v>
      </c>
      <c r="E56" s="1"/>
    </row>
    <row r="57" spans="1:5" ht="12.75">
      <c r="A57" s="1"/>
      <c r="B57" s="1" t="s">
        <v>31</v>
      </c>
      <c r="C57" s="1"/>
      <c r="D57" s="1" t="s">
        <v>26</v>
      </c>
      <c r="E57" s="1"/>
    </row>
  </sheetData>
  <sheetProtection/>
  <mergeCells count="2">
    <mergeCell ref="D7:E7"/>
    <mergeCell ref="D8:E8"/>
  </mergeCells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G4" sqref="G4:H20"/>
    </sheetView>
  </sheetViews>
  <sheetFormatPr defaultColWidth="9.00390625" defaultRowHeight="12.75"/>
  <cols>
    <col min="1" max="1" width="5.875" style="0" customWidth="1"/>
    <col min="2" max="2" width="42.125" style="0" customWidth="1"/>
    <col min="3" max="3" width="6.625" style="0" customWidth="1"/>
    <col min="4" max="4" width="10.625" style="0" customWidth="1"/>
    <col min="5" max="5" width="10.375" style="0" customWidth="1"/>
    <col min="6" max="6" width="11.00390625" style="0" customWidth="1"/>
    <col min="7" max="7" width="13.25390625" style="0" customWidth="1"/>
    <col min="8" max="8" width="14.75390625" style="0" customWidth="1"/>
    <col min="10" max="10" width="10.125" style="0" customWidth="1"/>
    <col min="13" max="13" width="6.00390625" style="0" customWidth="1"/>
    <col min="14" max="14" width="40.125" style="0" customWidth="1"/>
    <col min="15" max="15" width="10.00390625" style="0" customWidth="1"/>
    <col min="16" max="16" width="10.25390625" style="0" customWidth="1"/>
    <col min="17" max="17" width="13.125" style="0" customWidth="1"/>
    <col min="18" max="18" width="5.125" style="0" customWidth="1"/>
    <col min="20" max="20" width="42.25390625" style="0" customWidth="1"/>
    <col min="22" max="22" width="11.625" style="0" customWidth="1"/>
  </cols>
  <sheetData>
    <row r="1" spans="1:5" ht="15.75">
      <c r="A1" s="269"/>
      <c r="B1" s="270" t="s">
        <v>25</v>
      </c>
      <c r="C1" s="269"/>
      <c r="D1" s="269"/>
      <c r="E1" s="269"/>
    </row>
    <row r="2" spans="1:5" ht="12.75">
      <c r="A2" s="269"/>
      <c r="B2" s="269"/>
      <c r="C2" s="269"/>
      <c r="D2" s="269"/>
      <c r="E2" s="269"/>
    </row>
    <row r="3" spans="1:5" ht="12.75">
      <c r="A3" s="269"/>
      <c r="B3" s="269" t="s">
        <v>29</v>
      </c>
      <c r="C3" s="269"/>
      <c r="D3" s="269"/>
      <c r="E3" s="269"/>
    </row>
    <row r="4" spans="1:5" ht="12.75">
      <c r="A4" s="269"/>
      <c r="B4" s="411" t="s">
        <v>207</v>
      </c>
      <c r="C4" s="269"/>
      <c r="D4" s="269"/>
      <c r="E4" s="269"/>
    </row>
    <row r="5" spans="1:5" ht="12.75">
      <c r="A5" s="553"/>
      <c r="B5" s="553"/>
      <c r="C5" s="553"/>
      <c r="D5" s="271"/>
      <c r="E5" s="272"/>
    </row>
    <row r="6" spans="1:5" ht="12.75">
      <c r="A6" s="273"/>
      <c r="B6" s="273"/>
      <c r="C6" s="273"/>
      <c r="D6" s="274"/>
      <c r="E6" s="275"/>
    </row>
    <row r="7" spans="1:5" ht="15.75">
      <c r="A7" s="273"/>
      <c r="B7" s="276" t="s">
        <v>1</v>
      </c>
      <c r="C7" s="277" t="s">
        <v>3</v>
      </c>
      <c r="D7" s="554" t="s">
        <v>4</v>
      </c>
      <c r="E7" s="555"/>
    </row>
    <row r="8" spans="1:5" ht="15.75">
      <c r="A8" s="278"/>
      <c r="B8" s="276" t="s">
        <v>2</v>
      </c>
      <c r="C8" s="277" t="s">
        <v>33</v>
      </c>
      <c r="D8" s="556" t="s">
        <v>146</v>
      </c>
      <c r="E8" s="557"/>
    </row>
    <row r="9" spans="1:5" ht="12.75">
      <c r="A9" s="279"/>
      <c r="B9" s="280" t="s">
        <v>102</v>
      </c>
      <c r="C9" s="279"/>
      <c r="D9" s="455">
        <v>-188529.08</v>
      </c>
      <c r="E9" s="456"/>
    </row>
    <row r="10" spans="1:5" ht="12.75">
      <c r="A10" s="279"/>
      <c r="B10" s="280" t="s">
        <v>79</v>
      </c>
      <c r="C10" s="279"/>
      <c r="D10" s="455">
        <v>93870.29</v>
      </c>
      <c r="E10" s="456"/>
    </row>
    <row r="11" spans="1:5" ht="12.75">
      <c r="A11" s="279"/>
      <c r="B11" s="280" t="s">
        <v>5</v>
      </c>
      <c r="C11" s="279" t="s">
        <v>34</v>
      </c>
      <c r="D11" s="279">
        <v>5453.7</v>
      </c>
      <c r="E11" s="279"/>
    </row>
    <row r="12" spans="1:5" ht="12.75">
      <c r="A12" s="279"/>
      <c r="B12" s="280" t="s">
        <v>6</v>
      </c>
      <c r="C12" s="279" t="s">
        <v>34</v>
      </c>
      <c r="D12" s="279">
        <v>4435.2</v>
      </c>
      <c r="E12" s="279"/>
    </row>
    <row r="13" spans="1:5" ht="12.75">
      <c r="A13" s="279"/>
      <c r="B13" s="281" t="s">
        <v>27</v>
      </c>
      <c r="C13" s="279" t="s">
        <v>36</v>
      </c>
      <c r="D13" s="282">
        <v>707729.04</v>
      </c>
      <c r="E13" s="279"/>
    </row>
    <row r="14" spans="1:5" ht="12.75">
      <c r="A14" s="279"/>
      <c r="B14" s="279"/>
      <c r="C14" s="279"/>
      <c r="D14" s="279"/>
      <c r="E14" s="279"/>
    </row>
    <row r="15" spans="1:5" ht="15.75">
      <c r="A15" s="279"/>
      <c r="B15" s="283" t="s">
        <v>7</v>
      </c>
      <c r="C15" s="279"/>
      <c r="D15" s="279"/>
      <c r="E15" s="279"/>
    </row>
    <row r="16" spans="1:5" ht="12.75">
      <c r="A16" s="279">
        <v>1</v>
      </c>
      <c r="B16" s="279" t="s">
        <v>8</v>
      </c>
      <c r="C16" s="279" t="s">
        <v>9</v>
      </c>
      <c r="D16" s="279">
        <v>543655.67</v>
      </c>
      <c r="E16" s="279"/>
    </row>
    <row r="17" spans="1:5" ht="12.75">
      <c r="A17" s="279">
        <v>2</v>
      </c>
      <c r="B17" s="457" t="s">
        <v>74</v>
      </c>
      <c r="C17" s="279"/>
      <c r="D17" s="279">
        <v>158003.99</v>
      </c>
      <c r="E17" s="279"/>
    </row>
    <row r="18" spans="1:5" ht="12.75">
      <c r="A18" s="279">
        <v>3</v>
      </c>
      <c r="B18" s="279" t="s">
        <v>82</v>
      </c>
      <c r="C18" s="279"/>
      <c r="D18" s="279">
        <v>15000</v>
      </c>
      <c r="E18" s="279"/>
    </row>
    <row r="19" spans="1:5" ht="15.75">
      <c r="A19" s="279"/>
      <c r="B19" s="283" t="s">
        <v>10</v>
      </c>
      <c r="C19" s="279"/>
      <c r="D19" s="282">
        <f>D16+D18+D17</f>
        <v>716659.66</v>
      </c>
      <c r="E19" s="279"/>
    </row>
    <row r="20" spans="1:5" ht="15.75">
      <c r="A20" s="279"/>
      <c r="B20" s="283"/>
      <c r="C20" s="279"/>
      <c r="D20" s="282"/>
      <c r="E20" s="279"/>
    </row>
    <row r="21" spans="1:5" ht="15.75">
      <c r="A21" s="14"/>
      <c r="B21" s="17" t="s">
        <v>57</v>
      </c>
      <c r="C21" s="14"/>
      <c r="D21" s="20"/>
      <c r="E21" s="279"/>
    </row>
    <row r="22" spans="1:5" ht="12.75">
      <c r="A22" s="358" t="s">
        <v>58</v>
      </c>
      <c r="B22" s="16" t="s">
        <v>59</v>
      </c>
      <c r="C22" s="14"/>
      <c r="D22" s="19">
        <f>D23+D30+D29+D28+D27</f>
        <v>249054.66118</v>
      </c>
      <c r="E22" s="279"/>
    </row>
    <row r="23" spans="1:5" ht="12.75">
      <c r="A23" s="14">
        <v>1</v>
      </c>
      <c r="B23" s="22" t="s">
        <v>11</v>
      </c>
      <c r="C23" s="22" t="s">
        <v>9</v>
      </c>
      <c r="D23" s="21">
        <f>D24+D25+D26</f>
        <v>192671.59000000003</v>
      </c>
      <c r="E23" s="477"/>
    </row>
    <row r="24" spans="1:5" ht="12.75">
      <c r="A24" s="14"/>
      <c r="B24" s="14" t="s">
        <v>12</v>
      </c>
      <c r="C24" s="14"/>
      <c r="D24" s="14">
        <v>52068.38</v>
      </c>
      <c r="E24" s="279"/>
    </row>
    <row r="25" spans="1:5" ht="12.75">
      <c r="A25" s="14"/>
      <c r="B25" s="14" t="s">
        <v>13</v>
      </c>
      <c r="C25" s="14"/>
      <c r="D25" s="353">
        <v>65448.91</v>
      </c>
      <c r="E25" s="279"/>
    </row>
    <row r="26" spans="1:5" ht="12.75">
      <c r="A26" s="14"/>
      <c r="B26" s="14" t="s">
        <v>14</v>
      </c>
      <c r="C26" s="14"/>
      <c r="D26" s="14">
        <v>75154.3</v>
      </c>
      <c r="E26" s="279"/>
    </row>
    <row r="27" spans="1:5" ht="12.75">
      <c r="A27" s="14">
        <v>2</v>
      </c>
      <c r="B27" s="22" t="s">
        <v>136</v>
      </c>
      <c r="C27" s="14"/>
      <c r="D27" s="18">
        <f>D23*20.2%</f>
        <v>38919.66118</v>
      </c>
      <c r="E27" s="279"/>
    </row>
    <row r="28" spans="1:5" ht="12.75">
      <c r="A28" s="14">
        <v>3</v>
      </c>
      <c r="B28" s="352" t="s">
        <v>89</v>
      </c>
      <c r="C28" s="14"/>
      <c r="D28" s="14">
        <v>5655.18</v>
      </c>
      <c r="E28" s="279"/>
    </row>
    <row r="29" spans="1:7" ht="12.75">
      <c r="A29" s="14">
        <v>4</v>
      </c>
      <c r="B29" s="352" t="s">
        <v>101</v>
      </c>
      <c r="C29" s="14"/>
      <c r="D29" s="14">
        <v>5069.62</v>
      </c>
      <c r="E29" s="279"/>
      <c r="G29" s="424"/>
    </row>
    <row r="30" spans="1:7" ht="12.75">
      <c r="A30" s="14">
        <v>5</v>
      </c>
      <c r="B30" s="352" t="s">
        <v>15</v>
      </c>
      <c r="C30" s="14"/>
      <c r="D30" s="14">
        <v>6738.61</v>
      </c>
      <c r="E30" s="279"/>
      <c r="G30" s="382"/>
    </row>
    <row r="31" spans="1:5" ht="12.75">
      <c r="A31" s="358" t="s">
        <v>61</v>
      </c>
      <c r="B31" s="359" t="s">
        <v>60</v>
      </c>
      <c r="C31" s="14"/>
      <c r="D31" s="19">
        <f>D32+D33+D34+D35</f>
        <v>137651.20818</v>
      </c>
      <c r="E31" s="279"/>
    </row>
    <row r="32" spans="1:5" ht="12.75">
      <c r="A32" s="14">
        <v>1</v>
      </c>
      <c r="B32" s="22" t="s">
        <v>95</v>
      </c>
      <c r="C32" s="14"/>
      <c r="D32" s="22">
        <v>108405.09</v>
      </c>
      <c r="E32" s="279"/>
    </row>
    <row r="33" spans="1:5" ht="12.75">
      <c r="A33" s="14">
        <v>2</v>
      </c>
      <c r="B33" s="22" t="s">
        <v>136</v>
      </c>
      <c r="C33" s="14"/>
      <c r="D33" s="21">
        <f>D32*20.2%</f>
        <v>21897.828179999997</v>
      </c>
      <c r="E33" s="279"/>
    </row>
    <row r="34" spans="1:5" ht="12.75">
      <c r="A34" s="14">
        <v>3</v>
      </c>
      <c r="B34" s="22" t="s">
        <v>15</v>
      </c>
      <c r="C34" s="14"/>
      <c r="D34" s="22">
        <v>248.29</v>
      </c>
      <c r="E34" s="279"/>
    </row>
    <row r="35" spans="1:5" ht="12.75">
      <c r="A35" s="14">
        <v>4</v>
      </c>
      <c r="B35" s="22" t="s">
        <v>83</v>
      </c>
      <c r="C35" s="14"/>
      <c r="D35" s="22">
        <v>7100</v>
      </c>
      <c r="E35" s="14"/>
    </row>
    <row r="36" spans="1:5" ht="12.75">
      <c r="A36" s="358" t="s">
        <v>62</v>
      </c>
      <c r="B36" s="20" t="s">
        <v>16</v>
      </c>
      <c r="C36" s="14"/>
      <c r="D36" s="19">
        <f>D37+D38+D39+D40+D41+D42+D43</f>
        <v>69979.68299999999</v>
      </c>
      <c r="E36" s="19"/>
    </row>
    <row r="37" spans="1:5" ht="12.75">
      <c r="A37" s="14"/>
      <c r="B37" s="14" t="s">
        <v>17</v>
      </c>
      <c r="C37" s="14"/>
      <c r="D37" s="18">
        <f>D19*5%</f>
        <v>35832.983</v>
      </c>
      <c r="E37" s="14"/>
    </row>
    <row r="38" spans="1:5" ht="12.75">
      <c r="A38" s="14"/>
      <c r="B38" s="14" t="s">
        <v>18</v>
      </c>
      <c r="C38" s="14"/>
      <c r="D38" s="14">
        <v>2317.7</v>
      </c>
      <c r="E38" s="14"/>
    </row>
    <row r="39" spans="1:5" ht="12.75">
      <c r="A39" s="14"/>
      <c r="B39" s="14" t="s">
        <v>19</v>
      </c>
      <c r="C39" s="14"/>
      <c r="D39" s="14">
        <v>10847.68</v>
      </c>
      <c r="E39" s="14"/>
    </row>
    <row r="40" spans="1:5" ht="12.75">
      <c r="A40" s="14"/>
      <c r="B40" s="14" t="s">
        <v>20</v>
      </c>
      <c r="C40" s="14"/>
      <c r="D40" s="18">
        <v>14003.04</v>
      </c>
      <c r="E40" s="18"/>
    </row>
    <row r="41" spans="1:5" ht="12.75">
      <c r="A41" s="14"/>
      <c r="B41" s="352" t="s">
        <v>28</v>
      </c>
      <c r="C41" s="14"/>
      <c r="D41" s="14">
        <v>333.6</v>
      </c>
      <c r="E41" s="14"/>
    </row>
    <row r="42" spans="1:5" ht="12.75">
      <c r="A42" s="14"/>
      <c r="B42" s="352" t="s">
        <v>55</v>
      </c>
      <c r="C42" s="14"/>
      <c r="D42" s="14">
        <v>1804.5</v>
      </c>
      <c r="E42" s="14"/>
    </row>
    <row r="43" spans="1:5" ht="12.75">
      <c r="A43" s="14"/>
      <c r="B43" s="22" t="s">
        <v>21</v>
      </c>
      <c r="C43" s="14"/>
      <c r="D43" s="14">
        <v>4840.18</v>
      </c>
      <c r="E43" s="14"/>
    </row>
    <row r="44" spans="1:5" ht="12.75">
      <c r="A44" s="14">
        <v>4</v>
      </c>
      <c r="B44" s="20" t="s">
        <v>92</v>
      </c>
      <c r="C44" s="14"/>
      <c r="D44" s="19">
        <v>107478.62</v>
      </c>
      <c r="E44" s="19"/>
    </row>
    <row r="45" spans="1:5" ht="12.75">
      <c r="A45" s="14">
        <v>5</v>
      </c>
      <c r="B45" s="20" t="s">
        <v>23</v>
      </c>
      <c r="C45" s="14"/>
      <c r="D45" s="19">
        <f>D22+D31+D36+D44</f>
        <v>564164.17236</v>
      </c>
      <c r="E45" s="14"/>
    </row>
    <row r="46" spans="1:5" ht="12.75">
      <c r="A46" s="14">
        <v>6</v>
      </c>
      <c r="B46" s="14" t="s">
        <v>32</v>
      </c>
      <c r="C46" s="14"/>
      <c r="D46" s="19">
        <f>D19*6%</f>
        <v>42999.5796</v>
      </c>
      <c r="E46" s="14"/>
    </row>
    <row r="47" spans="1:5" ht="12.75">
      <c r="A47" s="14">
        <v>7</v>
      </c>
      <c r="B47" s="20" t="s">
        <v>24</v>
      </c>
      <c r="C47" s="14"/>
      <c r="D47" s="19">
        <f>D45+D46</f>
        <v>607163.75196</v>
      </c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4">
        <v>8</v>
      </c>
      <c r="B49" s="20" t="s">
        <v>142</v>
      </c>
      <c r="C49" s="14"/>
      <c r="D49" s="19">
        <f>(D16+D18)-D47+16906.42</f>
        <v>-31601.661959999983</v>
      </c>
      <c r="E49" s="14"/>
    </row>
    <row r="50" spans="1:5" ht="12.75">
      <c r="A50" s="14">
        <v>9</v>
      </c>
      <c r="B50" s="20" t="s">
        <v>44</v>
      </c>
      <c r="C50" s="14"/>
      <c r="D50" s="19">
        <f>D9+D49</f>
        <v>-220130.74195999996</v>
      </c>
      <c r="E50" s="14"/>
    </row>
    <row r="51" spans="1:5" ht="12.75">
      <c r="A51" s="3"/>
      <c r="B51" s="377"/>
      <c r="C51" s="3"/>
      <c r="D51" s="380"/>
      <c r="E51" s="3"/>
    </row>
    <row r="52" spans="1:5" ht="12.75">
      <c r="A52" s="3"/>
      <c r="B52" s="377" t="s">
        <v>74</v>
      </c>
      <c r="C52" s="3"/>
      <c r="D52" s="380">
        <f>D17+D10-16906.43</f>
        <v>234967.84999999998</v>
      </c>
      <c r="E52" s="3"/>
    </row>
    <row r="53" spans="1:5" ht="12.75">
      <c r="A53" s="3"/>
      <c r="B53" s="377" t="s">
        <v>109</v>
      </c>
      <c r="C53" s="3"/>
      <c r="D53" s="380">
        <v>168323.83</v>
      </c>
      <c r="E53" s="3"/>
    </row>
    <row r="54" spans="1:5" ht="12.75">
      <c r="A54" s="3"/>
      <c r="B54" s="377" t="s">
        <v>86</v>
      </c>
      <c r="C54" s="3"/>
      <c r="D54" s="380">
        <f>D52-D53</f>
        <v>66644.01999999999</v>
      </c>
      <c r="E54" s="3"/>
    </row>
    <row r="55" spans="1:5" ht="12.75">
      <c r="A55" s="3"/>
      <c r="B55" s="377"/>
      <c r="C55" s="3"/>
      <c r="D55" s="380"/>
      <c r="E55" s="3"/>
    </row>
    <row r="56" spans="1:5" ht="12.75">
      <c r="A56" s="1"/>
      <c r="B56" s="1" t="s">
        <v>30</v>
      </c>
      <c r="C56" s="1"/>
      <c r="D56" s="1" t="s">
        <v>0</v>
      </c>
      <c r="E56" s="1"/>
    </row>
    <row r="57" spans="1:5" ht="12.75">
      <c r="A57" s="1"/>
      <c r="B57" s="1" t="s">
        <v>31</v>
      </c>
      <c r="C57" s="1"/>
      <c r="D57" s="1" t="s">
        <v>26</v>
      </c>
      <c r="E57" s="1"/>
    </row>
  </sheetData>
  <sheetProtection/>
  <mergeCells count="3">
    <mergeCell ref="A5:C5"/>
    <mergeCell ref="D7:E7"/>
    <mergeCell ref="D8:E8"/>
  </mergeCells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G4" sqref="G4:H8"/>
    </sheetView>
  </sheetViews>
  <sheetFormatPr defaultColWidth="9.00390625" defaultRowHeight="12.75"/>
  <cols>
    <col min="1" max="1" width="5.00390625" style="0" customWidth="1"/>
    <col min="2" max="2" width="41.75390625" style="0" customWidth="1"/>
    <col min="3" max="3" width="7.00390625" style="0" customWidth="1"/>
    <col min="4" max="4" width="12.25390625" style="0" customWidth="1"/>
    <col min="5" max="5" width="10.125" style="0" customWidth="1"/>
    <col min="7" max="7" width="13.25390625" style="0" customWidth="1"/>
    <col min="8" max="8" width="13.75390625" style="0" customWidth="1"/>
    <col min="13" max="13" width="5.875" style="0" customWidth="1"/>
    <col min="14" max="14" width="38.875" style="0" customWidth="1"/>
    <col min="16" max="16" width="11.625" style="0" customWidth="1"/>
    <col min="20" max="20" width="43.125" style="0" customWidth="1"/>
    <col min="22" max="22" width="12.375" style="0" customWidth="1"/>
  </cols>
  <sheetData>
    <row r="1" spans="1:5" ht="15.75">
      <c r="A1" s="284"/>
      <c r="B1" s="285" t="s">
        <v>25</v>
      </c>
      <c r="C1" s="284"/>
      <c r="D1" s="284"/>
      <c r="E1" s="284"/>
    </row>
    <row r="2" spans="1:5" ht="12.75">
      <c r="A2" s="284"/>
      <c r="B2" s="284"/>
      <c r="C2" s="284"/>
      <c r="D2" s="284"/>
      <c r="E2" s="284"/>
    </row>
    <row r="3" spans="1:5" ht="12.75">
      <c r="A3" s="284"/>
      <c r="B3" s="284" t="s">
        <v>29</v>
      </c>
      <c r="C3" s="284"/>
      <c r="D3" s="284"/>
      <c r="E3" s="284"/>
    </row>
    <row r="4" spans="1:5" ht="12.75">
      <c r="A4" s="284"/>
      <c r="B4" s="347" t="s">
        <v>208</v>
      </c>
      <c r="C4" s="284"/>
      <c r="D4" s="284"/>
      <c r="E4" s="284"/>
    </row>
    <row r="5" spans="1:5" ht="12.75">
      <c r="A5" s="558"/>
      <c r="B5" s="558"/>
      <c r="C5" s="558"/>
      <c r="D5" s="286"/>
      <c r="E5" s="287"/>
    </row>
    <row r="6" spans="1:5" ht="15.75">
      <c r="A6" s="458"/>
      <c r="B6" s="459" t="s">
        <v>1</v>
      </c>
      <c r="C6" s="460" t="s">
        <v>3</v>
      </c>
      <c r="D6" s="559" t="s">
        <v>4</v>
      </c>
      <c r="E6" s="560"/>
    </row>
    <row r="7" spans="1:5" ht="15.75">
      <c r="A7" s="290"/>
      <c r="B7" s="288" t="s">
        <v>2</v>
      </c>
      <c r="C7" s="289" t="s">
        <v>33</v>
      </c>
      <c r="D7" s="561" t="s">
        <v>146</v>
      </c>
      <c r="E7" s="562"/>
    </row>
    <row r="8" spans="1:5" ht="12.75">
      <c r="A8" s="294"/>
      <c r="B8" s="295" t="s">
        <v>78</v>
      </c>
      <c r="C8" s="294"/>
      <c r="D8" s="461">
        <v>-89948.98</v>
      </c>
      <c r="E8" s="462"/>
    </row>
    <row r="9" spans="1:5" ht="12.75">
      <c r="A9" s="291"/>
      <c r="B9" s="374" t="s">
        <v>85</v>
      </c>
      <c r="C9" s="291"/>
      <c r="D9" s="292">
        <v>50058.6</v>
      </c>
      <c r="E9" s="293"/>
    </row>
    <row r="10" spans="1:5" ht="12.75">
      <c r="A10" s="294"/>
      <c r="B10" s="295" t="s">
        <v>5</v>
      </c>
      <c r="C10" s="294" t="s">
        <v>34</v>
      </c>
      <c r="D10" s="294">
        <v>7865.6</v>
      </c>
      <c r="E10" s="294"/>
    </row>
    <row r="11" spans="1:5" ht="12.75">
      <c r="A11" s="294"/>
      <c r="B11" s="295" t="s">
        <v>6</v>
      </c>
      <c r="C11" s="294" t="s">
        <v>34</v>
      </c>
      <c r="D11" s="294">
        <v>3607.56</v>
      </c>
      <c r="E11" s="294"/>
    </row>
    <row r="12" spans="1:5" ht="12.75">
      <c r="A12" s="294"/>
      <c r="B12" s="296" t="s">
        <v>27</v>
      </c>
      <c r="C12" s="294" t="s">
        <v>36</v>
      </c>
      <c r="D12" s="297">
        <v>401742.72</v>
      </c>
      <c r="E12" s="294"/>
    </row>
    <row r="13" spans="1:5" ht="12.75">
      <c r="A13" s="294"/>
      <c r="B13" s="294"/>
      <c r="C13" s="294"/>
      <c r="D13" s="294"/>
      <c r="E13" s="294"/>
    </row>
    <row r="14" spans="1:5" ht="15.75">
      <c r="A14" s="294"/>
      <c r="B14" s="298" t="s">
        <v>7</v>
      </c>
      <c r="C14" s="294"/>
      <c r="D14" s="294"/>
      <c r="E14" s="294"/>
    </row>
    <row r="15" spans="1:5" ht="12.75">
      <c r="A15" s="294">
        <v>1</v>
      </c>
      <c r="B15" s="294" t="s">
        <v>8</v>
      </c>
      <c r="C15" s="294" t="s">
        <v>9</v>
      </c>
      <c r="D15" s="294">
        <v>291285.04</v>
      </c>
      <c r="E15" s="294"/>
    </row>
    <row r="16" spans="1:5" ht="12.75">
      <c r="A16" s="294">
        <v>2</v>
      </c>
      <c r="B16" s="294" t="s">
        <v>74</v>
      </c>
      <c r="C16" s="294"/>
      <c r="D16" s="294">
        <v>102912.45</v>
      </c>
      <c r="E16" s="294"/>
    </row>
    <row r="17" spans="1:5" ht="12.75">
      <c r="A17" s="294">
        <v>3</v>
      </c>
      <c r="B17" s="279" t="s">
        <v>82</v>
      </c>
      <c r="C17" s="294"/>
      <c r="D17" s="294">
        <v>9000</v>
      </c>
      <c r="E17" s="294"/>
    </row>
    <row r="18" spans="1:5" ht="15.75">
      <c r="A18" s="294"/>
      <c r="B18" s="298" t="s">
        <v>10</v>
      </c>
      <c r="C18" s="294"/>
      <c r="D18" s="297">
        <f>D15+D16+D17</f>
        <v>403197.49</v>
      </c>
      <c r="E18" s="294"/>
    </row>
    <row r="19" spans="1:5" ht="15.75">
      <c r="A19" s="294"/>
      <c r="B19" s="298"/>
      <c r="C19" s="294"/>
      <c r="D19" s="297"/>
      <c r="E19" s="294"/>
    </row>
    <row r="20" spans="1:5" ht="15.75">
      <c r="A20" s="14"/>
      <c r="B20" s="17" t="s">
        <v>57</v>
      </c>
      <c r="C20" s="14"/>
      <c r="D20" s="20"/>
      <c r="E20" s="294"/>
    </row>
    <row r="21" spans="1:5" ht="12.75">
      <c r="A21" s="358" t="s">
        <v>58</v>
      </c>
      <c r="B21" s="16" t="s">
        <v>59</v>
      </c>
      <c r="C21" s="14"/>
      <c r="D21" s="19">
        <f>D22+D28+D27+D26</f>
        <v>123940.50658000002</v>
      </c>
      <c r="E21" s="294"/>
    </row>
    <row r="22" spans="1:5" ht="12.75">
      <c r="A22" s="14">
        <v>1</v>
      </c>
      <c r="B22" s="22" t="s">
        <v>11</v>
      </c>
      <c r="C22" s="22" t="s">
        <v>9</v>
      </c>
      <c r="D22" s="21">
        <f>D23+D24+D25</f>
        <v>96779.29000000001</v>
      </c>
      <c r="E22" s="294"/>
    </row>
    <row r="23" spans="1:5" ht="12.75">
      <c r="A23" s="470" t="s">
        <v>126</v>
      </c>
      <c r="B23" s="14" t="s">
        <v>12</v>
      </c>
      <c r="C23" s="14"/>
      <c r="D23" s="14">
        <v>19567.24</v>
      </c>
      <c r="E23" s="294"/>
    </row>
    <row r="24" spans="1:5" ht="12.75">
      <c r="A24" s="470" t="s">
        <v>127</v>
      </c>
      <c r="B24" s="14" t="s">
        <v>13</v>
      </c>
      <c r="C24" s="14"/>
      <c r="D24" s="353">
        <v>35822.47</v>
      </c>
      <c r="E24" s="294"/>
    </row>
    <row r="25" spans="1:5" ht="12.75">
      <c r="A25" s="470" t="s">
        <v>128</v>
      </c>
      <c r="B25" s="14" t="s">
        <v>14</v>
      </c>
      <c r="C25" s="14"/>
      <c r="D25" s="14">
        <v>41389.58</v>
      </c>
      <c r="E25" s="294"/>
    </row>
    <row r="26" spans="1:5" ht="12.75">
      <c r="A26" s="470"/>
      <c r="B26" s="22" t="s">
        <v>136</v>
      </c>
      <c r="C26" s="14"/>
      <c r="D26" s="18">
        <f>D22*20.2%</f>
        <v>19549.41658</v>
      </c>
      <c r="E26" s="294"/>
    </row>
    <row r="27" spans="1:5" ht="12.75">
      <c r="A27" s="14"/>
      <c r="B27" s="22" t="s">
        <v>143</v>
      </c>
      <c r="C27" s="14"/>
      <c r="D27" s="14">
        <v>1218.64</v>
      </c>
      <c r="E27" s="294"/>
    </row>
    <row r="28" spans="1:5" ht="12.75">
      <c r="A28" s="14">
        <v>2</v>
      </c>
      <c r="B28" s="352" t="s">
        <v>15</v>
      </c>
      <c r="C28" s="14"/>
      <c r="D28" s="14">
        <v>6393.16</v>
      </c>
      <c r="E28" s="294"/>
    </row>
    <row r="29" spans="1:5" ht="12.75">
      <c r="A29" s="358" t="s">
        <v>61</v>
      </c>
      <c r="B29" s="359" t="s">
        <v>60</v>
      </c>
      <c r="C29" s="14"/>
      <c r="D29" s="19">
        <f>D30+D31+D32</f>
        <v>82269.72962</v>
      </c>
      <c r="E29" s="294"/>
    </row>
    <row r="30" spans="1:5" ht="12.75">
      <c r="A30" s="14">
        <v>1</v>
      </c>
      <c r="B30" s="22" t="s">
        <v>95</v>
      </c>
      <c r="C30" s="14"/>
      <c r="D30" s="22">
        <v>62578.81</v>
      </c>
      <c r="E30" s="294"/>
    </row>
    <row r="31" spans="1:5" ht="12.75">
      <c r="A31" s="14"/>
      <c r="B31" s="22" t="s">
        <v>136</v>
      </c>
      <c r="C31" s="14"/>
      <c r="D31" s="21">
        <f>D30*20.2%</f>
        <v>12640.919619999999</v>
      </c>
      <c r="E31" s="294"/>
    </row>
    <row r="32" spans="1:5" ht="12.75">
      <c r="A32" s="14">
        <v>3</v>
      </c>
      <c r="B32" s="22" t="s">
        <v>83</v>
      </c>
      <c r="C32" s="14"/>
      <c r="D32" s="22">
        <v>7050</v>
      </c>
      <c r="E32" s="14"/>
    </row>
    <row r="33" spans="1:5" ht="12.75">
      <c r="A33" s="358" t="s">
        <v>62</v>
      </c>
      <c r="B33" s="20" t="s">
        <v>16</v>
      </c>
      <c r="C33" s="14"/>
      <c r="D33" s="19">
        <f>D34+D35+D36+D37+D38+D39+D40+D41</f>
        <v>40577.3345</v>
      </c>
      <c r="E33" s="19"/>
    </row>
    <row r="34" spans="1:5" ht="12.75">
      <c r="A34" s="14"/>
      <c r="B34" s="14" t="s">
        <v>17</v>
      </c>
      <c r="C34" s="14"/>
      <c r="D34" s="18">
        <f>D18*5%</f>
        <v>20159.8745</v>
      </c>
      <c r="E34" s="14"/>
    </row>
    <row r="35" spans="1:5" ht="12.75">
      <c r="A35" s="14"/>
      <c r="B35" s="14" t="s">
        <v>18</v>
      </c>
      <c r="C35" s="14"/>
      <c r="D35" s="14">
        <v>770.16</v>
      </c>
      <c r="E35" s="14"/>
    </row>
    <row r="36" spans="1:5" ht="12.75">
      <c r="A36" s="14"/>
      <c r="B36" s="14" t="s">
        <v>19</v>
      </c>
      <c r="C36" s="14"/>
      <c r="D36" s="14">
        <v>7189.41</v>
      </c>
      <c r="E36" s="14"/>
    </row>
    <row r="37" spans="1:5" ht="12.75">
      <c r="A37" s="14"/>
      <c r="B37" s="352" t="s">
        <v>28</v>
      </c>
      <c r="C37" s="14"/>
      <c r="D37" s="14">
        <v>333.6</v>
      </c>
      <c r="E37" s="14"/>
    </row>
    <row r="38" spans="1:5" ht="12.75">
      <c r="A38" s="14"/>
      <c r="B38" s="14" t="s">
        <v>20</v>
      </c>
      <c r="C38" s="14"/>
      <c r="D38" s="18">
        <v>8083.51</v>
      </c>
      <c r="E38" s="18"/>
    </row>
    <row r="39" spans="1:5" ht="12.75">
      <c r="A39" s="14"/>
      <c r="B39" s="22" t="s">
        <v>55</v>
      </c>
      <c r="C39" s="14"/>
      <c r="D39" s="14">
        <v>1041.7</v>
      </c>
      <c r="E39" s="14"/>
    </row>
    <row r="40" spans="1:5" ht="12.75">
      <c r="A40" s="14"/>
      <c r="B40" s="22" t="s">
        <v>141</v>
      </c>
      <c r="C40" s="14"/>
      <c r="D40" s="14">
        <v>205</v>
      </c>
      <c r="E40" s="14"/>
    </row>
    <row r="41" spans="1:5" ht="12.75">
      <c r="A41" s="14"/>
      <c r="B41" s="14" t="s">
        <v>21</v>
      </c>
      <c r="C41" s="14"/>
      <c r="D41" s="14">
        <v>2794.08</v>
      </c>
      <c r="E41" s="14"/>
    </row>
    <row r="42" spans="1:5" ht="12.75">
      <c r="A42" s="14">
        <v>4</v>
      </c>
      <c r="B42" s="20" t="s">
        <v>92</v>
      </c>
      <c r="C42" s="14"/>
      <c r="D42" s="19">
        <v>62044.28</v>
      </c>
      <c r="E42" s="19"/>
    </row>
    <row r="43" spans="1:5" ht="12.75">
      <c r="A43" s="14">
        <v>5</v>
      </c>
      <c r="B43" s="20" t="s">
        <v>23</v>
      </c>
      <c r="C43" s="14"/>
      <c r="D43" s="19">
        <f>D21+D29+D33+D42</f>
        <v>308831.8507</v>
      </c>
      <c r="E43" s="14"/>
    </row>
    <row r="44" spans="1:5" ht="12.75">
      <c r="A44" s="14">
        <v>6</v>
      </c>
      <c r="B44" s="14" t="s">
        <v>32</v>
      </c>
      <c r="C44" s="14"/>
      <c r="D44" s="19">
        <f>D18*6%</f>
        <v>24191.8494</v>
      </c>
      <c r="E44" s="14"/>
    </row>
    <row r="45" spans="1:5" ht="12.75">
      <c r="A45" s="14">
        <v>7</v>
      </c>
      <c r="B45" s="20" t="s">
        <v>24</v>
      </c>
      <c r="C45" s="14"/>
      <c r="D45" s="19">
        <f>D43+D44</f>
        <v>333023.7001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142</v>
      </c>
      <c r="C47" s="14"/>
      <c r="D47" s="19">
        <f>(D15+D17)-D45+11011.63</f>
        <v>-21727.03010000004</v>
      </c>
      <c r="E47" s="14"/>
    </row>
    <row r="48" spans="1:5" ht="12.75">
      <c r="A48" s="14">
        <v>9</v>
      </c>
      <c r="B48" s="20" t="s">
        <v>44</v>
      </c>
      <c r="C48" s="14"/>
      <c r="D48" s="19">
        <f>D8+D47</f>
        <v>-111676.01010000004</v>
      </c>
      <c r="E48" s="14"/>
    </row>
    <row r="49" spans="1:5" ht="12.75">
      <c r="A49" s="3"/>
      <c r="B49" s="377" t="s">
        <v>74</v>
      </c>
      <c r="C49" s="3"/>
      <c r="D49" s="380">
        <f>D9+D16-11011.63</f>
        <v>141959.41999999998</v>
      </c>
      <c r="E49" s="3"/>
    </row>
    <row r="50" spans="1:5" ht="12.75">
      <c r="A50" s="3"/>
      <c r="B50" s="377" t="s">
        <v>109</v>
      </c>
      <c r="C50" s="3"/>
      <c r="D50" s="380">
        <v>947.28</v>
      </c>
      <c r="E50" s="3"/>
    </row>
    <row r="51" spans="1:5" ht="12.75">
      <c r="A51" s="3"/>
      <c r="B51" s="377" t="s">
        <v>86</v>
      </c>
      <c r="C51" s="3"/>
      <c r="D51" s="380">
        <f>D49-D50</f>
        <v>141012.13999999998</v>
      </c>
      <c r="E51" s="3"/>
    </row>
    <row r="52" spans="1:5" ht="12.75">
      <c r="A52" s="3"/>
      <c r="B52" s="377"/>
      <c r="C52" s="3"/>
      <c r="D52" s="380"/>
      <c r="E52" s="3"/>
    </row>
    <row r="53" spans="1:5" ht="12.75">
      <c r="A53" s="1"/>
      <c r="B53" s="1" t="s">
        <v>30</v>
      </c>
      <c r="C53" s="1"/>
      <c r="D53" s="1" t="s">
        <v>0</v>
      </c>
      <c r="E53" s="1"/>
    </row>
    <row r="54" spans="1:5" ht="12.75">
      <c r="A54" s="1"/>
      <c r="B54" s="1" t="s">
        <v>31</v>
      </c>
      <c r="C54" s="1"/>
      <c r="D54" s="1" t="s">
        <v>26</v>
      </c>
      <c r="E54" s="1"/>
    </row>
  </sheetData>
  <sheetProtection/>
  <mergeCells count="3">
    <mergeCell ref="A5:C5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G3" sqref="G3:J19"/>
    </sheetView>
  </sheetViews>
  <sheetFormatPr defaultColWidth="9.00390625" defaultRowHeight="12.75"/>
  <cols>
    <col min="1" max="1" width="5.375" style="0" customWidth="1"/>
    <col min="2" max="2" width="41.25390625" style="0" customWidth="1"/>
    <col min="3" max="3" width="7.125" style="0" customWidth="1"/>
    <col min="4" max="4" width="12.75390625" style="0" customWidth="1"/>
    <col min="5" max="5" width="11.375" style="0" customWidth="1"/>
    <col min="6" max="6" width="11.25390625" style="0" customWidth="1"/>
    <col min="7" max="7" width="16.625" style="0" customWidth="1"/>
    <col min="8" max="8" width="15.25390625" style="0" customWidth="1"/>
    <col min="10" max="10" width="10.125" style="0" bestFit="1" customWidth="1"/>
    <col min="13" max="13" width="5.375" style="0" customWidth="1"/>
    <col min="14" max="14" width="43.125" style="0" customWidth="1"/>
    <col min="15" max="15" width="7.625" style="0" customWidth="1"/>
    <col min="16" max="16" width="10.875" style="0" customWidth="1"/>
    <col min="20" max="20" width="48.125" style="0" customWidth="1"/>
    <col min="22" max="22" width="11.75390625" style="0" customWidth="1"/>
  </cols>
  <sheetData>
    <row r="1" spans="1:5" ht="15.75">
      <c r="A1" s="299"/>
      <c r="B1" s="300" t="s">
        <v>25</v>
      </c>
      <c r="C1" s="299"/>
      <c r="D1" s="299"/>
      <c r="E1" s="299"/>
    </row>
    <row r="2" spans="1:5" ht="12.75">
      <c r="A2" s="299"/>
      <c r="B2" s="299"/>
      <c r="C2" s="299"/>
      <c r="D2" s="299"/>
      <c r="E2" s="299"/>
    </row>
    <row r="3" spans="1:5" ht="12.75">
      <c r="A3" s="299"/>
      <c r="B3" s="299" t="s">
        <v>29</v>
      </c>
      <c r="C3" s="299"/>
      <c r="D3" s="299"/>
      <c r="E3" s="299"/>
    </row>
    <row r="4" spans="1:5" ht="12.75">
      <c r="A4" s="299"/>
      <c r="B4" s="478" t="s">
        <v>215</v>
      </c>
      <c r="C4" s="299"/>
      <c r="D4" s="299"/>
      <c r="E4" s="299"/>
    </row>
    <row r="5" spans="1:5" ht="12.75">
      <c r="A5" s="563"/>
      <c r="B5" s="563"/>
      <c r="C5" s="563"/>
      <c r="D5" s="301"/>
      <c r="E5" s="302"/>
    </row>
    <row r="6" spans="1:5" ht="15.75">
      <c r="A6" s="419"/>
      <c r="B6" s="420" t="s">
        <v>1</v>
      </c>
      <c r="C6" s="421" t="s">
        <v>3</v>
      </c>
      <c r="D6" s="564" t="s">
        <v>4</v>
      </c>
      <c r="E6" s="565"/>
    </row>
    <row r="7" spans="1:5" ht="15.75">
      <c r="A7" s="305"/>
      <c r="B7" s="303" t="s">
        <v>2</v>
      </c>
      <c r="C7" s="304" t="s">
        <v>33</v>
      </c>
      <c r="D7" s="566" t="s">
        <v>138</v>
      </c>
      <c r="E7" s="567"/>
    </row>
    <row r="8" spans="1:5" ht="12.75">
      <c r="A8" s="309"/>
      <c r="B8" s="295" t="s">
        <v>78</v>
      </c>
      <c r="C8" s="309"/>
      <c r="D8" s="422">
        <v>-189237.75</v>
      </c>
      <c r="E8" s="423"/>
    </row>
    <row r="9" spans="1:5" ht="12.75">
      <c r="A9" s="306"/>
      <c r="B9" s="374" t="s">
        <v>85</v>
      </c>
      <c r="C9" s="306"/>
      <c r="D9" s="307">
        <v>54144.87</v>
      </c>
      <c r="E9" s="308"/>
    </row>
    <row r="10" spans="1:5" ht="12.75">
      <c r="A10" s="309"/>
      <c r="B10" s="310" t="s">
        <v>5</v>
      </c>
      <c r="C10" s="309" t="s">
        <v>34</v>
      </c>
      <c r="D10" s="309">
        <v>3706.66</v>
      </c>
      <c r="E10" s="309"/>
    </row>
    <row r="11" spans="1:5" ht="12.75">
      <c r="A11" s="309"/>
      <c r="B11" s="310" t="s">
        <v>6</v>
      </c>
      <c r="C11" s="309" t="s">
        <v>34</v>
      </c>
      <c r="D11" s="309">
        <v>2662.9</v>
      </c>
      <c r="E11" s="309"/>
    </row>
    <row r="12" spans="1:5" ht="12.75">
      <c r="A12" s="309"/>
      <c r="B12" s="311" t="s">
        <v>27</v>
      </c>
      <c r="C12" s="309" t="s">
        <v>36</v>
      </c>
      <c r="D12" s="312">
        <v>401103.12</v>
      </c>
      <c r="E12" s="309"/>
    </row>
    <row r="13" spans="1:5" ht="12.75">
      <c r="A13" s="309"/>
      <c r="B13" s="309"/>
      <c r="C13" s="309"/>
      <c r="D13" s="309"/>
      <c r="E13" s="309"/>
    </row>
    <row r="14" spans="1:5" ht="15.75">
      <c r="A14" s="309"/>
      <c r="B14" s="313" t="s">
        <v>7</v>
      </c>
      <c r="C14" s="309"/>
      <c r="D14" s="309"/>
      <c r="E14" s="309"/>
    </row>
    <row r="15" spans="1:5" ht="12.75">
      <c r="A15" s="309">
        <v>1</v>
      </c>
      <c r="B15" s="309" t="s">
        <v>8</v>
      </c>
      <c r="C15" s="309" t="s">
        <v>9</v>
      </c>
      <c r="D15" s="309">
        <v>297903.19</v>
      </c>
      <c r="E15" s="309"/>
    </row>
    <row r="16" spans="1:5" ht="12.75">
      <c r="A16" s="309">
        <v>2</v>
      </c>
      <c r="B16" s="309" t="s">
        <v>74</v>
      </c>
      <c r="C16" s="309"/>
      <c r="D16" s="309">
        <v>87804.65</v>
      </c>
      <c r="E16" s="309"/>
    </row>
    <row r="17" spans="1:5" ht="12.75">
      <c r="A17" s="309">
        <v>3</v>
      </c>
      <c r="B17" s="279" t="s">
        <v>82</v>
      </c>
      <c r="C17" s="309"/>
      <c r="D17" s="309">
        <v>9000</v>
      </c>
      <c r="E17" s="309"/>
    </row>
    <row r="18" spans="1:5" ht="15.75">
      <c r="A18" s="309"/>
      <c r="B18" s="313" t="s">
        <v>10</v>
      </c>
      <c r="C18" s="309"/>
      <c r="D18" s="312">
        <f>D15+D16+D17</f>
        <v>394707.83999999997</v>
      </c>
      <c r="E18" s="309"/>
    </row>
    <row r="19" spans="1:5" ht="15.75">
      <c r="A19" s="309"/>
      <c r="B19" s="313"/>
      <c r="C19" s="309"/>
      <c r="D19" s="312"/>
      <c r="E19" s="309"/>
    </row>
    <row r="20" spans="1:5" ht="15.75">
      <c r="A20" s="14"/>
      <c r="B20" s="17" t="s">
        <v>57</v>
      </c>
      <c r="C20" s="14"/>
      <c r="D20" s="20"/>
      <c r="E20" s="309"/>
    </row>
    <row r="21" spans="1:5" ht="12.75">
      <c r="A21" s="358" t="s">
        <v>58</v>
      </c>
      <c r="B21" s="16" t="s">
        <v>59</v>
      </c>
      <c r="C21" s="14"/>
      <c r="D21" s="19">
        <f>D22+D29+D27+D28+D26</f>
        <v>161261.85678</v>
      </c>
      <c r="E21" s="309"/>
    </row>
    <row r="22" spans="1:5" ht="12.75">
      <c r="A22" s="14">
        <v>1</v>
      </c>
      <c r="B22" s="22" t="s">
        <v>11</v>
      </c>
      <c r="C22" s="22" t="s">
        <v>9</v>
      </c>
      <c r="D22" s="21">
        <f>D23+D24+D25</f>
        <v>127359.39</v>
      </c>
      <c r="E22" s="309"/>
    </row>
    <row r="23" spans="1:5" ht="12.75">
      <c r="A23" s="468" t="s">
        <v>126</v>
      </c>
      <c r="B23" s="14" t="s">
        <v>12</v>
      </c>
      <c r="C23" s="14"/>
      <c r="D23" s="14">
        <v>48168.25</v>
      </c>
      <c r="E23" s="309"/>
    </row>
    <row r="24" spans="1:5" ht="12.75">
      <c r="A24" s="468" t="s">
        <v>127</v>
      </c>
      <c r="B24" s="14" t="s">
        <v>13</v>
      </c>
      <c r="C24" s="14"/>
      <c r="D24" s="353">
        <v>40930.53</v>
      </c>
      <c r="E24" s="309"/>
    </row>
    <row r="25" spans="1:5" ht="12.75">
      <c r="A25" s="468" t="s">
        <v>128</v>
      </c>
      <c r="B25" s="14" t="s">
        <v>14</v>
      </c>
      <c r="C25" s="14"/>
      <c r="D25" s="14">
        <v>38260.61</v>
      </c>
      <c r="E25" s="309"/>
    </row>
    <row r="26" spans="1:5" ht="12.75">
      <c r="A26" s="14">
        <v>2</v>
      </c>
      <c r="B26" s="22" t="s">
        <v>136</v>
      </c>
      <c r="C26" s="14"/>
      <c r="D26" s="18">
        <f>D22*20.2%</f>
        <v>25726.596779999996</v>
      </c>
      <c r="E26" s="309"/>
    </row>
    <row r="27" spans="1:5" ht="12.75">
      <c r="A27" s="14">
        <v>3</v>
      </c>
      <c r="B27" s="22" t="s">
        <v>143</v>
      </c>
      <c r="C27" s="14"/>
      <c r="D27" s="14">
        <v>2787.29</v>
      </c>
      <c r="E27" s="309"/>
    </row>
    <row r="28" spans="1:5" ht="12.75">
      <c r="A28" s="14">
        <v>4</v>
      </c>
      <c r="B28" s="352" t="s">
        <v>103</v>
      </c>
      <c r="C28" s="14"/>
      <c r="D28" s="14">
        <v>125</v>
      </c>
      <c r="E28" s="309"/>
    </row>
    <row r="29" spans="1:5" ht="12.75">
      <c r="A29" s="14">
        <v>5</v>
      </c>
      <c r="B29" s="352" t="s">
        <v>15</v>
      </c>
      <c r="C29" s="14"/>
      <c r="D29" s="14">
        <v>5263.58</v>
      </c>
      <c r="E29" s="309"/>
    </row>
    <row r="30" spans="1:5" ht="12.75">
      <c r="A30" s="358" t="s">
        <v>61</v>
      </c>
      <c r="B30" s="359" t="s">
        <v>60</v>
      </c>
      <c r="C30" s="14"/>
      <c r="D30" s="19">
        <f>D31+D32+D33+D34</f>
        <v>85393.07512</v>
      </c>
      <c r="E30" s="309"/>
    </row>
    <row r="31" spans="1:5" ht="12.75">
      <c r="A31" s="14">
        <v>1</v>
      </c>
      <c r="B31" s="22" t="s">
        <v>95</v>
      </c>
      <c r="C31" s="14"/>
      <c r="D31" s="22">
        <v>65086.56</v>
      </c>
      <c r="E31" s="309"/>
    </row>
    <row r="32" spans="1:5" ht="12.75">
      <c r="A32" s="14">
        <v>2</v>
      </c>
      <c r="B32" s="22" t="s">
        <v>136</v>
      </c>
      <c r="C32" s="14"/>
      <c r="D32" s="21">
        <f>D31*20.2%</f>
        <v>13147.48512</v>
      </c>
      <c r="E32" s="18"/>
    </row>
    <row r="33" spans="1:5" ht="12.75">
      <c r="A33" s="14">
        <v>3</v>
      </c>
      <c r="B33" s="22" t="s">
        <v>15</v>
      </c>
      <c r="C33" s="14"/>
      <c r="D33" s="22">
        <v>109.03</v>
      </c>
      <c r="E33" s="14"/>
    </row>
    <row r="34" spans="1:5" ht="12.75">
      <c r="A34" s="14">
        <v>4</v>
      </c>
      <c r="B34" s="22" t="s">
        <v>83</v>
      </c>
      <c r="C34" s="14"/>
      <c r="D34" s="22">
        <v>7050</v>
      </c>
      <c r="E34" s="14"/>
    </row>
    <row r="35" spans="1:5" ht="12.75">
      <c r="A35" s="358" t="s">
        <v>62</v>
      </c>
      <c r="B35" s="20" t="s">
        <v>16</v>
      </c>
      <c r="C35" s="14"/>
      <c r="D35" s="19">
        <f>D36+D37+D38+D39+D40+D41+D42+D43+D44</f>
        <v>45461.04200000001</v>
      </c>
      <c r="E35" s="19"/>
    </row>
    <row r="36" spans="1:5" ht="12.75">
      <c r="A36" s="14"/>
      <c r="B36" s="14" t="s">
        <v>17</v>
      </c>
      <c r="C36" s="14"/>
      <c r="D36" s="18">
        <f>D18*5%</f>
        <v>19735.392</v>
      </c>
      <c r="E36" s="14"/>
    </row>
    <row r="37" spans="1:5" ht="12.75">
      <c r="A37" s="14"/>
      <c r="B37" s="14" t="s">
        <v>18</v>
      </c>
      <c r="C37" s="14"/>
      <c r="D37" s="14">
        <v>801.24</v>
      </c>
      <c r="E37" s="14"/>
    </row>
    <row r="38" spans="1:5" ht="12.75">
      <c r="A38" s="14"/>
      <c r="B38" s="14" t="s">
        <v>19</v>
      </c>
      <c r="C38" s="14"/>
      <c r="D38" s="14">
        <v>11183.92</v>
      </c>
      <c r="E38" s="14"/>
    </row>
    <row r="39" spans="1:5" ht="12.75">
      <c r="A39" s="14"/>
      <c r="B39" s="14" t="s">
        <v>20</v>
      </c>
      <c r="C39" s="14"/>
      <c r="D39" s="18">
        <v>8407.44</v>
      </c>
      <c r="E39" s="18"/>
    </row>
    <row r="40" spans="1:5" ht="12.75">
      <c r="A40" s="14"/>
      <c r="B40" s="22" t="s">
        <v>55</v>
      </c>
      <c r="C40" s="14"/>
      <c r="D40" s="14">
        <v>1083.4</v>
      </c>
      <c r="E40" s="14"/>
    </row>
    <row r="41" spans="1:5" ht="12.75">
      <c r="A41" s="14"/>
      <c r="B41" s="352" t="s">
        <v>112</v>
      </c>
      <c r="C41" s="14"/>
      <c r="D41" s="14">
        <v>810</v>
      </c>
      <c r="E41" s="14"/>
    </row>
    <row r="42" spans="1:5" ht="12.75">
      <c r="A42" s="14"/>
      <c r="B42" s="22" t="s">
        <v>141</v>
      </c>
      <c r="C42" s="14"/>
      <c r="D42" s="14">
        <v>200</v>
      </c>
      <c r="E42" s="14"/>
    </row>
    <row r="43" spans="1:5" ht="12.75">
      <c r="A43" s="14"/>
      <c r="B43" s="352" t="s">
        <v>28</v>
      </c>
      <c r="C43" s="14"/>
      <c r="D43" s="14">
        <v>333.6</v>
      </c>
      <c r="E43" s="14"/>
    </row>
    <row r="44" spans="1:5" ht="12.75">
      <c r="A44" s="14"/>
      <c r="B44" s="14" t="s">
        <v>21</v>
      </c>
      <c r="C44" s="14"/>
      <c r="D44" s="14">
        <v>2906.05</v>
      </c>
      <c r="E44" s="14"/>
    </row>
    <row r="45" spans="1:5" ht="12.75">
      <c r="A45" s="14">
        <v>4</v>
      </c>
      <c r="B45" s="20" t="s">
        <v>92</v>
      </c>
      <c r="C45" s="14"/>
      <c r="D45" s="19">
        <v>64530.31</v>
      </c>
      <c r="E45" s="19"/>
    </row>
    <row r="46" spans="1:5" ht="12.75">
      <c r="A46" s="14">
        <v>5</v>
      </c>
      <c r="B46" s="20" t="s">
        <v>23</v>
      </c>
      <c r="C46" s="14"/>
      <c r="D46" s="19">
        <f>D21+D30+D35+D45</f>
        <v>356646.2839</v>
      </c>
      <c r="E46" s="14"/>
    </row>
    <row r="47" spans="1:5" ht="12.75">
      <c r="A47" s="14">
        <v>6</v>
      </c>
      <c r="B47" s="14" t="s">
        <v>32</v>
      </c>
      <c r="C47" s="14"/>
      <c r="D47" s="19">
        <f>D18*6%</f>
        <v>23682.4704</v>
      </c>
      <c r="E47" s="14"/>
    </row>
    <row r="48" spans="1:5" ht="12.75">
      <c r="A48" s="14">
        <v>7</v>
      </c>
      <c r="B48" s="20" t="s">
        <v>24</v>
      </c>
      <c r="C48" s="14"/>
      <c r="D48" s="19">
        <f>D46+D47</f>
        <v>380328.7543</v>
      </c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14">
        <v>8</v>
      </c>
      <c r="B50" s="20" t="s">
        <v>142</v>
      </c>
      <c r="C50" s="14"/>
      <c r="D50" s="19">
        <f>(D15+D17)-D48+9395.1</f>
        <v>-64030.46429999997</v>
      </c>
      <c r="E50" s="14"/>
    </row>
    <row r="51" spans="1:5" ht="12.75">
      <c r="A51" s="14">
        <v>9</v>
      </c>
      <c r="B51" s="20" t="s">
        <v>44</v>
      </c>
      <c r="C51" s="14"/>
      <c r="D51" s="19">
        <f>D8+D50</f>
        <v>-253268.21429999996</v>
      </c>
      <c r="E51" s="14"/>
    </row>
    <row r="52" spans="1:5" ht="12.75">
      <c r="A52" s="3"/>
      <c r="B52" s="377" t="s">
        <v>74</v>
      </c>
      <c r="C52" s="3"/>
      <c r="D52" s="380">
        <f>D9+D16-9395.1</f>
        <v>132554.41999999998</v>
      </c>
      <c r="E52" s="3"/>
    </row>
    <row r="53" spans="1:5" ht="12.75">
      <c r="A53" s="3"/>
      <c r="B53" s="377" t="s">
        <v>109</v>
      </c>
      <c r="C53" s="3"/>
      <c r="D53" s="380">
        <v>94661.75</v>
      </c>
      <c r="E53" s="3"/>
    </row>
    <row r="54" spans="1:5" ht="12.75">
      <c r="A54" s="3"/>
      <c r="B54" s="377" t="s">
        <v>94</v>
      </c>
      <c r="C54" s="3"/>
      <c r="D54" s="380">
        <f>D52-D53</f>
        <v>37892.669999999984</v>
      </c>
      <c r="E54" s="3"/>
    </row>
    <row r="55" spans="1:5" ht="12.75">
      <c r="A55" s="3"/>
      <c r="B55" s="377"/>
      <c r="C55" s="3"/>
      <c r="D55" s="380"/>
      <c r="E55" s="3"/>
    </row>
    <row r="56" spans="1:5" ht="12.75">
      <c r="A56" s="1"/>
      <c r="B56" s="1" t="s">
        <v>30</v>
      </c>
      <c r="C56" s="1"/>
      <c r="D56" s="1" t="s">
        <v>0</v>
      </c>
      <c r="E56" s="1"/>
    </row>
    <row r="57" spans="1:5" ht="12.75">
      <c r="A57" s="1"/>
      <c r="B57" s="1" t="s">
        <v>31</v>
      </c>
      <c r="C57" s="1"/>
      <c r="D57" s="1" t="s">
        <v>26</v>
      </c>
      <c r="E57" s="1"/>
    </row>
  </sheetData>
  <sheetProtection/>
  <mergeCells count="3">
    <mergeCell ref="A5:C5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3.75390625" style="0" customWidth="1"/>
    <col min="2" max="2" width="41.00390625" style="0" customWidth="1"/>
    <col min="3" max="3" width="8.125" style="0" customWidth="1"/>
    <col min="4" max="4" width="11.125" style="0" customWidth="1"/>
    <col min="5" max="5" width="10.625" style="0" customWidth="1"/>
    <col min="7" max="7" width="11.625" style="0" customWidth="1"/>
    <col min="8" max="8" width="12.375" style="0" customWidth="1"/>
    <col min="10" max="10" width="10.25390625" style="0" customWidth="1"/>
    <col min="14" max="14" width="6.75390625" style="0" customWidth="1"/>
    <col min="15" max="15" width="40.125" style="0" customWidth="1"/>
    <col min="17" max="17" width="14.625" style="0" customWidth="1"/>
    <col min="18" max="18" width="13.00390625" style="0" customWidth="1"/>
    <col min="19" max="19" width="4.625" style="0" customWidth="1"/>
    <col min="21" max="21" width="48.375" style="0" customWidth="1"/>
    <col min="23" max="23" width="12.12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169</v>
      </c>
    </row>
    <row r="5" spans="1:5" ht="12.75">
      <c r="A5" s="568"/>
      <c r="B5" s="568"/>
      <c r="C5" s="568"/>
      <c r="D5" s="569"/>
      <c r="E5" s="316"/>
    </row>
    <row r="6" spans="1:5" ht="12.75">
      <c r="A6" s="336"/>
      <c r="B6" s="336"/>
      <c r="C6" s="336"/>
      <c r="D6" s="318"/>
      <c r="E6" s="319"/>
    </row>
    <row r="7" spans="1:5" ht="15.75">
      <c r="A7" s="317"/>
      <c r="B7" s="320" t="s">
        <v>1</v>
      </c>
      <c r="C7" s="321" t="s">
        <v>3</v>
      </c>
      <c r="D7" s="570" t="s">
        <v>4</v>
      </c>
      <c r="E7" s="571"/>
    </row>
    <row r="8" spans="1:5" ht="15.75">
      <c r="A8" s="322"/>
      <c r="B8" s="320" t="s">
        <v>2</v>
      </c>
      <c r="C8" s="321" t="s">
        <v>49</v>
      </c>
      <c r="D8" s="572" t="s">
        <v>170</v>
      </c>
      <c r="E8" s="573"/>
    </row>
    <row r="9" spans="1:5" ht="12.75">
      <c r="A9" s="323"/>
      <c r="B9" s="323"/>
      <c r="C9" s="323"/>
      <c r="D9" s="324"/>
      <c r="E9" s="325"/>
    </row>
    <row r="10" spans="1:5" ht="12.75">
      <c r="A10" s="323"/>
      <c r="B10" s="338" t="s">
        <v>70</v>
      </c>
      <c r="C10" s="323"/>
      <c r="D10" s="324">
        <v>-26858.08</v>
      </c>
      <c r="E10" s="325"/>
    </row>
    <row r="11" spans="1:5" ht="12.75">
      <c r="A11" s="326"/>
      <c r="B11" s="327" t="s">
        <v>5</v>
      </c>
      <c r="C11" s="338" t="s">
        <v>50</v>
      </c>
      <c r="D11" s="326">
        <v>6474.6</v>
      </c>
      <c r="E11" s="326"/>
    </row>
    <row r="12" spans="1:5" ht="12.75">
      <c r="A12" s="326"/>
      <c r="B12" s="327" t="s">
        <v>6</v>
      </c>
      <c r="C12" s="338" t="s">
        <v>50</v>
      </c>
      <c r="D12" s="326">
        <v>4182.9</v>
      </c>
      <c r="E12" s="326"/>
    </row>
    <row r="13" spans="1:5" ht="12.75">
      <c r="A13" s="326"/>
      <c r="B13" s="328" t="s">
        <v>27</v>
      </c>
      <c r="C13" s="338" t="s">
        <v>36</v>
      </c>
      <c r="D13" s="329">
        <v>601152.15</v>
      </c>
      <c r="E13" s="326"/>
    </row>
    <row r="14" spans="1:5" ht="15.75">
      <c r="A14" s="326"/>
      <c r="B14" s="330" t="s">
        <v>7</v>
      </c>
      <c r="C14" s="323"/>
      <c r="D14" s="326"/>
      <c r="E14" s="326"/>
    </row>
    <row r="15" spans="1:5" ht="12.75">
      <c r="A15" s="326">
        <v>1</v>
      </c>
      <c r="B15" s="326" t="s">
        <v>8</v>
      </c>
      <c r="C15" s="338" t="s">
        <v>9</v>
      </c>
      <c r="D15" s="326">
        <v>443020.8</v>
      </c>
      <c r="E15" s="326"/>
    </row>
    <row r="16" spans="1:5" ht="12.75">
      <c r="A16" s="326">
        <v>2</v>
      </c>
      <c r="B16" s="326" t="s">
        <v>74</v>
      </c>
      <c r="C16" s="338"/>
      <c r="D16" s="326">
        <v>133734.38</v>
      </c>
      <c r="E16" s="326"/>
    </row>
    <row r="17" spans="1:5" ht="12.75">
      <c r="A17" s="326">
        <v>2</v>
      </c>
      <c r="B17" s="326" t="s">
        <v>82</v>
      </c>
      <c r="C17" s="323"/>
      <c r="D17" s="326">
        <v>23758.96</v>
      </c>
      <c r="E17" s="326"/>
    </row>
    <row r="18" spans="1:5" ht="15.75">
      <c r="A18" s="326"/>
      <c r="B18" s="330" t="s">
        <v>10</v>
      </c>
      <c r="C18" s="323"/>
      <c r="D18" s="329">
        <f>D15+D17+D16</f>
        <v>600514.14</v>
      </c>
      <c r="E18" s="326"/>
    </row>
    <row r="19" spans="1:5" ht="15.75">
      <c r="A19" s="326"/>
      <c r="B19" s="330"/>
      <c r="C19" s="323"/>
      <c r="D19" s="329"/>
      <c r="E19" s="326"/>
    </row>
    <row r="20" spans="1:5" ht="15.75">
      <c r="A20" s="14"/>
      <c r="B20" s="17" t="s">
        <v>57</v>
      </c>
      <c r="C20" s="14"/>
      <c r="D20" s="20"/>
      <c r="E20" s="326"/>
    </row>
    <row r="21" spans="1:5" ht="12.75">
      <c r="A21" s="358" t="s">
        <v>58</v>
      </c>
      <c r="B21" s="16" t="s">
        <v>59</v>
      </c>
      <c r="C21" s="14"/>
      <c r="D21" s="19">
        <f>D22+D23+D24+D26+D25+D27</f>
        <v>91269.3815</v>
      </c>
      <c r="E21" s="326"/>
    </row>
    <row r="22" spans="1:5" ht="12.75">
      <c r="A22" s="14">
        <v>1</v>
      </c>
      <c r="B22" s="22" t="s">
        <v>11</v>
      </c>
      <c r="C22" s="22" t="s">
        <v>9</v>
      </c>
      <c r="D22" s="22">
        <v>68395.75</v>
      </c>
      <c r="E22" s="326"/>
    </row>
    <row r="23" spans="1:5" ht="12.75">
      <c r="A23" s="14">
        <v>2</v>
      </c>
      <c r="B23" s="22" t="s">
        <v>136</v>
      </c>
      <c r="C23" s="14"/>
      <c r="D23" s="18">
        <f>D22*20.2%</f>
        <v>13815.941499999999</v>
      </c>
      <c r="E23" s="18"/>
    </row>
    <row r="24" spans="1:5" ht="12.75">
      <c r="A24" s="14">
        <v>3</v>
      </c>
      <c r="B24" s="14" t="s">
        <v>114</v>
      </c>
      <c r="C24" s="14"/>
      <c r="D24" s="353">
        <v>4903.75</v>
      </c>
      <c r="E24" s="18"/>
    </row>
    <row r="25" spans="1:5" ht="12.75">
      <c r="A25" s="14">
        <v>4</v>
      </c>
      <c r="B25" s="14" t="s">
        <v>115</v>
      </c>
      <c r="C25" s="14"/>
      <c r="D25" s="353">
        <v>0</v>
      </c>
      <c r="E25" s="18"/>
    </row>
    <row r="26" spans="1:5" ht="12.75">
      <c r="A26" s="14">
        <v>5</v>
      </c>
      <c r="B26" s="22" t="s">
        <v>89</v>
      </c>
      <c r="C26" s="14"/>
      <c r="D26" s="14">
        <v>3561.53</v>
      </c>
      <c r="E26" s="18"/>
    </row>
    <row r="27" spans="1:5" ht="12.75">
      <c r="A27" s="14">
        <v>6</v>
      </c>
      <c r="B27" s="352" t="s">
        <v>15</v>
      </c>
      <c r="C27" s="14"/>
      <c r="D27" s="14">
        <v>592.41</v>
      </c>
      <c r="E27" s="18"/>
    </row>
    <row r="28" spans="1:5" ht="12.75">
      <c r="A28" s="358" t="s">
        <v>61</v>
      </c>
      <c r="B28" s="359" t="s">
        <v>60</v>
      </c>
      <c r="C28" s="14"/>
      <c r="D28" s="19">
        <f>D29+D31+D30+D32</f>
        <v>129059.55276</v>
      </c>
      <c r="E28" s="18"/>
    </row>
    <row r="29" spans="1:5" ht="12.75">
      <c r="A29" s="14">
        <v>1</v>
      </c>
      <c r="B29" s="22" t="s">
        <v>95</v>
      </c>
      <c r="C29" s="14"/>
      <c r="D29" s="22">
        <v>102238.38</v>
      </c>
      <c r="E29" s="18"/>
    </row>
    <row r="30" spans="1:5" ht="12.75">
      <c r="A30" s="14">
        <v>2</v>
      </c>
      <c r="B30" s="22" t="s">
        <v>136</v>
      </c>
      <c r="C30" s="14"/>
      <c r="D30" s="21">
        <f>D29*20.2%</f>
        <v>20652.15276</v>
      </c>
      <c r="E30" s="18"/>
    </row>
    <row r="31" spans="1:5" ht="12.75">
      <c r="A31" s="14">
        <v>3</v>
      </c>
      <c r="B31" s="22" t="s">
        <v>15</v>
      </c>
      <c r="C31" s="14"/>
      <c r="D31" s="22">
        <v>449.02</v>
      </c>
      <c r="E31" s="14"/>
    </row>
    <row r="32" spans="1:5" ht="12.75">
      <c r="A32" s="14"/>
      <c r="B32" s="22" t="s">
        <v>83</v>
      </c>
      <c r="C32" s="14"/>
      <c r="D32" s="22">
        <v>5720</v>
      </c>
      <c r="E32" s="14"/>
    </row>
    <row r="33" spans="1:5" ht="12.75">
      <c r="A33" s="358" t="s">
        <v>62</v>
      </c>
      <c r="B33" s="20" t="s">
        <v>16</v>
      </c>
      <c r="C33" s="14"/>
      <c r="D33" s="19">
        <f>D34+D35+D36+D37+D38+D39+D40+D41+D42+D43</f>
        <v>83913.147</v>
      </c>
      <c r="E33" s="19"/>
    </row>
    <row r="34" spans="1:5" ht="12.75">
      <c r="A34" s="14"/>
      <c r="B34" s="14" t="s">
        <v>17</v>
      </c>
      <c r="C34" s="14"/>
      <c r="D34" s="18">
        <f>D18*5%</f>
        <v>30025.707000000002</v>
      </c>
      <c r="E34" s="14"/>
    </row>
    <row r="35" spans="1:5" ht="12.75">
      <c r="A35" s="14"/>
      <c r="B35" s="14" t="s">
        <v>18</v>
      </c>
      <c r="C35" s="14"/>
      <c r="D35" s="14">
        <v>1166.99</v>
      </c>
      <c r="E35" s="14"/>
    </row>
    <row r="36" spans="1:5" ht="12.75">
      <c r="A36" s="14"/>
      <c r="B36" s="14" t="s">
        <v>19</v>
      </c>
      <c r="C36" s="14"/>
      <c r="D36" s="14">
        <v>7314.5</v>
      </c>
      <c r="E36" s="14"/>
    </row>
    <row r="37" spans="1:5" ht="12.75">
      <c r="A37" s="14"/>
      <c r="B37" s="14" t="s">
        <v>20</v>
      </c>
      <c r="C37" s="14"/>
      <c r="D37" s="18">
        <v>13206.47</v>
      </c>
      <c r="E37" s="18"/>
    </row>
    <row r="38" spans="1:5" ht="12.75">
      <c r="A38" s="14"/>
      <c r="B38" s="22" t="s">
        <v>148</v>
      </c>
      <c r="C38" s="14"/>
      <c r="D38" s="14">
        <v>15000</v>
      </c>
      <c r="E38" s="14"/>
    </row>
    <row r="39" spans="1:5" ht="12.75">
      <c r="A39" s="352"/>
      <c r="B39" s="22" t="s">
        <v>188</v>
      </c>
      <c r="C39" s="352"/>
      <c r="D39" s="352">
        <v>10345</v>
      </c>
      <c r="E39" s="352"/>
    </row>
    <row r="40" spans="1:5" ht="12.75">
      <c r="A40" s="14"/>
      <c r="B40" s="22" t="s">
        <v>141</v>
      </c>
      <c r="C40" s="14"/>
      <c r="D40" s="14">
        <v>400</v>
      </c>
      <c r="E40" s="14"/>
    </row>
    <row r="41" spans="1:5" ht="12.75">
      <c r="A41" s="14"/>
      <c r="B41" s="352" t="s">
        <v>55</v>
      </c>
      <c r="C41" s="14"/>
      <c r="D41" s="14">
        <v>1701.8</v>
      </c>
      <c r="E41" s="14"/>
    </row>
    <row r="42" spans="1:5" ht="12.75">
      <c r="A42" s="14"/>
      <c r="B42" s="352" t="s">
        <v>28</v>
      </c>
      <c r="C42" s="14"/>
      <c r="D42" s="14">
        <v>187.84</v>
      </c>
      <c r="E42" s="14"/>
    </row>
    <row r="43" spans="1:5" ht="12.75">
      <c r="A43" s="14"/>
      <c r="B43" s="14" t="s">
        <v>21</v>
      </c>
      <c r="C43" s="14"/>
      <c r="D43" s="14">
        <v>4564.84</v>
      </c>
      <c r="E43" s="14"/>
    </row>
    <row r="44" spans="1:5" ht="12.75">
      <c r="A44" s="14">
        <v>4</v>
      </c>
      <c r="B44" s="20" t="s">
        <v>92</v>
      </c>
      <c r="C44" s="14"/>
      <c r="D44" s="19">
        <v>138421.24</v>
      </c>
      <c r="E44" s="19"/>
    </row>
    <row r="45" spans="1:5" ht="12.75">
      <c r="A45" s="14">
        <v>5</v>
      </c>
      <c r="B45" s="20" t="s">
        <v>23</v>
      </c>
      <c r="C45" s="14"/>
      <c r="D45" s="19">
        <f>D21+E21+D28+E28+D33+E33+D44+E44</f>
        <v>442663.32126</v>
      </c>
      <c r="E45" s="14"/>
    </row>
    <row r="46" spans="1:5" ht="12.75">
      <c r="A46" s="14">
        <v>6</v>
      </c>
      <c r="B46" s="14" t="s">
        <v>32</v>
      </c>
      <c r="C46" s="14"/>
      <c r="D46" s="19">
        <f>D18*6%</f>
        <v>36030.8484</v>
      </c>
      <c r="E46" s="14"/>
    </row>
    <row r="47" spans="1:5" ht="12.75">
      <c r="A47" s="14">
        <v>7</v>
      </c>
      <c r="B47" s="20" t="s">
        <v>24</v>
      </c>
      <c r="C47" s="14"/>
      <c r="D47" s="19">
        <f>D45+D46</f>
        <v>478694.16966</v>
      </c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4">
        <v>8</v>
      </c>
      <c r="B49" s="20" t="s">
        <v>142</v>
      </c>
      <c r="C49" s="14"/>
      <c r="D49" s="19">
        <f>(D15+D17)-D47+14309.58</f>
        <v>2395.170339999995</v>
      </c>
      <c r="E49" s="14"/>
    </row>
    <row r="50" spans="1:5" ht="12.75">
      <c r="A50" s="14">
        <v>9</v>
      </c>
      <c r="B50" s="20" t="s">
        <v>44</v>
      </c>
      <c r="C50" s="14"/>
      <c r="D50" s="19">
        <f>D10+D49</f>
        <v>-24462.909660000005</v>
      </c>
      <c r="E50" s="14"/>
    </row>
    <row r="51" spans="1:5" ht="12.75">
      <c r="A51" s="3"/>
      <c r="B51" s="377"/>
      <c r="C51" s="3"/>
      <c r="D51" s="380"/>
      <c r="E51" s="3"/>
    </row>
    <row r="52" spans="1:5" ht="12.75">
      <c r="A52" s="3"/>
      <c r="B52" s="377" t="s">
        <v>74</v>
      </c>
      <c r="C52" s="3"/>
      <c r="D52" s="380">
        <f>D16-14309.58</f>
        <v>119424.8</v>
      </c>
      <c r="E52" s="3"/>
    </row>
    <row r="53" spans="1:5" ht="12.75">
      <c r="A53" s="3"/>
      <c r="B53" s="377" t="s">
        <v>109</v>
      </c>
      <c r="C53" s="3"/>
      <c r="D53" s="380">
        <f>45077.58+4500</f>
        <v>49577.58</v>
      </c>
      <c r="E53" s="3"/>
    </row>
    <row r="54" spans="1:5" ht="12.75">
      <c r="A54" s="3"/>
      <c r="B54" s="377" t="s">
        <v>86</v>
      </c>
      <c r="C54" s="3"/>
      <c r="D54" s="380">
        <f>D52-D53</f>
        <v>69847.22</v>
      </c>
      <c r="E54" s="3"/>
    </row>
    <row r="55" spans="1:18" ht="12.75">
      <c r="A55" s="3"/>
      <c r="B55" s="377"/>
      <c r="C55" s="3"/>
      <c r="D55" s="380"/>
      <c r="E55" s="3"/>
      <c r="G55" s="339"/>
      <c r="R55" s="382"/>
    </row>
    <row r="56" spans="1:7" ht="12.75">
      <c r="A56" s="1"/>
      <c r="B56" s="1" t="s">
        <v>30</v>
      </c>
      <c r="C56" s="1"/>
      <c r="D56" s="1" t="s">
        <v>0</v>
      </c>
      <c r="E56" s="1"/>
      <c r="G56" s="339"/>
    </row>
    <row r="57" spans="1:5" ht="12.75">
      <c r="A57" s="1"/>
      <c r="B57" s="1" t="s">
        <v>31</v>
      </c>
      <c r="C57" s="1"/>
      <c r="D57" s="1" t="s">
        <v>26</v>
      </c>
      <c r="E57" s="1"/>
    </row>
  </sheetData>
  <sheetProtection/>
  <mergeCells count="4">
    <mergeCell ref="A5:B5"/>
    <mergeCell ref="C5:D5"/>
    <mergeCell ref="D7:E7"/>
    <mergeCell ref="D8:E8"/>
  </mergeCells>
  <printOptions/>
  <pageMargins left="0.7" right="0.7" top="0.75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B1">
      <selection activeCell="I52" sqref="I52"/>
    </sheetView>
  </sheetViews>
  <sheetFormatPr defaultColWidth="9.00390625" defaultRowHeight="12.75"/>
  <cols>
    <col min="1" max="1" width="6.875" style="0" customWidth="1"/>
    <col min="2" max="2" width="39.375" style="0" customWidth="1"/>
    <col min="4" max="4" width="11.00390625" style="0" customWidth="1"/>
    <col min="5" max="5" width="12.25390625" style="0" customWidth="1"/>
    <col min="7" max="7" width="10.25390625" style="0" customWidth="1"/>
    <col min="8" max="8" width="11.875" style="0" customWidth="1"/>
    <col min="10" max="10" width="11.625" style="0" customWidth="1"/>
    <col min="11" max="11" width="10.12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171</v>
      </c>
    </row>
    <row r="5" spans="1:4" ht="12.75">
      <c r="A5" s="333"/>
      <c r="B5" s="333"/>
      <c r="C5" s="333"/>
      <c r="D5" s="333"/>
    </row>
    <row r="6" spans="1:5" ht="12.75">
      <c r="A6" s="568"/>
      <c r="B6" s="568"/>
      <c r="C6" s="568"/>
      <c r="D6" s="569"/>
      <c r="E6" s="316"/>
    </row>
    <row r="7" spans="1:5" ht="12.75">
      <c r="A7" s="336"/>
      <c r="B7" s="336"/>
      <c r="C7" s="336"/>
      <c r="D7" s="318"/>
      <c r="E7" s="319"/>
    </row>
    <row r="8" spans="1:5" ht="15.75">
      <c r="A8" s="317"/>
      <c r="B8" s="320" t="s">
        <v>1</v>
      </c>
      <c r="C8" s="321" t="s">
        <v>3</v>
      </c>
      <c r="D8" s="570" t="s">
        <v>4</v>
      </c>
      <c r="E8" s="571"/>
    </row>
    <row r="9" spans="1:5" ht="15.75">
      <c r="A9" s="322"/>
      <c r="B9" s="320" t="s">
        <v>2</v>
      </c>
      <c r="C9" s="321" t="s">
        <v>49</v>
      </c>
      <c r="D9" s="572" t="s">
        <v>138</v>
      </c>
      <c r="E9" s="573"/>
    </row>
    <row r="10" spans="1:5" ht="12.75">
      <c r="A10" s="326"/>
      <c r="B10" s="295" t="s">
        <v>78</v>
      </c>
      <c r="C10" s="326"/>
      <c r="D10" s="340">
        <v>38710.23</v>
      </c>
      <c r="E10" s="335"/>
    </row>
    <row r="11" spans="1:5" ht="12.75">
      <c r="A11" s="323"/>
      <c r="B11" s="374" t="s">
        <v>79</v>
      </c>
      <c r="C11" s="323"/>
      <c r="D11" s="326">
        <v>-11190.8</v>
      </c>
      <c r="E11" s="325"/>
    </row>
    <row r="12" spans="1:5" ht="12.75">
      <c r="A12" s="326"/>
      <c r="B12" s="327" t="s">
        <v>5</v>
      </c>
      <c r="C12" s="338" t="s">
        <v>50</v>
      </c>
      <c r="D12" s="326">
        <v>4301.4</v>
      </c>
      <c r="E12" s="326"/>
    </row>
    <row r="13" spans="1:5" ht="12.75">
      <c r="A13" s="326"/>
      <c r="B13" s="327" t="s">
        <v>6</v>
      </c>
      <c r="C13" s="338" t="s">
        <v>50</v>
      </c>
      <c r="D13" s="326">
        <v>2755.3</v>
      </c>
      <c r="E13" s="326"/>
    </row>
    <row r="14" spans="1:5" ht="12.75">
      <c r="A14" s="326"/>
      <c r="B14" s="328" t="s">
        <v>27</v>
      </c>
      <c r="C14" s="338" t="s">
        <v>36</v>
      </c>
      <c r="D14" s="329">
        <v>390453.04</v>
      </c>
      <c r="E14" s="326"/>
    </row>
    <row r="15" spans="1:5" ht="15.75">
      <c r="A15" s="326"/>
      <c r="B15" s="330" t="s">
        <v>7</v>
      </c>
      <c r="C15" s="323"/>
      <c r="D15" s="326"/>
      <c r="E15" s="326"/>
    </row>
    <row r="16" spans="1:5" ht="12.75">
      <c r="A16" s="326">
        <v>1</v>
      </c>
      <c r="B16" s="326" t="s">
        <v>8</v>
      </c>
      <c r="C16" s="338" t="s">
        <v>9</v>
      </c>
      <c r="D16" s="326">
        <v>282940.07</v>
      </c>
      <c r="E16" s="326"/>
    </row>
    <row r="17" spans="1:5" ht="12.75">
      <c r="A17" s="326">
        <v>2</v>
      </c>
      <c r="B17" s="326" t="s">
        <v>74</v>
      </c>
      <c r="C17" s="338"/>
      <c r="D17" s="326">
        <v>89743.48</v>
      </c>
      <c r="E17" s="326"/>
    </row>
    <row r="18" spans="1:5" ht="12.75">
      <c r="A18" s="326">
        <v>3</v>
      </c>
      <c r="B18" s="326" t="s">
        <v>82</v>
      </c>
      <c r="C18" s="323"/>
      <c r="D18" s="326">
        <v>3000</v>
      </c>
      <c r="E18" s="326"/>
    </row>
    <row r="19" spans="1:5" ht="15.75">
      <c r="A19" s="326"/>
      <c r="B19" s="330" t="s">
        <v>10</v>
      </c>
      <c r="C19" s="323"/>
      <c r="D19" s="329">
        <f>D16+D18+D17</f>
        <v>375683.55</v>
      </c>
      <c r="E19" s="326"/>
    </row>
    <row r="20" spans="1:5" ht="15.75">
      <c r="A20" s="326"/>
      <c r="B20" s="330"/>
      <c r="C20" s="323"/>
      <c r="D20" s="329"/>
      <c r="E20" s="326"/>
    </row>
    <row r="21" spans="1:5" ht="15.75">
      <c r="A21" s="14"/>
      <c r="B21" s="17" t="s">
        <v>57</v>
      </c>
      <c r="C21" s="14"/>
      <c r="D21" s="20"/>
      <c r="E21" s="326"/>
    </row>
    <row r="22" spans="1:5" ht="12.75">
      <c r="A22" s="358" t="s">
        <v>58</v>
      </c>
      <c r="B22" s="16" t="s">
        <v>59</v>
      </c>
      <c r="C22" s="14"/>
      <c r="D22" s="331">
        <f>D23+D24+D28+D26+D25+D27</f>
        <v>106483.81904</v>
      </c>
      <c r="E22" s="326"/>
    </row>
    <row r="23" spans="1:5" ht="12.75">
      <c r="A23" s="14">
        <v>1</v>
      </c>
      <c r="B23" s="22" t="s">
        <v>11</v>
      </c>
      <c r="C23" s="22" t="s">
        <v>9</v>
      </c>
      <c r="D23" s="334">
        <v>76347.52</v>
      </c>
      <c r="E23" s="326"/>
    </row>
    <row r="24" spans="1:5" ht="12.75">
      <c r="A24" s="14">
        <v>2</v>
      </c>
      <c r="B24" s="22" t="s">
        <v>136</v>
      </c>
      <c r="C24" s="14"/>
      <c r="D24" s="332">
        <f>D23*20.2%</f>
        <v>15422.19904</v>
      </c>
      <c r="E24" s="326"/>
    </row>
    <row r="25" spans="1:5" ht="12.75">
      <c r="A25" s="14">
        <v>3</v>
      </c>
      <c r="B25" s="14" t="s">
        <v>101</v>
      </c>
      <c r="C25" s="14"/>
      <c r="D25" s="326">
        <v>3464.37</v>
      </c>
      <c r="E25" s="326"/>
    </row>
    <row r="26" spans="1:5" ht="12.75">
      <c r="A26" s="14">
        <v>4</v>
      </c>
      <c r="B26" s="352" t="s">
        <v>103</v>
      </c>
      <c r="C26" s="14"/>
      <c r="D26" s="326">
        <v>5028.75</v>
      </c>
      <c r="E26" s="326"/>
    </row>
    <row r="27" spans="1:5" ht="12.75">
      <c r="A27" s="14">
        <v>5</v>
      </c>
      <c r="B27" s="22" t="s">
        <v>89</v>
      </c>
      <c r="C27" s="14"/>
      <c r="D27" s="326">
        <v>3540.32</v>
      </c>
      <c r="E27" s="326"/>
    </row>
    <row r="28" spans="1:5" ht="12.75">
      <c r="A28" s="14">
        <v>6</v>
      </c>
      <c r="B28" s="352" t="s">
        <v>15</v>
      </c>
      <c r="C28" s="14"/>
      <c r="D28" s="326">
        <v>2680.66</v>
      </c>
      <c r="E28" s="326"/>
    </row>
    <row r="29" spans="1:5" ht="12.75">
      <c r="A29" s="358" t="s">
        <v>61</v>
      </c>
      <c r="B29" s="359" t="s">
        <v>60</v>
      </c>
      <c r="C29" s="14"/>
      <c r="D29" s="360">
        <f>D30+D31+D32</f>
        <v>85892.69</v>
      </c>
      <c r="E29" s="326"/>
    </row>
    <row r="30" spans="1:5" ht="12.75">
      <c r="A30" s="14">
        <v>1</v>
      </c>
      <c r="B30" s="22" t="s">
        <v>88</v>
      </c>
      <c r="C30" s="14"/>
      <c r="D30" s="332">
        <v>67345</v>
      </c>
      <c r="E30" s="326"/>
    </row>
    <row r="31" spans="1:5" ht="12.75">
      <c r="A31" s="14">
        <v>2</v>
      </c>
      <c r="B31" s="22" t="s">
        <v>136</v>
      </c>
      <c r="C31" s="14"/>
      <c r="D31" s="332">
        <f>D30*20.2%</f>
        <v>13603.689999999999</v>
      </c>
      <c r="E31" s="332"/>
    </row>
    <row r="32" spans="1:5" ht="12.75">
      <c r="A32" s="14">
        <v>3</v>
      </c>
      <c r="B32" s="22" t="s">
        <v>83</v>
      </c>
      <c r="C32" s="11"/>
      <c r="D32" s="334">
        <v>4944</v>
      </c>
      <c r="E32" s="326"/>
    </row>
    <row r="33" spans="1:5" ht="12.75">
      <c r="A33" s="358" t="s">
        <v>62</v>
      </c>
      <c r="B33" s="329" t="s">
        <v>16</v>
      </c>
      <c r="C33" s="323"/>
      <c r="D33" s="331">
        <f>SUM(D34:D41)</f>
        <v>54220.15684999999</v>
      </c>
      <c r="E33" s="360"/>
    </row>
    <row r="34" spans="1:5" ht="12.75">
      <c r="A34" s="14"/>
      <c r="B34" s="326" t="s">
        <v>17</v>
      </c>
      <c r="C34" s="323"/>
      <c r="D34" s="332">
        <f>D19*4.7%</f>
        <v>17657.12685</v>
      </c>
      <c r="E34" s="326"/>
    </row>
    <row r="35" spans="1:5" ht="12.75">
      <c r="A35" s="14"/>
      <c r="B35" s="326" t="s">
        <v>18</v>
      </c>
      <c r="C35" s="323"/>
      <c r="D35" s="326">
        <v>1484.12</v>
      </c>
      <c r="E35" s="326"/>
    </row>
    <row r="36" spans="1:5" ht="12.75">
      <c r="A36" s="14"/>
      <c r="B36" s="326" t="s">
        <v>19</v>
      </c>
      <c r="C36" s="323"/>
      <c r="D36" s="326">
        <v>7064.33</v>
      </c>
      <c r="E36" s="326"/>
    </row>
    <row r="37" spans="1:5" ht="12.75">
      <c r="A37" s="14"/>
      <c r="B37" s="326" t="s">
        <v>20</v>
      </c>
      <c r="C37" s="323"/>
      <c r="D37" s="326">
        <v>8699.17</v>
      </c>
      <c r="E37" s="332"/>
    </row>
    <row r="38" spans="1:5" ht="12.75">
      <c r="A38" s="14"/>
      <c r="B38" s="352" t="s">
        <v>55</v>
      </c>
      <c r="C38" s="323"/>
      <c r="D38" s="326">
        <v>1121</v>
      </c>
      <c r="E38" s="326"/>
    </row>
    <row r="39" spans="1:5" ht="12.75">
      <c r="A39" s="14"/>
      <c r="B39" s="22" t="s">
        <v>148</v>
      </c>
      <c r="C39" s="323"/>
      <c r="D39" s="326">
        <v>15000</v>
      </c>
      <c r="E39" s="326"/>
    </row>
    <row r="40" spans="1:5" ht="12.75">
      <c r="A40" s="14"/>
      <c r="B40" s="352" t="s">
        <v>28</v>
      </c>
      <c r="C40" s="323"/>
      <c r="D40" s="326">
        <v>187.52</v>
      </c>
      <c r="E40" s="326"/>
    </row>
    <row r="41" spans="1:5" ht="12.75">
      <c r="A41" s="14"/>
      <c r="B41" s="326" t="s">
        <v>21</v>
      </c>
      <c r="C41" s="323"/>
      <c r="D41" s="326">
        <v>3006.89</v>
      </c>
      <c r="E41" s="326"/>
    </row>
    <row r="42" spans="1:5" ht="12.75">
      <c r="A42" s="14">
        <v>4</v>
      </c>
      <c r="B42" s="20" t="s">
        <v>92</v>
      </c>
      <c r="C42" s="14"/>
      <c r="D42" s="19">
        <v>66769.44</v>
      </c>
      <c r="E42" s="19"/>
    </row>
    <row r="43" spans="1:5" ht="12.75">
      <c r="A43" s="14">
        <v>5</v>
      </c>
      <c r="B43" s="20" t="s">
        <v>23</v>
      </c>
      <c r="C43" s="14"/>
      <c r="D43" s="19">
        <f>D22+E22+D29+E29+D33+E33+D42+E42</f>
        <v>313366.10589</v>
      </c>
      <c r="E43" s="14"/>
    </row>
    <row r="44" spans="1:5" ht="12.75">
      <c r="A44" s="14">
        <v>6</v>
      </c>
      <c r="B44" s="14" t="s">
        <v>32</v>
      </c>
      <c r="C44" s="14"/>
      <c r="D44" s="19">
        <f>D19*6%</f>
        <v>22541.013</v>
      </c>
      <c r="E44" s="14"/>
    </row>
    <row r="45" spans="1:5" ht="12.75">
      <c r="A45" s="14">
        <v>7</v>
      </c>
      <c r="B45" s="20" t="s">
        <v>24</v>
      </c>
      <c r="C45" s="14"/>
      <c r="D45" s="19">
        <f>D43+D44</f>
        <v>335907.11889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142</v>
      </c>
      <c r="C47" s="14"/>
      <c r="D47" s="19">
        <f>(D16+D18)-D45+9602.55</f>
        <v>-40364.49888999997</v>
      </c>
      <c r="E47" s="14"/>
    </row>
    <row r="48" spans="1:5" ht="12.75">
      <c r="A48" s="14">
        <v>9</v>
      </c>
      <c r="B48" s="20" t="s">
        <v>44</v>
      </c>
      <c r="C48" s="14"/>
      <c r="D48" s="19">
        <f>D10+D47</f>
        <v>-1654.2688899999703</v>
      </c>
      <c r="E48" s="14"/>
    </row>
    <row r="49" spans="1:5" ht="12.75">
      <c r="A49" s="3"/>
      <c r="B49" s="377" t="s">
        <v>74</v>
      </c>
      <c r="C49" s="3"/>
      <c r="D49" s="380">
        <f>D11+D17-9602.55</f>
        <v>68950.12999999999</v>
      </c>
      <c r="E49" s="3"/>
    </row>
    <row r="50" spans="1:5" ht="12.75">
      <c r="A50" s="3"/>
      <c r="B50" s="377" t="s">
        <v>87</v>
      </c>
      <c r="C50" s="3"/>
      <c r="D50" s="380">
        <f>33072.6+29674.93+3000</f>
        <v>65747.53</v>
      </c>
      <c r="E50" s="3"/>
    </row>
    <row r="51" spans="1:5" ht="12.75">
      <c r="A51" s="3"/>
      <c r="B51" s="377" t="s">
        <v>86</v>
      </c>
      <c r="C51" s="3"/>
      <c r="D51" s="380">
        <f>D49-D50</f>
        <v>3202.5999999999913</v>
      </c>
      <c r="E51" s="3"/>
    </row>
    <row r="52" spans="1:5" ht="12.75">
      <c r="A52" s="3"/>
      <c r="B52" s="377"/>
      <c r="C52" s="3"/>
      <c r="D52" s="380"/>
      <c r="E52" s="3"/>
    </row>
    <row r="53" spans="1:5" ht="12.75">
      <c r="A53" s="1"/>
      <c r="B53" s="1" t="s">
        <v>30</v>
      </c>
      <c r="C53" s="1"/>
      <c r="D53" s="1" t="s">
        <v>0</v>
      </c>
      <c r="E53" s="1"/>
    </row>
    <row r="54" spans="1:5" ht="12.75">
      <c r="A54" s="1"/>
      <c r="B54" s="1" t="s">
        <v>31</v>
      </c>
      <c r="C54" s="1"/>
      <c r="D54" s="1" t="s">
        <v>26</v>
      </c>
      <c r="E54" s="1"/>
    </row>
  </sheetData>
  <sheetProtection/>
  <mergeCells count="4">
    <mergeCell ref="D9:E9"/>
    <mergeCell ref="A6:B6"/>
    <mergeCell ref="C6:D6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workbookViewId="0" topLeftCell="A1">
      <selection activeCell="G5" sqref="G5:H15"/>
    </sheetView>
  </sheetViews>
  <sheetFormatPr defaultColWidth="9.00390625" defaultRowHeight="12.75"/>
  <cols>
    <col min="1" max="1" width="5.125" style="0" customWidth="1"/>
    <col min="2" max="2" width="44.625" style="0" customWidth="1"/>
    <col min="3" max="3" width="7.875" style="0" customWidth="1"/>
    <col min="4" max="4" width="13.25390625" style="0" customWidth="1"/>
    <col min="5" max="5" width="11.00390625" style="0" customWidth="1"/>
    <col min="6" max="6" width="8.00390625" style="0" customWidth="1"/>
    <col min="7" max="7" width="11.375" style="0" customWidth="1"/>
    <col min="8" max="8" width="14.25390625" style="0" customWidth="1"/>
    <col min="10" max="10" width="11.00390625" style="0" customWidth="1"/>
    <col min="15" max="15" width="38.875" style="0" customWidth="1"/>
    <col min="16" max="16" width="8.75390625" style="0" customWidth="1"/>
    <col min="17" max="17" width="10.125" style="0" customWidth="1"/>
    <col min="19" max="19" width="5.375" style="0" customWidth="1"/>
    <col min="21" max="21" width="41.125" style="0" customWidth="1"/>
    <col min="23" max="23" width="12.125" style="0" customWidth="1"/>
  </cols>
  <sheetData>
    <row r="1" ht="15.75">
      <c r="B1" s="314" t="s">
        <v>25</v>
      </c>
    </row>
    <row r="2" ht="12.75">
      <c r="B2" t="s">
        <v>29</v>
      </c>
    </row>
    <row r="3" ht="12.75">
      <c r="B3" t="s">
        <v>172</v>
      </c>
    </row>
    <row r="4" spans="1:5" ht="12.75">
      <c r="A4" s="568"/>
      <c r="B4" s="568"/>
      <c r="C4" s="568"/>
      <c r="D4" s="569"/>
      <c r="E4" s="316"/>
    </row>
    <row r="5" spans="1:5" ht="15.75">
      <c r="A5" s="336"/>
      <c r="B5" s="463" t="s">
        <v>1</v>
      </c>
      <c r="C5" s="464" t="s">
        <v>3</v>
      </c>
      <c r="D5" s="570" t="s">
        <v>4</v>
      </c>
      <c r="E5" s="571"/>
    </row>
    <row r="6" spans="1:5" ht="15.75">
      <c r="A6" s="322"/>
      <c r="B6" s="320" t="s">
        <v>2</v>
      </c>
      <c r="C6" s="321" t="s">
        <v>49</v>
      </c>
      <c r="D6" s="572" t="s">
        <v>140</v>
      </c>
      <c r="E6" s="573"/>
    </row>
    <row r="7" spans="1:5" ht="12.75">
      <c r="A7" s="326"/>
      <c r="B7" s="295" t="s">
        <v>78</v>
      </c>
      <c r="C7" s="326"/>
      <c r="D7" s="340">
        <v>-272727.02</v>
      </c>
      <c r="E7" s="335"/>
    </row>
    <row r="8" spans="1:5" ht="12.75">
      <c r="A8" s="323"/>
      <c r="B8" s="374" t="s">
        <v>85</v>
      </c>
      <c r="C8" s="323"/>
      <c r="D8" s="324">
        <v>93459.34</v>
      </c>
      <c r="E8" s="325"/>
    </row>
    <row r="9" spans="1:5" ht="12.75">
      <c r="A9" s="326"/>
      <c r="B9" s="327" t="s">
        <v>5</v>
      </c>
      <c r="C9" s="338" t="s">
        <v>50</v>
      </c>
      <c r="D9" s="326">
        <v>6474.6</v>
      </c>
      <c r="E9" s="326"/>
    </row>
    <row r="10" spans="1:5" ht="12.75">
      <c r="A10" s="326"/>
      <c r="B10" s="327" t="s">
        <v>6</v>
      </c>
      <c r="C10" s="338" t="s">
        <v>50</v>
      </c>
      <c r="D10" s="326">
        <v>3358.2</v>
      </c>
      <c r="E10" s="326"/>
    </row>
    <row r="11" spans="1:5" ht="12.75">
      <c r="A11" s="326"/>
      <c r="B11" s="328" t="s">
        <v>27</v>
      </c>
      <c r="C11" s="338" t="s">
        <v>9</v>
      </c>
      <c r="D11" s="329">
        <v>533633.64</v>
      </c>
      <c r="E11" s="326"/>
    </row>
    <row r="12" spans="1:5" ht="15.75">
      <c r="A12" s="326"/>
      <c r="B12" s="330" t="s">
        <v>7</v>
      </c>
      <c r="C12" s="323"/>
      <c r="D12" s="326"/>
      <c r="E12" s="326"/>
    </row>
    <row r="13" spans="1:5" ht="12.75">
      <c r="A13" s="326">
        <v>1</v>
      </c>
      <c r="B13" s="326" t="s">
        <v>8</v>
      </c>
      <c r="C13" s="338" t="s">
        <v>9</v>
      </c>
      <c r="D13" s="326">
        <v>407411.6</v>
      </c>
      <c r="E13" s="326"/>
    </row>
    <row r="14" spans="1:5" ht="12.75">
      <c r="A14" s="326">
        <v>2</v>
      </c>
      <c r="B14" s="326" t="s">
        <v>74</v>
      </c>
      <c r="C14" s="323"/>
      <c r="D14" s="326">
        <v>113964.73</v>
      </c>
      <c r="E14" s="326"/>
    </row>
    <row r="15" spans="1:5" ht="12.75">
      <c r="A15" s="326">
        <v>3</v>
      </c>
      <c r="B15" s="326" t="s">
        <v>82</v>
      </c>
      <c r="C15" s="323"/>
      <c r="D15" s="326">
        <v>12000</v>
      </c>
      <c r="E15" s="326"/>
    </row>
    <row r="16" spans="1:5" ht="15.75">
      <c r="A16" s="326"/>
      <c r="B16" s="330" t="s">
        <v>10</v>
      </c>
      <c r="C16" s="323"/>
      <c r="D16" s="329">
        <f>D13+D14+D15</f>
        <v>533376.33</v>
      </c>
      <c r="E16" s="326"/>
    </row>
    <row r="17" spans="1:5" ht="15.75">
      <c r="A17" s="326"/>
      <c r="B17" s="330"/>
      <c r="C17" s="323"/>
      <c r="D17" s="329"/>
      <c r="E17" s="326"/>
    </row>
    <row r="18" spans="1:5" ht="15.75">
      <c r="A18" s="14"/>
      <c r="B18" s="17" t="s">
        <v>57</v>
      </c>
      <c r="C18" s="14"/>
      <c r="D18" s="20"/>
      <c r="E18" s="326"/>
    </row>
    <row r="19" spans="1:5" ht="12.75">
      <c r="A19" s="358" t="s">
        <v>58</v>
      </c>
      <c r="B19" s="16" t="s">
        <v>59</v>
      </c>
      <c r="C19" s="14"/>
      <c r="D19" s="19">
        <f>D20+D28+D27+D25+D26+D24</f>
        <v>225957.39280000003</v>
      </c>
      <c r="E19" s="326"/>
    </row>
    <row r="20" spans="1:5" ht="12.75">
      <c r="A20" s="14">
        <v>1</v>
      </c>
      <c r="B20" s="22" t="s">
        <v>11</v>
      </c>
      <c r="C20" s="22" t="s">
        <v>9</v>
      </c>
      <c r="D20" s="21">
        <f>D21+D22+D23</f>
        <v>180131.40000000002</v>
      </c>
      <c r="E20" s="326"/>
    </row>
    <row r="21" spans="1:5" ht="12.75">
      <c r="A21" s="468" t="s">
        <v>126</v>
      </c>
      <c r="B21" s="14" t="s">
        <v>12</v>
      </c>
      <c r="C21" s="14"/>
      <c r="D21" s="14">
        <v>48624.46</v>
      </c>
      <c r="E21" s="326"/>
    </row>
    <row r="22" spans="1:5" ht="12.75">
      <c r="A22" s="468" t="s">
        <v>127</v>
      </c>
      <c r="B22" s="14" t="s">
        <v>13</v>
      </c>
      <c r="C22" s="14"/>
      <c r="D22" s="353">
        <v>68650.24</v>
      </c>
      <c r="E22" s="326"/>
    </row>
    <row r="23" spans="1:5" ht="12.75">
      <c r="A23" s="468" t="s">
        <v>128</v>
      </c>
      <c r="B23" s="14" t="s">
        <v>14</v>
      </c>
      <c r="C23" s="14"/>
      <c r="D23" s="14">
        <v>62856.7</v>
      </c>
      <c r="E23" s="326"/>
    </row>
    <row r="24" spans="1:5" ht="12.75">
      <c r="A24" s="14">
        <v>2</v>
      </c>
      <c r="B24" s="22" t="s">
        <v>136</v>
      </c>
      <c r="C24" s="14"/>
      <c r="D24" s="18">
        <f>D20*20.2%</f>
        <v>36386.5428</v>
      </c>
      <c r="E24" s="326"/>
    </row>
    <row r="25" spans="1:5" ht="12.75">
      <c r="A25" s="14">
        <v>3</v>
      </c>
      <c r="B25" s="352" t="s">
        <v>103</v>
      </c>
      <c r="C25" s="14"/>
      <c r="D25" s="14">
        <v>125</v>
      </c>
      <c r="E25" s="326"/>
    </row>
    <row r="26" spans="1:5" ht="12.75">
      <c r="A26" s="14">
        <v>4</v>
      </c>
      <c r="B26" s="352" t="s">
        <v>89</v>
      </c>
      <c r="C26" s="14"/>
      <c r="D26" s="14">
        <v>2156.22</v>
      </c>
      <c r="E26" s="18"/>
    </row>
    <row r="27" spans="1:5" ht="12.75">
      <c r="A27" s="14">
        <v>5</v>
      </c>
      <c r="B27" s="352" t="s">
        <v>101</v>
      </c>
      <c r="C27" s="14"/>
      <c r="D27" s="14">
        <v>1446.5</v>
      </c>
      <c r="E27" s="18"/>
    </row>
    <row r="28" spans="1:5" ht="12.75">
      <c r="A28" s="14">
        <v>6</v>
      </c>
      <c r="B28" s="352" t="s">
        <v>15</v>
      </c>
      <c r="C28" s="14"/>
      <c r="D28" s="14">
        <v>5711.73</v>
      </c>
      <c r="E28" s="18"/>
    </row>
    <row r="29" spans="1:5" ht="12.75">
      <c r="A29" s="358" t="s">
        <v>61</v>
      </c>
      <c r="B29" s="359" t="s">
        <v>60</v>
      </c>
      <c r="C29" s="14"/>
      <c r="D29" s="19">
        <f>D30+D31+D32+D33</f>
        <v>106791.33614000001</v>
      </c>
      <c r="E29" s="18"/>
    </row>
    <row r="30" spans="1:5" ht="12.75">
      <c r="A30" s="14">
        <v>1</v>
      </c>
      <c r="B30" s="22" t="s">
        <v>95</v>
      </c>
      <c r="C30" s="14"/>
      <c r="D30" s="22">
        <v>82081.07</v>
      </c>
      <c r="E30" s="18"/>
    </row>
    <row r="31" spans="1:5" ht="12.75">
      <c r="A31" s="14">
        <v>2</v>
      </c>
      <c r="B31" s="22" t="s">
        <v>136</v>
      </c>
      <c r="C31" s="14"/>
      <c r="D31" s="21">
        <f>D30*20.2%</f>
        <v>16580.37614</v>
      </c>
      <c r="E31" s="18"/>
    </row>
    <row r="32" spans="1:5" ht="12.75">
      <c r="A32" s="14">
        <v>3</v>
      </c>
      <c r="B32" s="22" t="s">
        <v>15</v>
      </c>
      <c r="C32" s="14"/>
      <c r="D32" s="22">
        <v>1653.89</v>
      </c>
      <c r="E32" s="14"/>
    </row>
    <row r="33" spans="1:5" ht="12.75">
      <c r="A33" s="14">
        <v>4</v>
      </c>
      <c r="B33" s="22" t="s">
        <v>83</v>
      </c>
      <c r="C33" s="14"/>
      <c r="D33" s="22">
        <v>6476</v>
      </c>
      <c r="E33" s="14"/>
    </row>
    <row r="34" spans="1:5" ht="12.75">
      <c r="A34" s="358" t="s">
        <v>62</v>
      </c>
      <c r="B34" s="20" t="s">
        <v>16</v>
      </c>
      <c r="C34" s="14"/>
      <c r="D34" s="19">
        <f>D35+D36+D37+D38+D39+D40+D41</f>
        <v>48183.7865</v>
      </c>
      <c r="E34" s="19"/>
    </row>
    <row r="35" spans="1:5" ht="12.75">
      <c r="A35" s="14"/>
      <c r="B35" s="14" t="s">
        <v>17</v>
      </c>
      <c r="C35" s="14"/>
      <c r="D35" s="18">
        <f>D16*5%</f>
        <v>26668.8165</v>
      </c>
      <c r="E35" s="14"/>
    </row>
    <row r="36" spans="1:5" ht="12.75">
      <c r="A36" s="14"/>
      <c r="B36" s="14" t="s">
        <v>18</v>
      </c>
      <c r="C36" s="14"/>
      <c r="D36" s="14">
        <v>1817.42</v>
      </c>
      <c r="E36" s="14"/>
    </row>
    <row r="37" spans="1:5" ht="12.75">
      <c r="A37" s="14"/>
      <c r="B37" s="326" t="s">
        <v>19</v>
      </c>
      <c r="C37" s="14"/>
      <c r="D37" s="14">
        <v>3657.25</v>
      </c>
      <c r="E37" s="14"/>
    </row>
    <row r="38" spans="1:5" ht="12.75">
      <c r="A38" s="14"/>
      <c r="B38" s="14" t="s">
        <v>20</v>
      </c>
      <c r="C38" s="14"/>
      <c r="D38" s="18">
        <v>10602.68</v>
      </c>
      <c r="E38" s="18"/>
    </row>
    <row r="39" spans="1:5" ht="12.75">
      <c r="A39" s="14"/>
      <c r="B39" s="352" t="s">
        <v>55</v>
      </c>
      <c r="C39" s="14"/>
      <c r="D39" s="14">
        <v>1366.3</v>
      </c>
      <c r="E39" s="14"/>
    </row>
    <row r="40" spans="1:5" ht="12.75">
      <c r="A40" s="14"/>
      <c r="B40" s="352" t="s">
        <v>28</v>
      </c>
      <c r="C40" s="14"/>
      <c r="D40" s="14">
        <v>406.48</v>
      </c>
      <c r="E40" s="14"/>
    </row>
    <row r="41" spans="1:5" ht="12.75">
      <c r="A41" s="14"/>
      <c r="B41" s="14" t="s">
        <v>21</v>
      </c>
      <c r="C41" s="14"/>
      <c r="D41" s="14">
        <v>3664.84</v>
      </c>
      <c r="E41" s="14"/>
    </row>
    <row r="42" spans="1:5" ht="12.75">
      <c r="A42" s="475" t="s">
        <v>64</v>
      </c>
      <c r="B42" s="20" t="s">
        <v>92</v>
      </c>
      <c r="C42" s="14"/>
      <c r="D42" s="19">
        <v>81379.57</v>
      </c>
      <c r="E42" s="19"/>
    </row>
    <row r="43" spans="1:5" ht="12.75">
      <c r="A43" s="475" t="s">
        <v>65</v>
      </c>
      <c r="B43" s="20" t="s">
        <v>23</v>
      </c>
      <c r="C43" s="14"/>
      <c r="D43" s="19">
        <f>D19+D29+D34+D42</f>
        <v>462312.08544000005</v>
      </c>
      <c r="E43" s="14"/>
    </row>
    <row r="44" spans="1:5" ht="12.75">
      <c r="A44" s="475" t="s">
        <v>66</v>
      </c>
      <c r="B44" s="14" t="s">
        <v>32</v>
      </c>
      <c r="C44" s="14"/>
      <c r="D44" s="19">
        <f>D16*6%</f>
        <v>32002.579799999996</v>
      </c>
      <c r="E44" s="14"/>
    </row>
    <row r="45" spans="1:5" ht="12.75">
      <c r="A45" s="475" t="s">
        <v>67</v>
      </c>
      <c r="B45" s="20" t="s">
        <v>24</v>
      </c>
      <c r="C45" s="14"/>
      <c r="D45" s="19">
        <f>D43+D44</f>
        <v>494314.66524000006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475" t="s">
        <v>68</v>
      </c>
      <c r="B47" s="20" t="s">
        <v>142</v>
      </c>
      <c r="C47" s="14"/>
      <c r="D47" s="19">
        <f>(D13+D15)-D45+12194.23</f>
        <v>-62708.83524000009</v>
      </c>
      <c r="E47" s="14"/>
    </row>
    <row r="48" spans="1:5" ht="12.75">
      <c r="A48" s="475" t="s">
        <v>69</v>
      </c>
      <c r="B48" s="20" t="s">
        <v>44</v>
      </c>
      <c r="C48" s="14"/>
      <c r="D48" s="19">
        <f>D7+D47</f>
        <v>-335435.8552400001</v>
      </c>
      <c r="E48" s="14"/>
    </row>
    <row r="49" spans="1:5" ht="12.75">
      <c r="A49" s="3"/>
      <c r="B49" s="377" t="s">
        <v>74</v>
      </c>
      <c r="C49" s="3"/>
      <c r="D49" s="380">
        <f>D8+D14-12194.23</f>
        <v>195229.84</v>
      </c>
      <c r="E49" s="3"/>
    </row>
    <row r="50" spans="1:5" ht="12.75">
      <c r="A50" s="3"/>
      <c r="B50" s="377" t="s">
        <v>87</v>
      </c>
      <c r="C50" s="3"/>
      <c r="D50" s="380">
        <f>9920.27+52707.78</f>
        <v>62628.05</v>
      </c>
      <c r="E50" s="3"/>
    </row>
    <row r="51" spans="1:5" ht="12.75">
      <c r="A51" s="3"/>
      <c r="B51" s="377" t="s">
        <v>86</v>
      </c>
      <c r="C51" s="3"/>
      <c r="D51" s="380">
        <f>D49-D50</f>
        <v>132601.78999999998</v>
      </c>
      <c r="E51" s="3"/>
    </row>
    <row r="52" spans="1:5" ht="12.75">
      <c r="A52" s="3"/>
      <c r="B52" s="377"/>
      <c r="C52" s="3"/>
      <c r="D52" s="380"/>
      <c r="E52" s="3"/>
    </row>
    <row r="53" spans="1:5" ht="12.75">
      <c r="A53" s="1"/>
      <c r="B53" s="1" t="s">
        <v>30</v>
      </c>
      <c r="C53" s="1"/>
      <c r="D53" s="1" t="s">
        <v>0</v>
      </c>
      <c r="E53" s="1"/>
    </row>
    <row r="54" spans="1:5" ht="12.75">
      <c r="A54" s="1"/>
      <c r="B54" s="1" t="s">
        <v>31</v>
      </c>
      <c r="C54" s="1"/>
      <c r="D54" s="1" t="s">
        <v>26</v>
      </c>
      <c r="E54" s="1"/>
    </row>
  </sheetData>
  <sheetProtection/>
  <mergeCells count="4">
    <mergeCell ref="A4:B4"/>
    <mergeCell ref="C4:D4"/>
    <mergeCell ref="D6:E6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3.75390625" style="0" customWidth="1"/>
    <col min="2" max="2" width="39.125" style="0" customWidth="1"/>
    <col min="3" max="3" width="8.75390625" style="0" customWidth="1"/>
    <col min="4" max="4" width="14.125" style="0" customWidth="1"/>
    <col min="5" max="5" width="12.75390625" style="0" customWidth="1"/>
    <col min="7" max="7" width="11.125" style="0" customWidth="1"/>
    <col min="8" max="8" width="15.00390625" style="0" customWidth="1"/>
    <col min="10" max="10" width="12.375" style="0" customWidth="1"/>
    <col min="11" max="11" width="14.125" style="0" customWidth="1"/>
    <col min="12" max="13" width="3.75390625" style="0" customWidth="1"/>
    <col min="14" max="14" width="6.125" style="0" customWidth="1"/>
    <col min="15" max="15" width="36.375" style="0" customWidth="1"/>
    <col min="17" max="17" width="12.625" style="0" customWidth="1"/>
    <col min="19" max="19" width="5.375" style="0" customWidth="1"/>
    <col min="21" max="21" width="39.75390625" style="0" customWidth="1"/>
    <col min="23" max="23" width="11.7539062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173</v>
      </c>
    </row>
    <row r="5" spans="1:5" ht="12.75">
      <c r="A5" s="568"/>
      <c r="B5" s="568"/>
      <c r="C5" s="568"/>
      <c r="D5" s="568"/>
      <c r="E5" s="333"/>
    </row>
    <row r="6" spans="1:5" ht="15.75">
      <c r="A6" s="336"/>
      <c r="B6" s="463" t="s">
        <v>1</v>
      </c>
      <c r="C6" s="464" t="s">
        <v>3</v>
      </c>
      <c r="D6" s="574" t="s">
        <v>4</v>
      </c>
      <c r="E6" s="575"/>
    </row>
    <row r="7" spans="1:5" ht="15.75">
      <c r="A7" s="322"/>
      <c r="B7" s="320" t="s">
        <v>2</v>
      </c>
      <c r="C7" s="321" t="s">
        <v>49</v>
      </c>
      <c r="D7" s="572" t="s">
        <v>174</v>
      </c>
      <c r="E7" s="573"/>
    </row>
    <row r="8" spans="1:5" ht="12.75">
      <c r="A8" s="323"/>
      <c r="B8" s="323"/>
      <c r="C8" s="323"/>
      <c r="D8" s="324"/>
      <c r="E8" s="325"/>
    </row>
    <row r="9" spans="1:5" ht="12.75">
      <c r="A9" s="323"/>
      <c r="B9" s="338" t="s">
        <v>56</v>
      </c>
      <c r="C9" s="323"/>
      <c r="D9" s="324">
        <v>-337617.95</v>
      </c>
      <c r="E9" s="325"/>
    </row>
    <row r="10" spans="1:5" ht="12.75">
      <c r="A10" s="326"/>
      <c r="B10" s="327" t="s">
        <v>5</v>
      </c>
      <c r="C10" s="338" t="s">
        <v>50</v>
      </c>
      <c r="D10" s="326">
        <v>6784.41</v>
      </c>
      <c r="E10" s="326"/>
    </row>
    <row r="11" spans="1:5" ht="12.75">
      <c r="A11" s="326"/>
      <c r="B11" s="327" t="s">
        <v>6</v>
      </c>
      <c r="C11" s="338" t="s">
        <v>50</v>
      </c>
      <c r="D11" s="326">
        <v>5045.52</v>
      </c>
      <c r="E11" s="326"/>
    </row>
    <row r="12" spans="1:5" ht="12.75">
      <c r="A12" s="326"/>
      <c r="B12" s="328" t="s">
        <v>27</v>
      </c>
      <c r="C12" s="338" t="s">
        <v>9</v>
      </c>
      <c r="D12" s="329">
        <v>867757.68</v>
      </c>
      <c r="E12" s="326"/>
    </row>
    <row r="13" spans="1:5" ht="15.75">
      <c r="A13" s="326"/>
      <c r="B13" s="330" t="s">
        <v>7</v>
      </c>
      <c r="C13" s="323"/>
      <c r="D13" s="326"/>
      <c r="E13" s="326"/>
    </row>
    <row r="14" spans="1:5" ht="12.75">
      <c r="A14" s="326">
        <v>1</v>
      </c>
      <c r="B14" s="326" t="s">
        <v>8</v>
      </c>
      <c r="C14" s="338" t="s">
        <v>9</v>
      </c>
      <c r="D14" s="326">
        <v>799988.35</v>
      </c>
      <c r="E14" s="326"/>
    </row>
    <row r="15" spans="1:5" ht="12.75">
      <c r="A15" s="326">
        <v>2</v>
      </c>
      <c r="B15" s="326" t="s">
        <v>82</v>
      </c>
      <c r="C15" s="323"/>
      <c r="D15" s="326">
        <v>9000</v>
      </c>
      <c r="E15" s="326"/>
    </row>
    <row r="16" spans="1:5" ht="15.75">
      <c r="A16" s="326"/>
      <c r="B16" s="330" t="s">
        <v>10</v>
      </c>
      <c r="C16" s="323"/>
      <c r="D16" s="329">
        <f>D14+D15</f>
        <v>808988.35</v>
      </c>
      <c r="E16" s="326"/>
    </row>
    <row r="17" spans="1:5" ht="15.75">
      <c r="A17" s="326"/>
      <c r="B17" s="330"/>
      <c r="C17" s="323"/>
      <c r="D17" s="329"/>
      <c r="E17" s="326"/>
    </row>
    <row r="18" spans="1:5" ht="15.75">
      <c r="A18" s="14"/>
      <c r="B18" s="17" t="s">
        <v>57</v>
      </c>
      <c r="C18" s="14"/>
      <c r="D18" s="20"/>
      <c r="E18" s="326"/>
    </row>
    <row r="19" spans="1:5" ht="12.75">
      <c r="A19" s="358" t="s">
        <v>58</v>
      </c>
      <c r="B19" s="16" t="s">
        <v>59</v>
      </c>
      <c r="C19" s="14"/>
      <c r="D19" s="19">
        <f>D20+D24+D25+D27+D26</f>
        <v>314020.44318000006</v>
      </c>
      <c r="E19" s="326"/>
    </row>
    <row r="20" spans="1:5" ht="12.75">
      <c r="A20" s="14">
        <v>1</v>
      </c>
      <c r="B20" s="22" t="s">
        <v>11</v>
      </c>
      <c r="C20" s="22" t="s">
        <v>9</v>
      </c>
      <c r="D20" s="21">
        <f>D21+D22+D23</f>
        <v>244287.59000000003</v>
      </c>
      <c r="E20" s="326"/>
    </row>
    <row r="21" spans="1:5" ht="12.75">
      <c r="A21" s="468" t="s">
        <v>126</v>
      </c>
      <c r="B21" s="14" t="s">
        <v>12</v>
      </c>
      <c r="C21" s="14"/>
      <c r="D21" s="14">
        <v>48060.98</v>
      </c>
      <c r="E21" s="326"/>
    </row>
    <row r="22" spans="1:5" ht="12.75">
      <c r="A22" s="468" t="s">
        <v>127</v>
      </c>
      <c r="B22" s="14" t="s">
        <v>13</v>
      </c>
      <c r="C22" s="14"/>
      <c r="D22" s="14">
        <v>110140.25</v>
      </c>
      <c r="E22" s="326"/>
    </row>
    <row r="23" spans="1:5" ht="12.75">
      <c r="A23" s="468" t="s">
        <v>128</v>
      </c>
      <c r="B23" s="14" t="s">
        <v>14</v>
      </c>
      <c r="C23" s="14"/>
      <c r="D23" s="353">
        <v>86086.36</v>
      </c>
      <c r="E23" s="326"/>
    </row>
    <row r="24" spans="1:5" ht="12.75">
      <c r="A24" s="14">
        <v>2</v>
      </c>
      <c r="B24" s="22" t="s">
        <v>136</v>
      </c>
      <c r="C24" s="14"/>
      <c r="D24" s="18">
        <f>D20*20.2%</f>
        <v>49346.09318</v>
      </c>
      <c r="E24" s="326"/>
    </row>
    <row r="25" spans="1:5" ht="12.75">
      <c r="A25" s="14">
        <v>3</v>
      </c>
      <c r="B25" s="14" t="s">
        <v>89</v>
      </c>
      <c r="C25" s="14"/>
      <c r="D25" s="14">
        <v>6149.42</v>
      </c>
      <c r="E25" s="326"/>
    </row>
    <row r="26" spans="1:5" ht="12.75">
      <c r="A26" s="14">
        <v>4</v>
      </c>
      <c r="B26" s="14" t="s">
        <v>114</v>
      </c>
      <c r="C26" s="14"/>
      <c r="D26" s="14">
        <v>1800</v>
      </c>
      <c r="E26" s="18"/>
    </row>
    <row r="27" spans="1:5" ht="12.75">
      <c r="A27" s="14">
        <v>5</v>
      </c>
      <c r="B27" s="352" t="s">
        <v>15</v>
      </c>
      <c r="C27" s="14"/>
      <c r="D27" s="14">
        <v>12437.34</v>
      </c>
      <c r="E27" s="18"/>
    </row>
    <row r="28" spans="1:5" ht="12.75">
      <c r="A28" s="358" t="s">
        <v>61</v>
      </c>
      <c r="B28" s="359" t="s">
        <v>60</v>
      </c>
      <c r="C28" s="14"/>
      <c r="D28" s="19">
        <f>D29+D30+D31+D32</f>
        <v>156078.81904</v>
      </c>
      <c r="E28" s="18"/>
    </row>
    <row r="29" spans="1:5" ht="12.75">
      <c r="A29" s="14">
        <v>1</v>
      </c>
      <c r="B29" s="22" t="s">
        <v>95</v>
      </c>
      <c r="C29" s="14"/>
      <c r="D29" s="22">
        <v>123322.52</v>
      </c>
      <c r="E29" s="18"/>
    </row>
    <row r="30" spans="1:5" ht="12.75">
      <c r="A30" s="14">
        <v>2</v>
      </c>
      <c r="B30" s="22" t="s">
        <v>136</v>
      </c>
      <c r="C30" s="14"/>
      <c r="D30" s="21">
        <f>D29*20.2%</f>
        <v>24911.14904</v>
      </c>
      <c r="E30" s="18"/>
    </row>
    <row r="31" spans="1:5" ht="12.75">
      <c r="A31" s="14">
        <v>3</v>
      </c>
      <c r="B31" s="22" t="s">
        <v>15</v>
      </c>
      <c r="C31" s="14"/>
      <c r="D31" s="22">
        <v>1595.15</v>
      </c>
      <c r="E31" s="18"/>
    </row>
    <row r="32" spans="1:5" ht="12.75">
      <c r="A32" s="14">
        <v>4</v>
      </c>
      <c r="B32" s="22" t="s">
        <v>83</v>
      </c>
      <c r="C32" s="14"/>
      <c r="D32" s="22">
        <v>6250</v>
      </c>
      <c r="E32" s="14"/>
    </row>
    <row r="33" spans="1:5" ht="12.75">
      <c r="A33" s="358" t="s">
        <v>62</v>
      </c>
      <c r="B33" s="20" t="s">
        <v>16</v>
      </c>
      <c r="C33" s="14"/>
      <c r="D33" s="19">
        <f>D34+D35+D36+D37+D38+D41+D42+D39+D40</f>
        <v>72306.97245</v>
      </c>
      <c r="E33" s="19"/>
    </row>
    <row r="34" spans="1:5" ht="12.75">
      <c r="A34" s="14"/>
      <c r="B34" s="14" t="s">
        <v>17</v>
      </c>
      <c r="C34" s="14"/>
      <c r="D34" s="18">
        <f>D16*4.7%</f>
        <v>38022.45245</v>
      </c>
      <c r="E34" s="14"/>
    </row>
    <row r="35" spans="1:5" ht="12.75">
      <c r="A35" s="14"/>
      <c r="B35" s="14" t="s">
        <v>18</v>
      </c>
      <c r="C35" s="14"/>
      <c r="D35" s="14">
        <v>3077.8</v>
      </c>
      <c r="E35" s="14"/>
    </row>
    <row r="36" spans="1:5" ht="12.75">
      <c r="A36" s="14"/>
      <c r="B36" s="326" t="s">
        <v>19</v>
      </c>
      <c r="C36" s="14"/>
      <c r="D36" s="14">
        <v>5485.88</v>
      </c>
      <c r="E36" s="14"/>
    </row>
    <row r="37" spans="1:5" ht="12.75">
      <c r="A37" s="14"/>
      <c r="B37" s="14" t="s">
        <v>20</v>
      </c>
      <c r="C37" s="14"/>
      <c r="D37" s="18">
        <v>15929.97</v>
      </c>
      <c r="E37" s="18"/>
    </row>
    <row r="38" spans="1:5" ht="12.75">
      <c r="A38" s="14"/>
      <c r="B38" s="352" t="s">
        <v>28</v>
      </c>
      <c r="C38" s="14"/>
      <c r="D38" s="14">
        <v>187.84</v>
      </c>
      <c r="E38" s="14"/>
    </row>
    <row r="39" spans="1:5" ht="12.75">
      <c r="A39" s="14"/>
      <c r="B39" s="22" t="s">
        <v>187</v>
      </c>
      <c r="C39" s="14"/>
      <c r="D39" s="14">
        <v>1620</v>
      </c>
      <c r="E39" s="14"/>
    </row>
    <row r="40" spans="1:5" ht="12.75">
      <c r="A40" s="14"/>
      <c r="B40" s="22" t="s">
        <v>141</v>
      </c>
      <c r="C40" s="14"/>
      <c r="D40" s="14">
        <v>424</v>
      </c>
      <c r="E40" s="14"/>
    </row>
    <row r="41" spans="1:5" ht="12.75">
      <c r="A41" s="14"/>
      <c r="B41" s="352" t="s">
        <v>55</v>
      </c>
      <c r="C41" s="14"/>
      <c r="D41" s="14">
        <v>2052.8</v>
      </c>
      <c r="E41" s="14"/>
    </row>
    <row r="42" spans="1:5" ht="12.75">
      <c r="A42" s="14"/>
      <c r="B42" s="14" t="s">
        <v>21</v>
      </c>
      <c r="C42" s="14"/>
      <c r="D42" s="14">
        <v>5506.23</v>
      </c>
      <c r="E42" s="14"/>
    </row>
    <row r="43" spans="1:5" ht="12.75">
      <c r="A43" s="475" t="s">
        <v>64</v>
      </c>
      <c r="B43" s="20" t="s">
        <v>74</v>
      </c>
      <c r="C43" s="20"/>
      <c r="D43" s="20">
        <f>46504.64+11045.6</f>
        <v>57550.24</v>
      </c>
      <c r="E43" s="14"/>
    </row>
    <row r="44" spans="1:5" ht="12.75">
      <c r="A44" s="475" t="s">
        <v>65</v>
      </c>
      <c r="B44" s="20" t="s">
        <v>92</v>
      </c>
      <c r="C44" s="14"/>
      <c r="D44" s="19">
        <v>122268.55</v>
      </c>
      <c r="E44" s="19"/>
    </row>
    <row r="45" spans="1:5" ht="12.75">
      <c r="A45" s="475" t="s">
        <v>66</v>
      </c>
      <c r="B45" s="20" t="s">
        <v>23</v>
      </c>
      <c r="C45" s="14"/>
      <c r="D45" s="19">
        <f>D19+D28+D33+D43+D44</f>
        <v>722225.0246700001</v>
      </c>
      <c r="E45" s="14"/>
    </row>
    <row r="46" spans="1:5" ht="12.75">
      <c r="A46" s="475" t="s">
        <v>67</v>
      </c>
      <c r="B46" s="14" t="s">
        <v>32</v>
      </c>
      <c r="C46" s="14"/>
      <c r="D46" s="19">
        <f>D16*6%</f>
        <v>48539.301</v>
      </c>
      <c r="E46" s="14"/>
    </row>
    <row r="47" spans="1:5" ht="12.75">
      <c r="A47" s="475" t="s">
        <v>68</v>
      </c>
      <c r="B47" s="20" t="s">
        <v>24</v>
      </c>
      <c r="C47" s="14"/>
      <c r="D47" s="19">
        <f>D45+D46</f>
        <v>770764.32567</v>
      </c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475" t="s">
        <v>69</v>
      </c>
      <c r="B49" s="20" t="s">
        <v>142</v>
      </c>
      <c r="C49" s="14"/>
      <c r="D49" s="19">
        <f>D16-D47</f>
        <v>38224.02432999993</v>
      </c>
      <c r="E49" s="14"/>
    </row>
    <row r="50" spans="1:5" ht="12.75">
      <c r="A50" s="475" t="s">
        <v>165</v>
      </c>
      <c r="B50" s="20" t="s">
        <v>44</v>
      </c>
      <c r="C50" s="14"/>
      <c r="D50" s="19">
        <f>D9+D49</f>
        <v>-299393.9256700001</v>
      </c>
      <c r="E50" s="14"/>
    </row>
    <row r="51" spans="1:5" ht="12.75">
      <c r="A51" s="3"/>
      <c r="B51" s="377"/>
      <c r="C51" s="3"/>
      <c r="D51" s="380"/>
      <c r="E51" s="3"/>
    </row>
    <row r="52" spans="1:5" ht="12.75">
      <c r="A52" s="3"/>
      <c r="B52" s="377"/>
      <c r="C52" s="3"/>
      <c r="D52" s="380"/>
      <c r="E52" s="3"/>
    </row>
    <row r="53" spans="1:5" ht="12.75">
      <c r="A53" s="1"/>
      <c r="B53" s="1" t="s">
        <v>30</v>
      </c>
      <c r="C53" s="1"/>
      <c r="D53" s="1" t="s">
        <v>0</v>
      </c>
      <c r="E53" s="1"/>
    </row>
    <row r="54" spans="1:5" ht="12.75">
      <c r="A54" s="1"/>
      <c r="B54" s="1" t="s">
        <v>31</v>
      </c>
      <c r="C54" s="1"/>
      <c r="D54" s="1" t="s">
        <v>26</v>
      </c>
      <c r="E54" s="1"/>
    </row>
  </sheetData>
  <sheetProtection/>
  <mergeCells count="4">
    <mergeCell ref="A5:B5"/>
    <mergeCell ref="C5:D5"/>
    <mergeCell ref="D6:E6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">
      <selection activeCell="G2" sqref="G1:G16384"/>
    </sheetView>
  </sheetViews>
  <sheetFormatPr defaultColWidth="9.00390625" defaultRowHeight="12.75"/>
  <cols>
    <col min="1" max="1" width="5.125" style="0" customWidth="1"/>
    <col min="2" max="2" width="39.25390625" style="0" customWidth="1"/>
    <col min="3" max="3" width="7.25390625" style="0" customWidth="1"/>
    <col min="4" max="4" width="10.00390625" style="0" customWidth="1"/>
    <col min="5" max="5" width="11.00390625" style="0" customWidth="1"/>
    <col min="7" max="7" width="15.875" style="0" customWidth="1"/>
    <col min="9" max="9" width="12.625" style="0" customWidth="1"/>
    <col min="12" max="12" width="5.375" style="0" customWidth="1"/>
    <col min="13" max="13" width="37.625" style="0" customWidth="1"/>
    <col min="15" max="15" width="13.75390625" style="0" customWidth="1"/>
    <col min="16" max="16" width="9.875" style="0" customWidth="1"/>
    <col min="18" max="18" width="4.375" style="0" customWidth="1"/>
    <col min="19" max="19" width="40.00390625" style="0" customWidth="1"/>
    <col min="21" max="21" width="11.25390625" style="0" customWidth="1"/>
    <col min="22" max="22" width="10.875" style="0" customWidth="1"/>
  </cols>
  <sheetData>
    <row r="1" spans="1:5" ht="15.75">
      <c r="A1" s="1"/>
      <c r="B1" s="2" t="s">
        <v>25</v>
      </c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 t="s">
        <v>29</v>
      </c>
      <c r="C3" s="1"/>
      <c r="D3" s="1"/>
      <c r="E3" s="1"/>
    </row>
    <row r="4" spans="1:5" ht="12.75">
      <c r="A4" s="1"/>
      <c r="B4" s="378" t="s">
        <v>191</v>
      </c>
      <c r="C4" s="1"/>
      <c r="D4" s="1"/>
      <c r="E4" s="1"/>
    </row>
    <row r="5" spans="1:5" ht="12.75">
      <c r="A5" s="479"/>
      <c r="B5" s="479"/>
      <c r="C5" s="479"/>
      <c r="D5" s="4"/>
      <c r="E5" s="5"/>
    </row>
    <row r="6" spans="1:5" ht="12.75">
      <c r="A6" s="344"/>
      <c r="B6" s="344"/>
      <c r="C6" s="344"/>
      <c r="D6" s="3"/>
      <c r="E6" s="7"/>
    </row>
    <row r="7" spans="1:5" ht="15.75">
      <c r="A7" s="6"/>
      <c r="B7" s="8" t="s">
        <v>1</v>
      </c>
      <c r="C7" s="9" t="s">
        <v>3</v>
      </c>
      <c r="D7" s="484" t="s">
        <v>4</v>
      </c>
      <c r="E7" s="485"/>
    </row>
    <row r="8" spans="1:5" ht="15.75">
      <c r="A8" s="10"/>
      <c r="B8" s="8" t="s">
        <v>2</v>
      </c>
      <c r="C8" s="9" t="s">
        <v>33</v>
      </c>
      <c r="D8" s="482" t="s">
        <v>106</v>
      </c>
      <c r="E8" s="483"/>
    </row>
    <row r="9" spans="1:5" ht="12.75">
      <c r="A9" s="11"/>
      <c r="B9" s="11"/>
      <c r="C9" s="11"/>
      <c r="D9" s="12"/>
      <c r="E9" s="13"/>
    </row>
    <row r="10" spans="1:5" ht="12.75">
      <c r="A10" s="11"/>
      <c r="B10" s="357" t="s">
        <v>56</v>
      </c>
      <c r="C10" s="11"/>
      <c r="D10" s="14">
        <v>56344.55</v>
      </c>
      <c r="E10" s="13"/>
    </row>
    <row r="11" spans="1:5" ht="12.75">
      <c r="A11" s="14"/>
      <c r="B11" s="15" t="s">
        <v>5</v>
      </c>
      <c r="C11" s="14" t="s">
        <v>34</v>
      </c>
      <c r="D11" s="14">
        <v>8417.7</v>
      </c>
      <c r="E11" s="14"/>
    </row>
    <row r="12" spans="1:5" ht="12.75">
      <c r="A12" s="14"/>
      <c r="B12" s="15" t="s">
        <v>6</v>
      </c>
      <c r="C12" s="14" t="s">
        <v>34</v>
      </c>
      <c r="D12" s="14">
        <v>5933.4</v>
      </c>
      <c r="E12" s="14"/>
    </row>
    <row r="13" spans="1:5" ht="12.75">
      <c r="A13" s="14"/>
      <c r="B13" s="16" t="s">
        <v>27</v>
      </c>
      <c r="C13" s="14" t="s">
        <v>9</v>
      </c>
      <c r="D13" s="20">
        <v>472953.5</v>
      </c>
      <c r="E13" s="14"/>
    </row>
    <row r="14" spans="1:5" ht="12.75">
      <c r="A14" s="14"/>
      <c r="B14" s="14"/>
      <c r="C14" s="14"/>
      <c r="D14" s="14"/>
      <c r="E14" s="14"/>
    </row>
    <row r="15" spans="1:5" ht="15.75">
      <c r="A15" s="14"/>
      <c r="B15" s="17" t="s">
        <v>7</v>
      </c>
      <c r="C15" s="14"/>
      <c r="D15" s="14"/>
      <c r="E15" s="14"/>
    </row>
    <row r="16" spans="1:5" ht="12.75">
      <c r="A16" s="14">
        <v>1</v>
      </c>
      <c r="B16" s="14" t="s">
        <v>8</v>
      </c>
      <c r="C16" s="14" t="s">
        <v>9</v>
      </c>
      <c r="D16" s="20">
        <v>448798.96</v>
      </c>
      <c r="E16" s="14"/>
    </row>
    <row r="17" spans="1:5" ht="12.75">
      <c r="A17" s="14">
        <v>2</v>
      </c>
      <c r="B17" s="14" t="s">
        <v>82</v>
      </c>
      <c r="C17" s="14"/>
      <c r="D17" s="20">
        <v>6000</v>
      </c>
      <c r="E17" s="14"/>
    </row>
    <row r="18" spans="1:5" ht="15.75">
      <c r="A18" s="14"/>
      <c r="B18" s="17" t="s">
        <v>10</v>
      </c>
      <c r="C18" s="14"/>
      <c r="D18" s="19">
        <f>D16+D17</f>
        <v>454798.96</v>
      </c>
      <c r="E18" s="14"/>
    </row>
    <row r="19" spans="1:5" ht="15.75">
      <c r="A19" s="14"/>
      <c r="B19" s="17"/>
      <c r="C19" s="14"/>
      <c r="D19" s="19"/>
      <c r="E19" s="14"/>
    </row>
    <row r="20" spans="1:5" ht="15.75">
      <c r="A20" s="14"/>
      <c r="B20" s="17" t="s">
        <v>57</v>
      </c>
      <c r="C20" s="14"/>
      <c r="D20" s="20"/>
      <c r="E20" s="14"/>
    </row>
    <row r="21" spans="1:5" ht="12.75">
      <c r="A21" s="358" t="s">
        <v>58</v>
      </c>
      <c r="B21" s="16" t="s">
        <v>59</v>
      </c>
      <c r="C21" s="14"/>
      <c r="D21" s="19">
        <f>D22+D23+D24+D25+D26</f>
        <v>83760.93644</v>
      </c>
      <c r="E21" s="14"/>
    </row>
    <row r="22" spans="1:5" ht="12.75">
      <c r="A22" s="14">
        <v>1</v>
      </c>
      <c r="B22" s="22" t="s">
        <v>11</v>
      </c>
      <c r="C22" s="22" t="s">
        <v>9</v>
      </c>
      <c r="D22" s="21">
        <v>52381.22</v>
      </c>
      <c r="E22" s="14"/>
    </row>
    <row r="23" spans="1:5" ht="12.75">
      <c r="A23" s="14">
        <v>2</v>
      </c>
      <c r="B23" s="22" t="s">
        <v>136</v>
      </c>
      <c r="C23" s="14"/>
      <c r="D23" s="18">
        <f>D22*20.2%</f>
        <v>10581.00644</v>
      </c>
      <c r="E23" s="14"/>
    </row>
    <row r="24" spans="1:5" ht="12.75">
      <c r="A24" s="14">
        <v>3</v>
      </c>
      <c r="B24" s="22" t="s">
        <v>161</v>
      </c>
      <c r="C24" s="14"/>
      <c r="D24" s="353">
        <v>11807.5</v>
      </c>
      <c r="E24" s="14"/>
    </row>
    <row r="25" spans="1:5" ht="12.75">
      <c r="A25" s="14">
        <v>4</v>
      </c>
      <c r="B25" s="22" t="s">
        <v>143</v>
      </c>
      <c r="C25" s="14"/>
      <c r="D25" s="14">
        <v>6374.27</v>
      </c>
      <c r="E25" s="14"/>
    </row>
    <row r="26" spans="1:5" ht="12.75">
      <c r="A26" s="14">
        <v>5</v>
      </c>
      <c r="B26" s="352" t="s">
        <v>15</v>
      </c>
      <c r="C26" s="14"/>
      <c r="D26" s="22">
        <v>2616.94</v>
      </c>
      <c r="E26" s="14"/>
    </row>
    <row r="27" spans="1:5" ht="12.75">
      <c r="A27" s="358" t="s">
        <v>61</v>
      </c>
      <c r="B27" s="359" t="s">
        <v>60</v>
      </c>
      <c r="C27" s="14"/>
      <c r="D27" s="19">
        <f>D28+D29+D30+D31</f>
        <v>195835.52846</v>
      </c>
      <c r="E27" s="14"/>
    </row>
    <row r="28" spans="1:5" ht="12.75">
      <c r="A28" s="14">
        <v>1</v>
      </c>
      <c r="B28" s="22" t="s">
        <v>144</v>
      </c>
      <c r="C28" s="14"/>
      <c r="D28" s="22">
        <v>151861.23</v>
      </c>
      <c r="E28" s="14"/>
    </row>
    <row r="29" spans="1:5" ht="12.75">
      <c r="A29" s="14">
        <v>2</v>
      </c>
      <c r="B29" s="22" t="s">
        <v>136</v>
      </c>
      <c r="C29" s="14"/>
      <c r="D29" s="21">
        <f>D28*20.2%</f>
        <v>30675.96846</v>
      </c>
      <c r="E29" s="14"/>
    </row>
    <row r="30" spans="1:5" ht="12.75">
      <c r="A30" s="14">
        <v>3</v>
      </c>
      <c r="B30" s="22" t="s">
        <v>15</v>
      </c>
      <c r="C30" s="14"/>
      <c r="D30" s="22">
        <v>2174.33</v>
      </c>
      <c r="E30" s="14"/>
    </row>
    <row r="31" spans="1:5" ht="12.75">
      <c r="A31" s="14">
        <v>4</v>
      </c>
      <c r="B31" s="22" t="s">
        <v>83</v>
      </c>
      <c r="C31" s="14"/>
      <c r="D31" s="22">
        <v>11124</v>
      </c>
      <c r="E31" s="14"/>
    </row>
    <row r="32" spans="1:5" ht="12.75">
      <c r="A32" s="358" t="s">
        <v>62</v>
      </c>
      <c r="B32" s="20" t="s">
        <v>16</v>
      </c>
      <c r="C32" s="14"/>
      <c r="D32" s="19">
        <f>D33+D34+D35+D36+D37+D38+D39+D40+D41</f>
        <v>77348.71112</v>
      </c>
      <c r="E32" s="19"/>
    </row>
    <row r="33" spans="1:5" ht="12.75">
      <c r="A33" s="14"/>
      <c r="B33" s="14" t="s">
        <v>17</v>
      </c>
      <c r="C33" s="14"/>
      <c r="D33" s="18">
        <f>D18*4.7%</f>
        <v>21375.55112</v>
      </c>
      <c r="E33" s="14"/>
    </row>
    <row r="34" spans="1:5" ht="12.75">
      <c r="A34" s="14"/>
      <c r="B34" s="22" t="s">
        <v>18</v>
      </c>
      <c r="C34" s="14"/>
      <c r="D34" s="18">
        <v>2500</v>
      </c>
      <c r="E34" s="14"/>
    </row>
    <row r="35" spans="1:5" ht="12.75">
      <c r="A35" s="14"/>
      <c r="B35" s="22" t="s">
        <v>19</v>
      </c>
      <c r="C35" s="14"/>
      <c r="D35" s="18">
        <v>7065.34</v>
      </c>
      <c r="E35" s="14"/>
    </row>
    <row r="36" spans="1:5" ht="12.75">
      <c r="A36" s="14"/>
      <c r="B36" s="14" t="s">
        <v>20</v>
      </c>
      <c r="C36" s="14"/>
      <c r="D36" s="18">
        <v>19616.41</v>
      </c>
      <c r="E36" s="18"/>
    </row>
    <row r="37" spans="1:5" ht="12.75">
      <c r="A37" s="14"/>
      <c r="B37" s="22" t="s">
        <v>28</v>
      </c>
      <c r="C37" s="14"/>
      <c r="D37" s="14">
        <v>406.48</v>
      </c>
      <c r="E37" s="14"/>
    </row>
    <row r="38" spans="1:5" ht="12.75">
      <c r="A38" s="14"/>
      <c r="B38" s="352" t="s">
        <v>55</v>
      </c>
      <c r="C38" s="14"/>
      <c r="D38" s="14">
        <v>2527.9</v>
      </c>
      <c r="E38" s="14"/>
    </row>
    <row r="39" spans="1:5" ht="12.75">
      <c r="A39" s="14"/>
      <c r="B39" s="22" t="s">
        <v>148</v>
      </c>
      <c r="C39" s="14"/>
      <c r="D39" s="14">
        <v>15000</v>
      </c>
      <c r="E39" s="14"/>
    </row>
    <row r="40" spans="1:5" ht="12.75">
      <c r="A40" s="14"/>
      <c r="B40" s="22" t="s">
        <v>141</v>
      </c>
      <c r="C40" s="14"/>
      <c r="D40" s="14">
        <v>2076.5</v>
      </c>
      <c r="E40" s="14"/>
    </row>
    <row r="41" spans="1:5" ht="12.75">
      <c r="A41" s="14"/>
      <c r="B41" s="14" t="s">
        <v>21</v>
      </c>
      <c r="C41" s="14"/>
      <c r="D41" s="14">
        <v>6780.53</v>
      </c>
      <c r="E41" s="14"/>
    </row>
    <row r="42" spans="1:5" ht="12.75">
      <c r="A42" s="475" t="s">
        <v>64</v>
      </c>
      <c r="B42" s="20" t="s">
        <v>74</v>
      </c>
      <c r="C42" s="14"/>
      <c r="D42" s="20">
        <f>4847.51+6000</f>
        <v>10847.51</v>
      </c>
      <c r="E42" s="14"/>
    </row>
    <row r="43" spans="1:5" ht="12.75">
      <c r="A43" s="475" t="s">
        <v>65</v>
      </c>
      <c r="B43" s="20" t="s">
        <v>107</v>
      </c>
      <c r="C43" s="14"/>
      <c r="D43" s="19">
        <v>150563.57</v>
      </c>
      <c r="E43" s="19"/>
    </row>
    <row r="44" spans="1:5" ht="12.75">
      <c r="A44" s="475" t="s">
        <v>66</v>
      </c>
      <c r="B44" s="20" t="s">
        <v>23</v>
      </c>
      <c r="C44" s="14"/>
      <c r="D44" s="19">
        <f>D21+D27+D32+D42+D43</f>
        <v>518356.25602000003</v>
      </c>
      <c r="E44" s="14"/>
    </row>
    <row r="45" spans="1:5" ht="12.75">
      <c r="A45" s="475" t="s">
        <v>67</v>
      </c>
      <c r="B45" s="14" t="s">
        <v>32</v>
      </c>
      <c r="C45" s="14"/>
      <c r="D45" s="19">
        <f>D18*6%</f>
        <v>27287.9376</v>
      </c>
      <c r="E45" s="14"/>
    </row>
    <row r="46" spans="1:5" ht="12.75">
      <c r="A46" s="475" t="s">
        <v>68</v>
      </c>
      <c r="B46" s="20" t="s">
        <v>24</v>
      </c>
      <c r="C46" s="14"/>
      <c r="D46" s="19">
        <f>D44+D45</f>
        <v>545644.19362</v>
      </c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475" t="s">
        <v>69</v>
      </c>
      <c r="B48" s="20" t="s">
        <v>142</v>
      </c>
      <c r="C48" s="14"/>
      <c r="D48" s="19">
        <f>D18-D46</f>
        <v>-90845.23362000001</v>
      </c>
      <c r="E48" s="14"/>
    </row>
    <row r="49" spans="1:5" ht="12.75">
      <c r="A49" s="475" t="s">
        <v>165</v>
      </c>
      <c r="B49" s="20" t="s">
        <v>44</v>
      </c>
      <c r="C49" s="14"/>
      <c r="D49" s="19">
        <f>D10+D48</f>
        <v>-34500.68362000001</v>
      </c>
      <c r="E49" s="14"/>
    </row>
    <row r="50" spans="1:5" ht="12.75">
      <c r="A50" s="3"/>
      <c r="B50" s="377"/>
      <c r="C50" s="3"/>
      <c r="D50" s="380"/>
      <c r="E50" s="3"/>
    </row>
    <row r="51" spans="1:5" ht="12.75">
      <c r="A51" s="1"/>
      <c r="B51" s="1" t="s">
        <v>30</v>
      </c>
      <c r="C51" s="1"/>
      <c r="D51" s="1" t="s">
        <v>0</v>
      </c>
      <c r="E51" s="1"/>
    </row>
    <row r="52" spans="1:5" ht="12.75">
      <c r="A52" s="1"/>
      <c r="B52" s="1" t="s">
        <v>31</v>
      </c>
      <c r="C52" s="1"/>
      <c r="D52" s="1" t="s">
        <v>26</v>
      </c>
      <c r="E52" s="1"/>
    </row>
  </sheetData>
  <sheetProtection/>
  <mergeCells count="3">
    <mergeCell ref="A5:C5"/>
    <mergeCell ref="D7:E7"/>
    <mergeCell ref="D8:E8"/>
  </mergeCells>
  <printOptions/>
  <pageMargins left="0.7" right="0.7" top="0.75" bottom="0.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zoomScalePageLayoutView="0" workbookViewId="0" topLeftCell="A1">
      <selection activeCell="G34" sqref="G34:G43"/>
    </sheetView>
  </sheetViews>
  <sheetFormatPr defaultColWidth="9.00390625" defaultRowHeight="12.75"/>
  <cols>
    <col min="1" max="1" width="5.625" style="0" customWidth="1"/>
    <col min="2" max="2" width="42.25390625" style="0" customWidth="1"/>
    <col min="3" max="3" width="8.00390625" style="0" customWidth="1"/>
    <col min="4" max="4" width="11.25390625" style="0" customWidth="1"/>
    <col min="7" max="7" width="12.75390625" style="0" customWidth="1"/>
    <col min="8" max="8" width="11.75390625" style="0" customWidth="1"/>
    <col min="10" max="10" width="11.375" style="0" customWidth="1"/>
    <col min="14" max="14" width="8.00390625" style="0" customWidth="1"/>
    <col min="15" max="15" width="39.125" style="0" customWidth="1"/>
    <col min="17" max="17" width="10.375" style="0" customWidth="1"/>
    <col min="19" max="19" width="5.625" style="0" customWidth="1"/>
    <col min="20" max="20" width="6.25390625" style="0" customWidth="1"/>
    <col min="21" max="21" width="43.625" style="0" customWidth="1"/>
    <col min="23" max="23" width="13.125" style="0" customWidth="1"/>
  </cols>
  <sheetData>
    <row r="1" ht="15.75">
      <c r="B1" s="314" t="s">
        <v>25</v>
      </c>
    </row>
    <row r="3" ht="12.75">
      <c r="B3" t="s">
        <v>29</v>
      </c>
    </row>
    <row r="4" spans="2:4" ht="12.75">
      <c r="B4" t="s">
        <v>175</v>
      </c>
      <c r="D4" s="326"/>
    </row>
    <row r="5" spans="1:5" ht="12.75">
      <c r="A5" s="568"/>
      <c r="B5" s="568"/>
      <c r="C5" s="568"/>
      <c r="D5" s="568"/>
      <c r="E5" s="333"/>
    </row>
    <row r="6" spans="1:5" ht="15.75">
      <c r="A6" s="336"/>
      <c r="B6" s="463" t="s">
        <v>1</v>
      </c>
      <c r="C6" s="464" t="s">
        <v>3</v>
      </c>
      <c r="D6" s="574" t="s">
        <v>4</v>
      </c>
      <c r="E6" s="575"/>
    </row>
    <row r="7" spans="1:5" ht="15.75">
      <c r="A7" s="322"/>
      <c r="B7" s="320" t="s">
        <v>2</v>
      </c>
      <c r="C7" s="321" t="s">
        <v>49</v>
      </c>
      <c r="D7" s="572" t="s">
        <v>140</v>
      </c>
      <c r="E7" s="573"/>
    </row>
    <row r="8" spans="1:5" ht="12.75">
      <c r="A8" s="326"/>
      <c r="B8" s="295" t="s">
        <v>78</v>
      </c>
      <c r="C8" s="326"/>
      <c r="D8" s="340">
        <v>-404589.59</v>
      </c>
      <c r="E8" s="335"/>
    </row>
    <row r="9" spans="1:5" ht="12.75">
      <c r="A9" s="323"/>
      <c r="B9" s="374" t="s">
        <v>79</v>
      </c>
      <c r="C9" s="323"/>
      <c r="D9" s="324">
        <v>-6585.84</v>
      </c>
      <c r="E9" s="325"/>
    </row>
    <row r="10" spans="1:5" ht="12.75">
      <c r="A10" s="326"/>
      <c r="B10" s="327" t="s">
        <v>5</v>
      </c>
      <c r="C10" s="338" t="s">
        <v>50</v>
      </c>
      <c r="D10" s="326">
        <v>7643.96</v>
      </c>
      <c r="E10" s="326"/>
    </row>
    <row r="11" spans="1:5" ht="12.75">
      <c r="A11" s="326"/>
      <c r="B11" s="327" t="s">
        <v>6</v>
      </c>
      <c r="C11" s="338" t="s">
        <v>50</v>
      </c>
      <c r="D11" s="326">
        <v>5799.3</v>
      </c>
      <c r="E11" s="326"/>
    </row>
    <row r="12" spans="1:5" ht="12.75">
      <c r="A12" s="326"/>
      <c r="B12" s="328" t="s">
        <v>27</v>
      </c>
      <c r="C12" s="338" t="s">
        <v>9</v>
      </c>
      <c r="D12" s="326">
        <v>925897.76</v>
      </c>
      <c r="E12" s="326"/>
    </row>
    <row r="13" spans="1:5" ht="15.75">
      <c r="A13" s="326"/>
      <c r="B13" s="330" t="s">
        <v>7</v>
      </c>
      <c r="C13" s="323"/>
      <c r="D13" s="326"/>
      <c r="E13" s="326"/>
    </row>
    <row r="14" spans="1:5" ht="12.75">
      <c r="A14" s="326">
        <v>1</v>
      </c>
      <c r="B14" s="326" t="s">
        <v>8</v>
      </c>
      <c r="C14" s="338" t="s">
        <v>9</v>
      </c>
      <c r="D14" s="326">
        <v>637852.77</v>
      </c>
      <c r="E14" s="326"/>
    </row>
    <row r="15" spans="1:5" ht="12.75">
      <c r="A15" s="326">
        <v>2</v>
      </c>
      <c r="B15" s="326" t="s">
        <v>74</v>
      </c>
      <c r="C15" s="338"/>
      <c r="D15" s="326">
        <v>192457.8</v>
      </c>
      <c r="E15" s="326"/>
    </row>
    <row r="16" spans="1:5" ht="12.75">
      <c r="A16" s="326">
        <v>3</v>
      </c>
      <c r="B16" s="326" t="s">
        <v>116</v>
      </c>
      <c r="C16" s="323"/>
      <c r="D16" s="326">
        <v>21000</v>
      </c>
      <c r="E16" s="326"/>
    </row>
    <row r="17" spans="1:5" ht="15.75">
      <c r="A17" s="326"/>
      <c r="B17" s="330" t="s">
        <v>10</v>
      </c>
      <c r="C17" s="323"/>
      <c r="D17" s="329">
        <f>D14+D16+D15</f>
        <v>851310.5700000001</v>
      </c>
      <c r="E17" s="326"/>
    </row>
    <row r="18" spans="1:5" ht="15.75">
      <c r="A18" s="326"/>
      <c r="B18" s="330"/>
      <c r="C18" s="323"/>
      <c r="D18" s="329"/>
      <c r="E18" s="326"/>
    </row>
    <row r="19" spans="1:5" ht="15.75">
      <c r="A19" s="14"/>
      <c r="B19" s="17" t="s">
        <v>57</v>
      </c>
      <c r="C19" s="14"/>
      <c r="D19" s="20"/>
      <c r="E19" s="326"/>
    </row>
    <row r="20" spans="1:5" ht="12.75">
      <c r="A20" s="358" t="s">
        <v>58</v>
      </c>
      <c r="B20" s="16" t="s">
        <v>59</v>
      </c>
      <c r="C20" s="14"/>
      <c r="D20" s="19">
        <f>D21+D28+D26+D25+D27</f>
        <v>336234.29306</v>
      </c>
      <c r="E20" s="326"/>
    </row>
    <row r="21" spans="1:5" ht="12.75">
      <c r="A21" s="14">
        <v>1</v>
      </c>
      <c r="B21" s="22" t="s">
        <v>11</v>
      </c>
      <c r="C21" s="22" t="s">
        <v>9</v>
      </c>
      <c r="D21" s="21">
        <f>D22+D23+D24</f>
        <v>265878.53</v>
      </c>
      <c r="E21" s="326"/>
    </row>
    <row r="22" spans="1:5" ht="12.75">
      <c r="A22" s="468" t="s">
        <v>126</v>
      </c>
      <c r="B22" s="14" t="s">
        <v>12</v>
      </c>
      <c r="C22" s="14"/>
      <c r="D22" s="14">
        <v>48060.98</v>
      </c>
      <c r="E22" s="326"/>
    </row>
    <row r="23" spans="1:5" ht="12.75">
      <c r="A23" s="468" t="s">
        <v>127</v>
      </c>
      <c r="B23" s="14" t="s">
        <v>13</v>
      </c>
      <c r="C23" s="14"/>
      <c r="D23" s="353">
        <v>127631.84</v>
      </c>
      <c r="E23" s="326"/>
    </row>
    <row r="24" spans="1:5" ht="12.75">
      <c r="A24" s="468" t="s">
        <v>128</v>
      </c>
      <c r="B24" s="14" t="s">
        <v>14</v>
      </c>
      <c r="C24" s="14"/>
      <c r="D24" s="14">
        <v>90185.71</v>
      </c>
      <c r="E24" s="326"/>
    </row>
    <row r="25" spans="1:5" ht="12.75">
      <c r="A25" s="14">
        <v>2</v>
      </c>
      <c r="B25" s="22" t="s">
        <v>136</v>
      </c>
      <c r="C25" s="14"/>
      <c r="D25" s="18">
        <f>D21*20.2%</f>
        <v>53707.46306</v>
      </c>
      <c r="E25" s="326"/>
    </row>
    <row r="26" spans="1:5" ht="12.75">
      <c r="A26" s="14">
        <v>3</v>
      </c>
      <c r="B26" s="22" t="s">
        <v>156</v>
      </c>
      <c r="C26" s="14"/>
      <c r="D26" s="14">
        <v>125</v>
      </c>
      <c r="E26" s="326"/>
    </row>
    <row r="27" spans="1:5" ht="12.75">
      <c r="A27" s="14">
        <v>4</v>
      </c>
      <c r="B27" s="22" t="s">
        <v>143</v>
      </c>
      <c r="C27" s="14"/>
      <c r="D27" s="14">
        <v>3236.98</v>
      </c>
      <c r="E27" s="326"/>
    </row>
    <row r="28" spans="1:5" ht="12.75">
      <c r="A28" s="14">
        <v>5</v>
      </c>
      <c r="B28" s="352" t="s">
        <v>15</v>
      </c>
      <c r="C28" s="14"/>
      <c r="D28" s="14">
        <v>13286.32</v>
      </c>
      <c r="E28" s="326"/>
    </row>
    <row r="29" spans="1:5" ht="12.75">
      <c r="A29" s="358" t="s">
        <v>61</v>
      </c>
      <c r="B29" s="359" t="s">
        <v>60</v>
      </c>
      <c r="C29" s="14"/>
      <c r="D29" s="19">
        <f>D30+D31+D32+D33</f>
        <v>179728.4428</v>
      </c>
      <c r="E29" s="326"/>
    </row>
    <row r="30" spans="1:5" ht="12.75">
      <c r="A30" s="14">
        <v>1</v>
      </c>
      <c r="B30" s="22" t="s">
        <v>95</v>
      </c>
      <c r="C30" s="14"/>
      <c r="D30" s="22">
        <v>141746.4</v>
      </c>
      <c r="E30" s="326"/>
    </row>
    <row r="31" spans="1:5" ht="12.75">
      <c r="A31" s="14">
        <v>2</v>
      </c>
      <c r="B31" s="22" t="s">
        <v>136</v>
      </c>
      <c r="C31" s="14"/>
      <c r="D31" s="21">
        <f>D30*20.2%</f>
        <v>28632.772799999995</v>
      </c>
      <c r="E31" s="326"/>
    </row>
    <row r="32" spans="1:5" ht="12.75">
      <c r="A32" s="14">
        <v>3</v>
      </c>
      <c r="B32" s="22" t="s">
        <v>15</v>
      </c>
      <c r="C32" s="14"/>
      <c r="D32" s="22">
        <v>1729.27</v>
      </c>
      <c r="E32" s="14"/>
    </row>
    <row r="33" spans="1:5" ht="12.75">
      <c r="A33" s="14">
        <v>4</v>
      </c>
      <c r="B33" s="22" t="s">
        <v>83</v>
      </c>
      <c r="C33" s="14"/>
      <c r="D33" s="22">
        <v>7620</v>
      </c>
      <c r="E33" s="14"/>
    </row>
    <row r="34" spans="1:5" ht="12.75">
      <c r="A34" s="358" t="s">
        <v>62</v>
      </c>
      <c r="B34" s="20" t="s">
        <v>16</v>
      </c>
      <c r="C34" s="14"/>
      <c r="D34" s="19">
        <f>D35+D36+D37+D38+D39+D40+D41+D42+D43</f>
        <v>79459.85678999999</v>
      </c>
      <c r="E34" s="19"/>
    </row>
    <row r="35" spans="1:5" ht="12.75">
      <c r="A35" s="14"/>
      <c r="B35" s="14" t="s">
        <v>17</v>
      </c>
      <c r="C35" s="14"/>
      <c r="D35" s="18">
        <f>D17*4.7%</f>
        <v>40011.59679</v>
      </c>
      <c r="E35" s="14"/>
    </row>
    <row r="36" spans="1:5" ht="12.75">
      <c r="A36" s="14"/>
      <c r="B36" s="14" t="s">
        <v>18</v>
      </c>
      <c r="C36" s="14"/>
      <c r="D36" s="14">
        <v>4232.36</v>
      </c>
      <c r="E36" s="14"/>
    </row>
    <row r="37" spans="1:5" ht="12.75">
      <c r="A37" s="14"/>
      <c r="B37" s="14" t="s">
        <v>19</v>
      </c>
      <c r="C37" s="14"/>
      <c r="D37" s="14">
        <v>5485.87</v>
      </c>
      <c r="E37" s="14"/>
    </row>
    <row r="38" spans="1:5" ht="12.75">
      <c r="A38" s="14"/>
      <c r="B38" s="14" t="s">
        <v>20</v>
      </c>
      <c r="C38" s="14"/>
      <c r="D38" s="18">
        <v>18309.85</v>
      </c>
      <c r="E38" s="18"/>
    </row>
    <row r="39" spans="1:5" ht="12.75">
      <c r="A39" s="14"/>
      <c r="B39" s="22" t="s">
        <v>141</v>
      </c>
      <c r="C39" s="14"/>
      <c r="D39" s="18">
        <v>600</v>
      </c>
      <c r="E39" s="18"/>
    </row>
    <row r="40" spans="1:5" ht="12.75">
      <c r="A40" s="14"/>
      <c r="B40" s="352" t="s">
        <v>55</v>
      </c>
      <c r="C40" s="14"/>
      <c r="D40" s="14">
        <v>2359.5</v>
      </c>
      <c r="E40" s="14"/>
    </row>
    <row r="41" spans="1:5" ht="12.75">
      <c r="A41" s="14"/>
      <c r="B41" s="352" t="s">
        <v>117</v>
      </c>
      <c r="C41" s="14"/>
      <c r="D41" s="14">
        <v>1944</v>
      </c>
      <c r="E41" s="14"/>
    </row>
    <row r="42" spans="1:5" ht="12.75">
      <c r="A42" s="14"/>
      <c r="B42" s="352" t="s">
        <v>28</v>
      </c>
      <c r="C42" s="14"/>
      <c r="D42" s="14">
        <v>187.84</v>
      </c>
      <c r="E42" s="14"/>
    </row>
    <row r="43" spans="1:5" ht="12.75">
      <c r="A43" s="14"/>
      <c r="B43" s="14" t="s">
        <v>21</v>
      </c>
      <c r="C43" s="14"/>
      <c r="D43" s="14">
        <v>6328.84</v>
      </c>
      <c r="E43" s="14"/>
    </row>
    <row r="44" spans="1:5" ht="12.75">
      <c r="A44" s="14">
        <v>4</v>
      </c>
      <c r="B44" s="20" t="s">
        <v>92</v>
      </c>
      <c r="C44" s="14"/>
      <c r="D44" s="19">
        <v>140534.96</v>
      </c>
      <c r="E44" s="19"/>
    </row>
    <row r="45" spans="1:5" ht="12.75">
      <c r="A45" s="14">
        <v>5</v>
      </c>
      <c r="B45" s="20" t="s">
        <v>23</v>
      </c>
      <c r="C45" s="14"/>
      <c r="D45" s="19">
        <f>D20+D29+D34+D44</f>
        <v>735957.55265</v>
      </c>
      <c r="E45" s="14"/>
    </row>
    <row r="46" spans="1:5" ht="12.75">
      <c r="A46" s="14">
        <v>6</v>
      </c>
      <c r="B46" s="14" t="s">
        <v>32</v>
      </c>
      <c r="C46" s="14"/>
      <c r="D46" s="19">
        <f>D17*6%</f>
        <v>51078.6342</v>
      </c>
      <c r="E46" s="14"/>
    </row>
    <row r="47" spans="1:5" ht="12.75">
      <c r="A47" s="14">
        <v>7</v>
      </c>
      <c r="B47" s="20" t="s">
        <v>24</v>
      </c>
      <c r="C47" s="14"/>
      <c r="D47" s="19">
        <f>D45+D46</f>
        <v>787036.1868499999</v>
      </c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4">
        <v>8</v>
      </c>
      <c r="B49" s="20" t="s">
        <v>142</v>
      </c>
      <c r="C49" s="14"/>
      <c r="D49" s="19">
        <f>(D14+D16)-D47+20592.98</f>
        <v>-107590.43684999993</v>
      </c>
      <c r="E49" s="14"/>
    </row>
    <row r="50" spans="1:5" ht="12.75">
      <c r="A50" s="14">
        <v>9</v>
      </c>
      <c r="B50" s="20" t="s">
        <v>44</v>
      </c>
      <c r="C50" s="14"/>
      <c r="D50" s="19">
        <f>D8+D49</f>
        <v>-512180.02684999997</v>
      </c>
      <c r="E50" s="14"/>
    </row>
    <row r="51" spans="1:5" ht="12.75">
      <c r="A51" s="3"/>
      <c r="B51" s="377"/>
      <c r="C51" s="3"/>
      <c r="D51" s="380"/>
      <c r="E51" s="3"/>
    </row>
    <row r="52" spans="1:5" ht="12.75">
      <c r="A52" s="3"/>
      <c r="B52" s="377"/>
      <c r="C52" s="3"/>
      <c r="D52" s="380"/>
      <c r="E52" s="3"/>
    </row>
    <row r="53" spans="1:5" ht="12.75">
      <c r="A53" s="3"/>
      <c r="B53" s="377" t="s">
        <v>74</v>
      </c>
      <c r="C53" s="3"/>
      <c r="D53" s="380">
        <f>D9+D15-20592.98</f>
        <v>165278.97999999998</v>
      </c>
      <c r="E53" s="3"/>
    </row>
    <row r="54" spans="1:5" ht="12.75">
      <c r="A54" s="3"/>
      <c r="B54" s="377" t="s">
        <v>87</v>
      </c>
      <c r="C54" s="3"/>
      <c r="D54" s="380">
        <f>1500+6040.2+2250</f>
        <v>9790.2</v>
      </c>
      <c r="E54" s="3"/>
    </row>
    <row r="55" spans="1:5" ht="12.75">
      <c r="A55" s="3"/>
      <c r="B55" s="377" t="s">
        <v>86</v>
      </c>
      <c r="C55" s="3"/>
      <c r="D55" s="380">
        <f>D53-D54</f>
        <v>155488.77999999997</v>
      </c>
      <c r="E55" s="3"/>
    </row>
    <row r="56" spans="1:5" ht="12.75">
      <c r="A56" s="3"/>
      <c r="B56" s="377"/>
      <c r="C56" s="3"/>
      <c r="D56" s="380"/>
      <c r="E56" s="3"/>
    </row>
    <row r="57" spans="1:5" ht="12.75">
      <c r="A57" s="1"/>
      <c r="B57" s="1" t="s">
        <v>30</v>
      </c>
      <c r="C57" s="1"/>
      <c r="D57" s="1" t="s">
        <v>0</v>
      </c>
      <c r="E57" s="1"/>
    </row>
    <row r="58" spans="1:5" ht="12.75">
      <c r="A58" s="1"/>
      <c r="B58" s="1" t="s">
        <v>31</v>
      </c>
      <c r="C58" s="1"/>
      <c r="D58" s="1" t="s">
        <v>26</v>
      </c>
      <c r="E58" s="1"/>
    </row>
  </sheetData>
  <sheetProtection/>
  <mergeCells count="4">
    <mergeCell ref="A5:B5"/>
    <mergeCell ref="C5:D5"/>
    <mergeCell ref="D6:E6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9"/>
  <sheetViews>
    <sheetView zoomScaleSheetLayoutView="100" zoomScalePageLayoutView="0" workbookViewId="0" topLeftCell="A1">
      <selection activeCell="H51" sqref="H51"/>
    </sheetView>
  </sheetViews>
  <sheetFormatPr defaultColWidth="9.00390625" defaultRowHeight="12.75"/>
  <cols>
    <col min="1" max="1" width="6.00390625" style="0" customWidth="1"/>
    <col min="2" max="2" width="40.75390625" style="0" customWidth="1"/>
    <col min="3" max="3" width="8.25390625" style="0" customWidth="1"/>
    <col min="4" max="4" width="12.125" style="0" customWidth="1"/>
    <col min="6" max="6" width="9.625" style="0" bestFit="1" customWidth="1"/>
    <col min="7" max="7" width="11.125" style="0" customWidth="1"/>
    <col min="8" max="8" width="41.375" style="0" customWidth="1"/>
    <col min="10" max="10" width="10.00390625" style="0" customWidth="1"/>
    <col min="14" max="14" width="5.75390625" style="0" customWidth="1"/>
    <col min="15" max="15" width="38.75390625" style="0" customWidth="1"/>
    <col min="17" max="17" width="10.00390625" style="0" bestFit="1" customWidth="1"/>
    <col min="19" max="19" width="5.75390625" style="0" customWidth="1"/>
    <col min="20" max="20" width="8.625" style="0" customWidth="1"/>
    <col min="21" max="21" width="43.125" style="0" customWidth="1"/>
    <col min="23" max="23" width="12.7539062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176</v>
      </c>
    </row>
    <row r="5" spans="1:5" ht="12.75">
      <c r="A5" s="569"/>
      <c r="B5" s="569"/>
      <c r="C5" s="569"/>
      <c r="D5" s="569"/>
      <c r="E5" s="316"/>
    </row>
    <row r="6" spans="1:5" ht="15.75">
      <c r="A6" s="336"/>
      <c r="B6" s="463" t="s">
        <v>1</v>
      </c>
      <c r="C6" s="464" t="s">
        <v>3</v>
      </c>
      <c r="D6" s="574" t="s">
        <v>4</v>
      </c>
      <c r="E6" s="575"/>
    </row>
    <row r="7" spans="1:7" ht="15.75">
      <c r="A7" s="322"/>
      <c r="B7" s="320" t="s">
        <v>2</v>
      </c>
      <c r="C7" s="321" t="s">
        <v>49</v>
      </c>
      <c r="D7" s="572" t="s">
        <v>140</v>
      </c>
      <c r="E7" s="573"/>
      <c r="G7" s="382"/>
    </row>
    <row r="8" spans="1:5" ht="12.75">
      <c r="A8" s="326"/>
      <c r="B8" s="295" t="s">
        <v>78</v>
      </c>
      <c r="C8" s="326"/>
      <c r="D8" s="340">
        <v>-428004.65</v>
      </c>
      <c r="E8" s="335"/>
    </row>
    <row r="9" spans="1:5" ht="12.75">
      <c r="A9" s="323"/>
      <c r="B9" s="374" t="s">
        <v>85</v>
      </c>
      <c r="C9" s="323"/>
      <c r="D9" s="324">
        <v>-174341.12</v>
      </c>
      <c r="E9" s="325"/>
    </row>
    <row r="10" spans="1:5" ht="12.75">
      <c r="A10" s="326"/>
      <c r="B10" s="327" t="s">
        <v>5</v>
      </c>
      <c r="C10" s="338" t="s">
        <v>50</v>
      </c>
      <c r="D10" s="326">
        <v>8218.36</v>
      </c>
      <c r="E10" s="326"/>
    </row>
    <row r="11" spans="1:5" ht="12.75">
      <c r="A11" s="326"/>
      <c r="B11" s="327" t="s">
        <v>6</v>
      </c>
      <c r="C11" s="338" t="s">
        <v>50</v>
      </c>
      <c r="D11" s="332">
        <v>5705.6</v>
      </c>
      <c r="E11" s="326"/>
    </row>
    <row r="12" spans="1:5" ht="12.75">
      <c r="A12" s="326"/>
      <c r="B12" s="328" t="s">
        <v>27</v>
      </c>
      <c r="C12" s="338" t="s">
        <v>9</v>
      </c>
      <c r="D12" s="425">
        <v>981813.47</v>
      </c>
      <c r="E12" s="326"/>
    </row>
    <row r="13" spans="1:5" ht="15.75">
      <c r="A13" s="326"/>
      <c r="B13" s="330" t="s">
        <v>7</v>
      </c>
      <c r="C13" s="323"/>
      <c r="D13" s="326"/>
      <c r="E13" s="326"/>
    </row>
    <row r="14" spans="1:5" ht="12.75">
      <c r="A14" s="326">
        <v>1</v>
      </c>
      <c r="B14" s="326" t="s">
        <v>8</v>
      </c>
      <c r="C14" s="338" t="s">
        <v>9</v>
      </c>
      <c r="D14" s="332">
        <v>755301.6</v>
      </c>
      <c r="E14" s="326"/>
    </row>
    <row r="15" spans="1:5" ht="12.75">
      <c r="A15" s="326">
        <v>2</v>
      </c>
      <c r="B15" s="326" t="s">
        <v>74</v>
      </c>
      <c r="C15" s="323"/>
      <c r="D15" s="326">
        <v>196161</v>
      </c>
      <c r="E15" s="326"/>
    </row>
    <row r="16" spans="1:5" ht="12.75">
      <c r="A16" s="326">
        <v>3</v>
      </c>
      <c r="B16" s="326" t="s">
        <v>82</v>
      </c>
      <c r="C16" s="323"/>
      <c r="D16" s="326">
        <v>9000</v>
      </c>
      <c r="E16" s="326"/>
    </row>
    <row r="17" spans="1:5" ht="15.75">
      <c r="A17" s="326"/>
      <c r="B17" s="330" t="s">
        <v>10</v>
      </c>
      <c r="C17" s="323"/>
      <c r="D17" s="331">
        <f>D14+D15+D16</f>
        <v>960462.6</v>
      </c>
      <c r="E17" s="326"/>
    </row>
    <row r="18" spans="1:5" ht="15.75">
      <c r="A18" s="326"/>
      <c r="B18" s="330"/>
      <c r="C18" s="323"/>
      <c r="D18" s="329"/>
      <c r="E18" s="326"/>
    </row>
    <row r="19" spans="1:5" ht="15.75">
      <c r="A19" s="14"/>
      <c r="B19" s="17" t="s">
        <v>57</v>
      </c>
      <c r="C19" s="14"/>
      <c r="D19" s="20"/>
      <c r="E19" s="326"/>
    </row>
    <row r="20" spans="1:5" ht="12.75">
      <c r="A20" s="358" t="s">
        <v>58</v>
      </c>
      <c r="B20" s="16" t="s">
        <v>59</v>
      </c>
      <c r="C20" s="14"/>
      <c r="D20" s="19">
        <f>D21+D25+D29+D26+D28+D27</f>
        <v>375320.29946</v>
      </c>
      <c r="E20" s="326"/>
    </row>
    <row r="21" spans="1:5" ht="12.75">
      <c r="A21" s="14">
        <v>1</v>
      </c>
      <c r="B21" s="22" t="s">
        <v>11</v>
      </c>
      <c r="C21" s="22" t="s">
        <v>9</v>
      </c>
      <c r="D21" s="21">
        <f>D22+D23+D24</f>
        <v>270586.73000000004</v>
      </c>
      <c r="E21" s="326"/>
    </row>
    <row r="22" spans="1:5" ht="12.75">
      <c r="A22" s="468" t="s">
        <v>126</v>
      </c>
      <c r="B22" s="14" t="s">
        <v>12</v>
      </c>
      <c r="C22" s="14"/>
      <c r="D22" s="14">
        <v>57434.47</v>
      </c>
      <c r="E22" s="326"/>
    </row>
    <row r="23" spans="1:5" ht="12.75">
      <c r="A23" s="468" t="s">
        <v>127</v>
      </c>
      <c r="B23" s="14" t="s">
        <v>13</v>
      </c>
      <c r="C23" s="14"/>
      <c r="D23" s="353">
        <v>123376.49</v>
      </c>
      <c r="E23" s="326"/>
    </row>
    <row r="24" spans="1:5" ht="12.75">
      <c r="A24" s="468" t="s">
        <v>128</v>
      </c>
      <c r="B24" s="14" t="s">
        <v>14</v>
      </c>
      <c r="C24" s="14"/>
      <c r="D24" s="14">
        <v>89775.77</v>
      </c>
      <c r="E24" s="326"/>
    </row>
    <row r="25" spans="1:5" ht="12.75">
      <c r="A25" s="14">
        <v>2</v>
      </c>
      <c r="B25" s="22" t="s">
        <v>136</v>
      </c>
      <c r="C25" s="14"/>
      <c r="D25" s="18">
        <f>D21*20.2%</f>
        <v>54658.51946</v>
      </c>
      <c r="E25" s="326"/>
    </row>
    <row r="26" spans="1:5" ht="12.75">
      <c r="A26" s="14">
        <v>3</v>
      </c>
      <c r="B26" s="22" t="s">
        <v>209</v>
      </c>
      <c r="C26" s="14"/>
      <c r="D26" s="14">
        <v>22989</v>
      </c>
      <c r="E26" s="326"/>
    </row>
    <row r="27" spans="1:5" ht="12.75">
      <c r="A27" s="14">
        <v>4</v>
      </c>
      <c r="B27" s="22" t="s">
        <v>157</v>
      </c>
      <c r="C27" s="14"/>
      <c r="D27" s="14">
        <v>5879.67</v>
      </c>
      <c r="E27" s="326"/>
    </row>
    <row r="28" spans="1:5" ht="12.75">
      <c r="A28" s="14">
        <v>5</v>
      </c>
      <c r="B28" s="22" t="s">
        <v>143</v>
      </c>
      <c r="C28" s="14"/>
      <c r="D28" s="14">
        <v>6025.33</v>
      </c>
      <c r="E28" s="326"/>
    </row>
    <row r="29" spans="1:5" ht="12.75">
      <c r="A29" s="14">
        <v>6</v>
      </c>
      <c r="B29" s="352" t="s">
        <v>15</v>
      </c>
      <c r="C29" s="14"/>
      <c r="D29" s="14">
        <v>15181.05</v>
      </c>
      <c r="E29" s="326"/>
    </row>
    <row r="30" spans="1:5" ht="12.75">
      <c r="A30" s="358" t="s">
        <v>61</v>
      </c>
      <c r="B30" s="359" t="s">
        <v>60</v>
      </c>
      <c r="C30" s="14"/>
      <c r="D30" s="19">
        <f>D31+D33+D32</f>
        <v>168326.34038</v>
      </c>
      <c r="E30" s="326"/>
    </row>
    <row r="31" spans="1:5" ht="12.75">
      <c r="A31" s="14">
        <v>1</v>
      </c>
      <c r="B31" s="22" t="s">
        <v>95</v>
      </c>
      <c r="C31" s="14"/>
      <c r="D31" s="22">
        <v>139456.19</v>
      </c>
      <c r="E31" s="326"/>
    </row>
    <row r="32" spans="1:5" ht="12.75">
      <c r="A32" s="14">
        <v>2</v>
      </c>
      <c r="B32" s="22" t="s">
        <v>136</v>
      </c>
      <c r="C32" s="14"/>
      <c r="D32" s="21">
        <f>D31*20.2%</f>
        <v>28170.15038</v>
      </c>
      <c r="E32" s="18"/>
    </row>
    <row r="33" spans="1:5" ht="12.75">
      <c r="A33" s="14">
        <v>3</v>
      </c>
      <c r="B33" s="22" t="s">
        <v>15</v>
      </c>
      <c r="C33" s="14"/>
      <c r="D33" s="22">
        <v>700</v>
      </c>
      <c r="E33" s="14"/>
    </row>
    <row r="34" spans="1:5" ht="12.75">
      <c r="A34" s="358" t="s">
        <v>62</v>
      </c>
      <c r="B34" s="20" t="s">
        <v>16</v>
      </c>
      <c r="C34" s="14"/>
      <c r="D34" s="19">
        <f>D35+D36+D37+D38+D39+D40+D41+D42+D43+D44</f>
        <v>93363.8366</v>
      </c>
      <c r="E34" s="19"/>
    </row>
    <row r="35" spans="1:5" ht="12.75">
      <c r="A35" s="14"/>
      <c r="B35" s="14" t="s">
        <v>17</v>
      </c>
      <c r="C35" s="14"/>
      <c r="D35" s="18">
        <f>D17*4.1%</f>
        <v>39378.96659999999</v>
      </c>
      <c r="E35" s="14"/>
    </row>
    <row r="36" spans="1:5" ht="12.75">
      <c r="A36" s="14"/>
      <c r="B36" s="14" t="s">
        <v>18</v>
      </c>
      <c r="C36" s="14"/>
      <c r="D36" s="14">
        <v>4237.31</v>
      </c>
      <c r="E36" s="14"/>
    </row>
    <row r="37" spans="1:5" ht="12.75">
      <c r="A37" s="14"/>
      <c r="B37" s="14" t="s">
        <v>19</v>
      </c>
      <c r="C37" s="14"/>
      <c r="D37" s="14">
        <v>15347.83</v>
      </c>
      <c r="E37" s="14"/>
    </row>
    <row r="38" spans="1:5" ht="12.75">
      <c r="A38" s="14"/>
      <c r="B38" s="14" t="s">
        <v>20</v>
      </c>
      <c r="C38" s="14"/>
      <c r="D38" s="18">
        <v>18014.01</v>
      </c>
      <c r="E38" s="18"/>
    </row>
    <row r="39" spans="1:5" ht="12.75">
      <c r="A39" s="14"/>
      <c r="B39" s="22" t="s">
        <v>189</v>
      </c>
      <c r="C39" s="14"/>
      <c r="D39" s="18">
        <v>5000</v>
      </c>
      <c r="E39" s="18"/>
    </row>
    <row r="40" spans="1:5" ht="12.75">
      <c r="A40" s="14"/>
      <c r="B40" s="22" t="s">
        <v>164</v>
      </c>
      <c r="C40" s="14"/>
      <c r="D40" s="18">
        <v>2250</v>
      </c>
      <c r="E40" s="18"/>
    </row>
    <row r="41" spans="1:5" ht="12.75">
      <c r="A41" s="14"/>
      <c r="B41" s="22" t="s">
        <v>141</v>
      </c>
      <c r="C41" s="14"/>
      <c r="D41" s="14">
        <v>400</v>
      </c>
      <c r="E41" s="14"/>
    </row>
    <row r="42" spans="1:5" ht="12.75">
      <c r="A42" s="14"/>
      <c r="B42" s="352" t="s">
        <v>55</v>
      </c>
      <c r="C42" s="14"/>
      <c r="D42" s="14">
        <v>2321.3</v>
      </c>
      <c r="E42" s="14"/>
    </row>
    <row r="43" spans="1:5" ht="12.75">
      <c r="A43" s="14"/>
      <c r="B43" s="352" t="s">
        <v>28</v>
      </c>
      <c r="C43" s="14"/>
      <c r="D43" s="14">
        <v>187.84</v>
      </c>
      <c r="E43" s="14"/>
    </row>
    <row r="44" spans="1:5" ht="12.75">
      <c r="A44" s="14"/>
      <c r="B44" s="14" t="s">
        <v>21</v>
      </c>
      <c r="C44" s="14"/>
      <c r="D44" s="14">
        <v>6226.58</v>
      </c>
      <c r="E44" s="14"/>
    </row>
    <row r="45" spans="1:5" ht="12.75">
      <c r="A45" s="14">
        <v>4</v>
      </c>
      <c r="B45" s="20" t="s">
        <v>92</v>
      </c>
      <c r="C45" s="14"/>
      <c r="D45" s="19">
        <v>138264.34</v>
      </c>
      <c r="E45" s="19"/>
    </row>
    <row r="46" spans="1:5" ht="12.75">
      <c r="A46" s="14">
        <v>5</v>
      </c>
      <c r="B46" s="20" t="s">
        <v>23</v>
      </c>
      <c r="C46" s="14"/>
      <c r="D46" s="19">
        <f>D20+E20+D30+E30+D34+E34+D45+E45</f>
        <v>775274.8164400001</v>
      </c>
      <c r="E46" s="14"/>
    </row>
    <row r="47" spans="1:5" ht="12.75">
      <c r="A47" s="14">
        <v>6</v>
      </c>
      <c r="B47" s="14" t="s">
        <v>32</v>
      </c>
      <c r="C47" s="14"/>
      <c r="D47" s="19">
        <f>D17*6%</f>
        <v>57627.755999999994</v>
      </c>
      <c r="E47" s="14"/>
    </row>
    <row r="48" spans="1:5" ht="12.75">
      <c r="A48" s="14">
        <v>7</v>
      </c>
      <c r="B48" s="20" t="s">
        <v>24</v>
      </c>
      <c r="C48" s="14"/>
      <c r="D48" s="19">
        <f>D46+D47</f>
        <v>832902.57244</v>
      </c>
      <c r="E48" s="14"/>
    </row>
    <row r="49" spans="1:5" ht="12.75">
      <c r="A49" s="14"/>
      <c r="B49" s="14"/>
      <c r="C49" s="14"/>
      <c r="D49" s="14"/>
      <c r="E49" s="14"/>
    </row>
    <row r="50" spans="1:6" ht="12.75">
      <c r="A50" s="14">
        <v>8</v>
      </c>
      <c r="B50" s="20" t="s">
        <v>142</v>
      </c>
      <c r="C50" s="14"/>
      <c r="D50" s="19">
        <f>(D14+D16)-D48+20989.23</f>
        <v>-47611.742440000045</v>
      </c>
      <c r="E50" s="14"/>
      <c r="F50" s="382"/>
    </row>
    <row r="51" spans="1:5" ht="12.75">
      <c r="A51" s="14">
        <v>9</v>
      </c>
      <c r="B51" s="20" t="s">
        <v>44</v>
      </c>
      <c r="C51" s="14"/>
      <c r="D51" s="19">
        <f>D8+D50</f>
        <v>-475616.3924400001</v>
      </c>
      <c r="E51" s="14"/>
    </row>
    <row r="52" spans="1:5" ht="12.75">
      <c r="A52" s="3"/>
      <c r="B52" s="377"/>
      <c r="C52" s="3"/>
      <c r="D52" s="380"/>
      <c r="E52" s="3"/>
    </row>
    <row r="53" spans="1:5" ht="12.75">
      <c r="A53" s="3"/>
      <c r="B53" s="377"/>
      <c r="C53" s="3"/>
      <c r="D53" s="380"/>
      <c r="E53" s="3"/>
    </row>
    <row r="54" spans="1:5" ht="12.75">
      <c r="A54" s="3"/>
      <c r="B54" s="377" t="s">
        <v>74</v>
      </c>
      <c r="C54" s="3"/>
      <c r="D54" s="380">
        <f>D9+D15</f>
        <v>21819.880000000005</v>
      </c>
      <c r="E54" s="3"/>
    </row>
    <row r="55" spans="1:5" ht="12.75">
      <c r="A55" s="3"/>
      <c r="B55" s="377" t="s">
        <v>87</v>
      </c>
      <c r="C55" s="3"/>
      <c r="D55" s="380">
        <v>130175.98</v>
      </c>
      <c r="E55" s="3"/>
    </row>
    <row r="56" spans="1:5" ht="12.75">
      <c r="A56" s="3"/>
      <c r="B56" s="377" t="s">
        <v>86</v>
      </c>
      <c r="C56" s="3"/>
      <c r="D56" s="380">
        <f>D54-D55</f>
        <v>-108356.09999999999</v>
      </c>
      <c r="E56" s="3"/>
    </row>
    <row r="57" spans="1:5" ht="12.75">
      <c r="A57" s="3"/>
      <c r="B57" s="377"/>
      <c r="C57" s="3"/>
      <c r="D57" s="380"/>
      <c r="E57" s="3"/>
    </row>
    <row r="58" spans="1:5" ht="12.75">
      <c r="A58" s="1"/>
      <c r="B58" s="1" t="s">
        <v>30</v>
      </c>
      <c r="C58" s="1"/>
      <c r="D58" s="1" t="s">
        <v>0</v>
      </c>
      <c r="E58" s="1"/>
    </row>
    <row r="59" spans="1:5" ht="12.75">
      <c r="A59" s="1"/>
      <c r="B59" s="1" t="s">
        <v>31</v>
      </c>
      <c r="C59" s="1"/>
      <c r="D59" s="1" t="s">
        <v>26</v>
      </c>
      <c r="E59" s="1"/>
    </row>
  </sheetData>
  <sheetProtection/>
  <mergeCells count="4">
    <mergeCell ref="A5:B5"/>
    <mergeCell ref="C5:D5"/>
    <mergeCell ref="D6:E6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100" zoomScalePageLayoutView="0" workbookViewId="0" topLeftCell="B1">
      <selection activeCell="I53" sqref="I53"/>
    </sheetView>
  </sheetViews>
  <sheetFormatPr defaultColWidth="9.00390625" defaultRowHeight="12.75"/>
  <cols>
    <col min="1" max="1" width="5.875" style="0" customWidth="1"/>
    <col min="2" max="2" width="43.625" style="0" customWidth="1"/>
    <col min="3" max="3" width="8.375" style="0" customWidth="1"/>
    <col min="4" max="4" width="12.00390625" style="0" customWidth="1"/>
    <col min="7" max="7" width="15.625" style="0" customWidth="1"/>
    <col min="8" max="8" width="14.875" style="0" customWidth="1"/>
    <col min="10" max="10" width="10.125" style="0" customWidth="1"/>
    <col min="13" max="13" width="5.625" style="0" customWidth="1"/>
    <col min="15" max="15" width="39.125" style="0" customWidth="1"/>
    <col min="17" max="17" width="9.625" style="0" bestFit="1" customWidth="1"/>
    <col min="19" max="19" width="5.125" style="0" customWidth="1"/>
    <col min="21" max="21" width="39.625" style="0" customWidth="1"/>
    <col min="23" max="23" width="11.125" style="0" customWidth="1"/>
    <col min="24" max="24" width="11.2539062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177</v>
      </c>
    </row>
    <row r="5" spans="1:4" ht="12.75">
      <c r="A5" s="333"/>
      <c r="B5" s="333"/>
      <c r="C5" s="333"/>
      <c r="D5" s="333"/>
    </row>
    <row r="6" spans="1:5" ht="12.75">
      <c r="A6" s="569"/>
      <c r="B6" s="569"/>
      <c r="C6" s="569"/>
      <c r="D6" s="569"/>
      <c r="E6" s="316"/>
    </row>
    <row r="7" spans="1:5" ht="15.75">
      <c r="A7" s="336"/>
      <c r="B7" s="463" t="s">
        <v>1</v>
      </c>
      <c r="C7" s="464" t="s">
        <v>3</v>
      </c>
      <c r="D7" s="574" t="s">
        <v>4</v>
      </c>
      <c r="E7" s="575"/>
    </row>
    <row r="8" spans="1:5" ht="15.75">
      <c r="A8" s="322"/>
      <c r="B8" s="320" t="s">
        <v>2</v>
      </c>
      <c r="C8" s="321" t="s">
        <v>49</v>
      </c>
      <c r="D8" s="572" t="s">
        <v>140</v>
      </c>
      <c r="E8" s="573"/>
    </row>
    <row r="9" spans="1:5" ht="12.75">
      <c r="A9" s="326"/>
      <c r="B9" s="295" t="s">
        <v>78</v>
      </c>
      <c r="C9" s="326"/>
      <c r="D9" s="340">
        <v>5571.19</v>
      </c>
      <c r="E9" s="335"/>
    </row>
    <row r="10" spans="1:5" ht="12.75">
      <c r="A10" s="323"/>
      <c r="B10" s="374" t="s">
        <v>79</v>
      </c>
      <c r="C10" s="323"/>
      <c r="D10" s="324">
        <v>-696.9</v>
      </c>
      <c r="E10" s="325"/>
    </row>
    <row r="11" spans="1:5" ht="12.75">
      <c r="A11" s="326"/>
      <c r="B11" s="327" t="s">
        <v>5</v>
      </c>
      <c r="C11" s="338" t="s">
        <v>50</v>
      </c>
      <c r="D11" s="332">
        <v>7083</v>
      </c>
      <c r="E11" s="326"/>
    </row>
    <row r="12" spans="1:5" ht="12.75">
      <c r="A12" s="326"/>
      <c r="B12" s="327" t="s">
        <v>6</v>
      </c>
      <c r="C12" s="338" t="s">
        <v>50</v>
      </c>
      <c r="D12" s="332">
        <v>5084.02</v>
      </c>
      <c r="E12" s="326"/>
    </row>
    <row r="13" spans="1:5" ht="12.75">
      <c r="A13" s="326"/>
      <c r="B13" s="328" t="s">
        <v>27</v>
      </c>
      <c r="C13" s="338" t="s">
        <v>9</v>
      </c>
      <c r="D13" s="332">
        <v>732260.88</v>
      </c>
      <c r="E13" s="326"/>
    </row>
    <row r="14" spans="1:5" ht="15.75">
      <c r="A14" s="326"/>
      <c r="B14" s="330" t="s">
        <v>7</v>
      </c>
      <c r="C14" s="323"/>
      <c r="D14" s="326"/>
      <c r="E14" s="326"/>
    </row>
    <row r="15" spans="1:5" ht="12.75">
      <c r="A15" s="326">
        <v>1</v>
      </c>
      <c r="B15" s="326" t="s">
        <v>8</v>
      </c>
      <c r="C15" s="338" t="s">
        <v>9</v>
      </c>
      <c r="D15" s="332">
        <v>517759.09</v>
      </c>
      <c r="E15" s="326"/>
    </row>
    <row r="16" spans="1:5" ht="12.75">
      <c r="A16" s="326">
        <v>2</v>
      </c>
      <c r="B16" s="326" t="s">
        <v>74</v>
      </c>
      <c r="C16" s="338"/>
      <c r="D16" s="332">
        <v>166397.35</v>
      </c>
      <c r="E16" s="326"/>
    </row>
    <row r="17" spans="1:5" ht="12.75">
      <c r="A17" s="326">
        <v>3</v>
      </c>
      <c r="B17" s="326" t="s">
        <v>82</v>
      </c>
      <c r="C17" s="323"/>
      <c r="D17" s="332">
        <v>6000</v>
      </c>
      <c r="E17" s="326"/>
    </row>
    <row r="18" spans="1:5" ht="15.75">
      <c r="A18" s="326"/>
      <c r="B18" s="330" t="s">
        <v>10</v>
      </c>
      <c r="C18" s="323"/>
      <c r="D18" s="331">
        <f>D15+D17+D16</f>
        <v>690156.4400000001</v>
      </c>
      <c r="E18" s="326"/>
    </row>
    <row r="19" spans="1:5" ht="15.75">
      <c r="A19" s="326"/>
      <c r="B19" s="330"/>
      <c r="C19" s="323"/>
      <c r="D19" s="329"/>
      <c r="E19" s="326"/>
    </row>
    <row r="20" spans="1:5" ht="15.75">
      <c r="A20" s="14"/>
      <c r="B20" s="17" t="s">
        <v>57</v>
      </c>
      <c r="C20" s="14"/>
      <c r="D20" s="20"/>
      <c r="E20" s="326"/>
    </row>
    <row r="21" spans="1:5" ht="12.75">
      <c r="A21" s="358" t="s">
        <v>58</v>
      </c>
      <c r="B21" s="16" t="s">
        <v>59</v>
      </c>
      <c r="C21" s="14"/>
      <c r="D21" s="19">
        <f>D22+D26+D27+D29</f>
        <v>194741.84628000003</v>
      </c>
      <c r="E21" s="326"/>
    </row>
    <row r="22" spans="1:5" ht="12.75">
      <c r="A22" s="14">
        <v>1</v>
      </c>
      <c r="B22" s="22" t="s">
        <v>11</v>
      </c>
      <c r="C22" s="22" t="s">
        <v>9</v>
      </c>
      <c r="D22" s="21">
        <f>D23+D24+D25</f>
        <v>154309.14</v>
      </c>
      <c r="E22" s="326"/>
    </row>
    <row r="23" spans="1:7" ht="12.75">
      <c r="A23" s="468" t="s">
        <v>126</v>
      </c>
      <c r="B23" s="14" t="s">
        <v>12</v>
      </c>
      <c r="C23" s="14"/>
      <c r="D23" s="14">
        <v>42313.62</v>
      </c>
      <c r="E23" s="326"/>
      <c r="G23" s="382"/>
    </row>
    <row r="24" spans="1:5" ht="12.75">
      <c r="A24" s="468" t="s">
        <v>127</v>
      </c>
      <c r="B24" s="14" t="s">
        <v>13</v>
      </c>
      <c r="C24" s="14"/>
      <c r="D24" s="353">
        <v>51871.7</v>
      </c>
      <c r="E24" s="326"/>
    </row>
    <row r="25" spans="1:5" ht="12.75">
      <c r="A25" s="468" t="s">
        <v>128</v>
      </c>
      <c r="B25" s="14" t="s">
        <v>14</v>
      </c>
      <c r="C25" s="14"/>
      <c r="D25" s="14">
        <v>60123.82</v>
      </c>
      <c r="E25" s="326"/>
    </row>
    <row r="26" spans="1:5" ht="12.75">
      <c r="A26" s="14">
        <v>2</v>
      </c>
      <c r="B26" s="22" t="s">
        <v>136</v>
      </c>
      <c r="C26" s="14"/>
      <c r="D26" s="18">
        <f>D22*20.2%</f>
        <v>31170.44628</v>
      </c>
      <c r="E26" s="326"/>
    </row>
    <row r="27" spans="1:5" ht="12.75" customHeight="1">
      <c r="A27" s="14">
        <v>3</v>
      </c>
      <c r="B27" s="22" t="s">
        <v>210</v>
      </c>
      <c r="C27" s="14"/>
      <c r="D27" s="14">
        <f>1288.64+1250</f>
        <v>2538.6400000000003</v>
      </c>
      <c r="E27" s="326"/>
    </row>
    <row r="28" spans="1:5" ht="12.75" customHeight="1" hidden="1">
      <c r="A28" s="14"/>
      <c r="B28" s="14" t="s">
        <v>89</v>
      </c>
      <c r="C28" s="14"/>
      <c r="D28" s="14">
        <v>1011.07</v>
      </c>
      <c r="E28" s="326"/>
    </row>
    <row r="29" spans="1:5" ht="13.5" customHeight="1">
      <c r="A29" s="14">
        <v>4</v>
      </c>
      <c r="B29" s="352" t="s">
        <v>15</v>
      </c>
      <c r="C29" s="14"/>
      <c r="D29" s="14">
        <v>6723.62</v>
      </c>
      <c r="E29" s="326"/>
    </row>
    <row r="30" spans="1:5" ht="12.75">
      <c r="A30" s="358" t="s">
        <v>61</v>
      </c>
      <c r="B30" s="359" t="s">
        <v>60</v>
      </c>
      <c r="C30" s="14"/>
      <c r="D30" s="19">
        <f>D31+D32+D33</f>
        <v>160864.77508</v>
      </c>
      <c r="E30" s="326"/>
    </row>
    <row r="31" spans="1:5" ht="12.75">
      <c r="A31" s="14">
        <v>1</v>
      </c>
      <c r="B31" s="22" t="s">
        <v>95</v>
      </c>
      <c r="C31" s="14"/>
      <c r="D31" s="22">
        <v>124263.54</v>
      </c>
      <c r="E31" s="326"/>
    </row>
    <row r="32" spans="1:5" ht="12.75">
      <c r="A32" s="14">
        <v>2</v>
      </c>
      <c r="B32" s="22" t="s">
        <v>136</v>
      </c>
      <c r="C32" s="14"/>
      <c r="D32" s="21">
        <f>D31*20.2%</f>
        <v>25101.23508</v>
      </c>
      <c r="E32" s="326"/>
    </row>
    <row r="33" spans="1:5" ht="12.75">
      <c r="A33" s="14">
        <v>3</v>
      </c>
      <c r="B33" s="22" t="s">
        <v>83</v>
      </c>
      <c r="C33" s="14"/>
      <c r="D33" s="22">
        <v>11500</v>
      </c>
      <c r="E33" s="14"/>
    </row>
    <row r="34" spans="1:5" ht="12.75">
      <c r="A34" s="358" t="s">
        <v>62</v>
      </c>
      <c r="B34" s="20" t="s">
        <v>16</v>
      </c>
      <c r="C34" s="14"/>
      <c r="D34" s="19">
        <f>D35+D36+D37+D38+D39+D40+D41</f>
        <v>68568.55200000001</v>
      </c>
      <c r="E34" s="19"/>
    </row>
    <row r="35" spans="1:5" ht="12.75">
      <c r="A35" s="14"/>
      <c r="B35" s="14" t="s">
        <v>17</v>
      </c>
      <c r="C35" s="14"/>
      <c r="D35" s="18">
        <f>D18*5%</f>
        <v>34507.82200000001</v>
      </c>
      <c r="E35" s="14"/>
    </row>
    <row r="36" spans="1:5" ht="12.75">
      <c r="A36" s="14"/>
      <c r="B36" s="14" t="s">
        <v>18</v>
      </c>
      <c r="C36" s="14"/>
      <c r="D36" s="14">
        <v>2671.57</v>
      </c>
      <c r="E36" s="14"/>
    </row>
    <row r="37" spans="1:5" ht="12.75">
      <c r="A37" s="14"/>
      <c r="B37" s="14" t="s">
        <v>20</v>
      </c>
      <c r="C37" s="14"/>
      <c r="D37" s="18">
        <v>16051.53</v>
      </c>
      <c r="E37" s="18"/>
    </row>
    <row r="38" spans="1:5" ht="12.75">
      <c r="A38" s="14"/>
      <c r="B38" s="22" t="s">
        <v>19</v>
      </c>
      <c r="C38" s="14"/>
      <c r="D38" s="14">
        <v>7314.5</v>
      </c>
      <c r="E38" s="14"/>
    </row>
    <row r="39" spans="1:5" ht="12.75">
      <c r="A39" s="14"/>
      <c r="B39" s="352" t="s">
        <v>55</v>
      </c>
      <c r="C39" s="14"/>
      <c r="D39" s="14">
        <v>2068.4</v>
      </c>
      <c r="E39" s="14"/>
    </row>
    <row r="40" spans="1:5" ht="12.75">
      <c r="A40" s="14"/>
      <c r="B40" s="352" t="s">
        <v>28</v>
      </c>
      <c r="C40" s="14"/>
      <c r="D40" s="14">
        <v>406.48</v>
      </c>
      <c r="E40" s="14"/>
    </row>
    <row r="41" spans="1:10" ht="12.75">
      <c r="A41" s="14"/>
      <c r="B41" s="14" t="s">
        <v>21</v>
      </c>
      <c r="C41" s="14"/>
      <c r="D41" s="14">
        <v>5548.25</v>
      </c>
      <c r="E41" s="14"/>
      <c r="J41" t="s">
        <v>118</v>
      </c>
    </row>
    <row r="42" spans="1:5" ht="12.75">
      <c r="A42" s="14">
        <v>4</v>
      </c>
      <c r="B42" s="20" t="s">
        <v>92</v>
      </c>
      <c r="C42" s="14"/>
      <c r="D42" s="19">
        <v>164197.55</v>
      </c>
      <c r="E42" s="19"/>
    </row>
    <row r="43" spans="1:5" ht="12.75">
      <c r="A43" s="14">
        <v>5</v>
      </c>
      <c r="B43" s="20" t="s">
        <v>23</v>
      </c>
      <c r="C43" s="14"/>
      <c r="D43" s="19">
        <f>D21+D30+D34+D42</f>
        <v>588372.72336</v>
      </c>
      <c r="E43" s="14"/>
    </row>
    <row r="44" spans="1:5" ht="12.75">
      <c r="A44" s="14">
        <v>6</v>
      </c>
      <c r="B44" s="14" t="s">
        <v>32</v>
      </c>
      <c r="C44" s="14"/>
      <c r="D44" s="19">
        <f>D18*6%</f>
        <v>41409.3864</v>
      </c>
      <c r="E44" s="14"/>
    </row>
    <row r="45" spans="1:5" ht="12.75">
      <c r="A45" s="14">
        <v>7</v>
      </c>
      <c r="B45" s="20" t="s">
        <v>24</v>
      </c>
      <c r="C45" s="14"/>
      <c r="D45" s="19">
        <f>D43+D44</f>
        <v>629782.1097599999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142</v>
      </c>
      <c r="C47" s="14"/>
      <c r="D47" s="19">
        <f>D15-D45+17804.52</f>
        <v>-94218.49975999988</v>
      </c>
      <c r="E47" s="14"/>
    </row>
    <row r="48" spans="1:5" ht="12.75">
      <c r="A48" s="14">
        <v>9</v>
      </c>
      <c r="B48" s="20" t="s">
        <v>44</v>
      </c>
      <c r="C48" s="14"/>
      <c r="D48" s="19">
        <f>D9+D47</f>
        <v>-88647.30975999987</v>
      </c>
      <c r="E48" s="14"/>
    </row>
    <row r="49" spans="1:5" ht="12.75">
      <c r="A49" s="3"/>
      <c r="B49" s="377" t="s">
        <v>119</v>
      </c>
      <c r="C49" s="3"/>
      <c r="D49" s="380">
        <f>D16-17804.52</f>
        <v>148592.83000000002</v>
      </c>
      <c r="E49" s="3"/>
    </row>
    <row r="50" spans="1:5" ht="12.75">
      <c r="A50" s="3"/>
      <c r="B50" s="377" t="s">
        <v>100</v>
      </c>
      <c r="C50" s="3"/>
      <c r="D50" s="380">
        <f>124687.23+41257.62</f>
        <v>165944.85</v>
      </c>
      <c r="E50" s="3"/>
    </row>
    <row r="51" spans="1:5" ht="12.75">
      <c r="A51" s="3"/>
      <c r="B51" s="377" t="s">
        <v>93</v>
      </c>
      <c r="C51" s="3"/>
      <c r="D51" s="380">
        <f>D49-D50</f>
        <v>-17352.01999999999</v>
      </c>
      <c r="E51" s="3"/>
    </row>
    <row r="52" spans="1:5" ht="12.75">
      <c r="A52" s="3"/>
      <c r="B52" s="377"/>
      <c r="C52" s="3"/>
      <c r="D52" s="380"/>
      <c r="E52" s="3"/>
    </row>
    <row r="53" spans="1:5" ht="12.75">
      <c r="A53" s="1"/>
      <c r="B53" s="1" t="s">
        <v>30</v>
      </c>
      <c r="C53" s="1"/>
      <c r="D53" s="1" t="s">
        <v>0</v>
      </c>
      <c r="E53" s="1"/>
    </row>
    <row r="54" spans="1:5" ht="12.75">
      <c r="A54" s="1"/>
      <c r="B54" s="1" t="s">
        <v>31</v>
      </c>
      <c r="C54" s="1"/>
      <c r="D54" s="1" t="s">
        <v>26</v>
      </c>
      <c r="E54" s="1"/>
    </row>
  </sheetData>
  <sheetProtection/>
  <mergeCells count="4">
    <mergeCell ref="A6:B6"/>
    <mergeCell ref="C6:D6"/>
    <mergeCell ref="D8:E8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4"/>
  <sheetViews>
    <sheetView zoomScale="90" zoomScaleNormal="90" zoomScaleSheetLayoutView="100" zoomScalePageLayoutView="0" workbookViewId="0" topLeftCell="A27">
      <selection activeCell="G32" sqref="G32:K53"/>
    </sheetView>
  </sheetViews>
  <sheetFormatPr defaultColWidth="9.00390625" defaultRowHeight="12.75"/>
  <cols>
    <col min="1" max="1" width="6.75390625" style="0" customWidth="1"/>
    <col min="2" max="2" width="39.875" style="0" customWidth="1"/>
    <col min="3" max="3" width="8.375" style="0" customWidth="1"/>
    <col min="4" max="4" width="15.375" style="0" customWidth="1"/>
    <col min="7" max="7" width="11.125" style="0" customWidth="1"/>
    <col min="8" max="8" width="12.125" style="0" customWidth="1"/>
    <col min="10" max="10" width="10.125" style="0" customWidth="1"/>
    <col min="15" max="15" width="38.625" style="0" customWidth="1"/>
    <col min="17" max="17" width="9.625" style="0" bestFit="1" customWidth="1"/>
    <col min="19" max="19" width="5.25390625" style="0" customWidth="1"/>
    <col min="20" max="20" width="6.375" style="0" customWidth="1"/>
    <col min="21" max="21" width="42.75390625" style="0" customWidth="1"/>
    <col min="23" max="23" width="12.2539062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178</v>
      </c>
    </row>
    <row r="5" spans="1:5" ht="12.75">
      <c r="A5" s="569"/>
      <c r="B5" s="569"/>
      <c r="C5" s="569"/>
      <c r="D5" s="569"/>
      <c r="E5" s="316"/>
    </row>
    <row r="6" spans="1:5" ht="15.75">
      <c r="A6" s="317"/>
      <c r="B6" s="320" t="s">
        <v>1</v>
      </c>
      <c r="C6" s="321" t="s">
        <v>3</v>
      </c>
      <c r="D6" s="570" t="s">
        <v>4</v>
      </c>
      <c r="E6" s="571"/>
    </row>
    <row r="7" spans="1:5" ht="15.75">
      <c r="A7" s="322"/>
      <c r="B7" s="320" t="s">
        <v>2</v>
      </c>
      <c r="C7" s="321" t="s">
        <v>49</v>
      </c>
      <c r="D7" s="572" t="s">
        <v>140</v>
      </c>
      <c r="E7" s="573"/>
    </row>
    <row r="8" spans="1:5" ht="12.75">
      <c r="A8" s="323"/>
      <c r="B8" s="323"/>
      <c r="C8" s="323"/>
      <c r="D8" s="324"/>
      <c r="E8" s="325"/>
    </row>
    <row r="9" spans="1:5" ht="12.75">
      <c r="A9" s="323"/>
      <c r="B9" s="374" t="s">
        <v>120</v>
      </c>
      <c r="C9" s="323"/>
      <c r="D9" s="324">
        <v>45390.13</v>
      </c>
      <c r="E9" s="325"/>
    </row>
    <row r="10" spans="1:5" ht="12.75">
      <c r="A10" s="326"/>
      <c r="B10" s="327" t="s">
        <v>5</v>
      </c>
      <c r="C10" s="338" t="s">
        <v>50</v>
      </c>
      <c r="D10" s="332">
        <v>9546.8</v>
      </c>
      <c r="E10" s="326"/>
    </row>
    <row r="11" spans="1:5" ht="12.75">
      <c r="A11" s="326"/>
      <c r="B11" s="327" t="s">
        <v>6</v>
      </c>
      <c r="C11" s="338" t="s">
        <v>50</v>
      </c>
      <c r="D11" s="332">
        <v>5841.2</v>
      </c>
      <c r="E11" s="326"/>
    </row>
    <row r="12" spans="1:5" ht="12.75">
      <c r="A12" s="326"/>
      <c r="B12" s="328" t="s">
        <v>27</v>
      </c>
      <c r="C12" s="338" t="s">
        <v>9</v>
      </c>
      <c r="D12" s="332">
        <v>290690.06</v>
      </c>
      <c r="E12" s="326"/>
    </row>
    <row r="13" spans="1:5" ht="15.75">
      <c r="A13" s="326"/>
      <c r="B13" s="330" t="s">
        <v>7</v>
      </c>
      <c r="C13" s="323"/>
      <c r="D13" s="326"/>
      <c r="E13" s="326"/>
    </row>
    <row r="14" spans="1:5" ht="12.75">
      <c r="A14" s="326">
        <v>1</v>
      </c>
      <c r="B14" s="326" t="s">
        <v>8</v>
      </c>
      <c r="C14" s="338" t="s">
        <v>9</v>
      </c>
      <c r="D14" s="332">
        <v>785363.13</v>
      </c>
      <c r="E14" s="326"/>
    </row>
    <row r="15" spans="1:5" ht="12.75">
      <c r="A15" s="326">
        <v>2</v>
      </c>
      <c r="B15" s="326" t="s">
        <v>82</v>
      </c>
      <c r="C15" s="323"/>
      <c r="D15" s="332">
        <v>15964.8</v>
      </c>
      <c r="E15" s="326"/>
    </row>
    <row r="16" spans="1:7" ht="12.75">
      <c r="A16" s="326">
        <v>3</v>
      </c>
      <c r="B16" s="326" t="s">
        <v>121</v>
      </c>
      <c r="C16" s="323"/>
      <c r="D16" s="332">
        <v>35910.86</v>
      </c>
      <c r="E16" s="326"/>
      <c r="G16" s="382">
        <f>(D14)*24%</f>
        <v>188487.1512</v>
      </c>
    </row>
    <row r="17" spans="1:5" ht="15.75">
      <c r="A17" s="326"/>
      <c r="B17" s="330" t="s">
        <v>10</v>
      </c>
      <c r="C17" s="323"/>
      <c r="D17" s="331">
        <f>D14+D16+D15</f>
        <v>837238.79</v>
      </c>
      <c r="E17" s="326"/>
    </row>
    <row r="18" spans="1:5" ht="15.75">
      <c r="A18" s="326"/>
      <c r="B18" s="330"/>
      <c r="C18" s="323"/>
      <c r="D18" s="329"/>
      <c r="E18" s="326"/>
    </row>
    <row r="19" spans="1:5" ht="15.75">
      <c r="A19" s="14"/>
      <c r="B19" s="17" t="s">
        <v>57</v>
      </c>
      <c r="C19" s="14"/>
      <c r="D19" s="20"/>
      <c r="E19" s="326"/>
    </row>
    <row r="20" spans="1:5" ht="12.75">
      <c r="A20" s="358" t="s">
        <v>58</v>
      </c>
      <c r="B20" s="16" t="s">
        <v>59</v>
      </c>
      <c r="C20" s="14"/>
      <c r="D20" s="19">
        <f>D21+D22+D26+D23+D25+D24</f>
        <v>85799.866</v>
      </c>
      <c r="E20" s="326"/>
    </row>
    <row r="21" spans="1:5" ht="12.75">
      <c r="A21" s="14">
        <v>1</v>
      </c>
      <c r="B21" s="22" t="s">
        <v>11</v>
      </c>
      <c r="C21" s="22" t="s">
        <v>9</v>
      </c>
      <c r="D21" s="22">
        <v>61453</v>
      </c>
      <c r="E21" s="326"/>
    </row>
    <row r="22" spans="1:5" ht="12.75">
      <c r="A22" s="14">
        <v>2</v>
      </c>
      <c r="B22" s="22" t="s">
        <v>136</v>
      </c>
      <c r="C22" s="14"/>
      <c r="D22" s="18">
        <f>D21*20.2%</f>
        <v>12413.506</v>
      </c>
      <c r="E22" s="326"/>
    </row>
    <row r="23" spans="1:5" ht="12.75">
      <c r="A23" s="14">
        <v>3</v>
      </c>
      <c r="B23" s="14" t="s">
        <v>114</v>
      </c>
      <c r="C23" s="14"/>
      <c r="D23" s="353">
        <v>2300</v>
      </c>
      <c r="E23" s="326"/>
    </row>
    <row r="24" spans="1:5" ht="12.75">
      <c r="A24" s="14">
        <v>4</v>
      </c>
      <c r="B24" s="14" t="s">
        <v>89</v>
      </c>
      <c r="C24" s="14"/>
      <c r="D24" s="14">
        <v>4342.14</v>
      </c>
      <c r="E24" s="326"/>
    </row>
    <row r="25" spans="1:5" ht="12.75">
      <c r="A25" s="14">
        <v>5</v>
      </c>
      <c r="B25" s="14" t="s">
        <v>101</v>
      </c>
      <c r="C25" s="14"/>
      <c r="D25" s="14">
        <v>3384.95</v>
      </c>
      <c r="E25" s="326"/>
    </row>
    <row r="26" spans="1:5" ht="12.75">
      <c r="A26" s="14">
        <v>6</v>
      </c>
      <c r="B26" s="352" t="s">
        <v>15</v>
      </c>
      <c r="C26" s="14"/>
      <c r="D26" s="14">
        <v>1906.27</v>
      </c>
      <c r="E26" s="326"/>
    </row>
    <row r="27" spans="1:5" ht="12.75">
      <c r="A27" s="358" t="s">
        <v>61</v>
      </c>
      <c r="B27" s="359" t="s">
        <v>60</v>
      </c>
      <c r="C27" s="14"/>
      <c r="D27" s="19">
        <f>D28+D29+D30</f>
        <v>179230.16504</v>
      </c>
      <c r="E27" s="326"/>
    </row>
    <row r="28" spans="1:5" ht="12.75">
      <c r="A28" s="14">
        <v>1</v>
      </c>
      <c r="B28" s="22" t="s">
        <v>95</v>
      </c>
      <c r="C28" s="14"/>
      <c r="D28" s="22">
        <v>142770.52</v>
      </c>
      <c r="E28" s="14"/>
    </row>
    <row r="29" spans="1:5" ht="12.75">
      <c r="A29" s="14">
        <v>2</v>
      </c>
      <c r="B29" s="22" t="s">
        <v>136</v>
      </c>
      <c r="C29" s="14"/>
      <c r="D29" s="21">
        <f>D28*20.2%</f>
        <v>28839.645039999996</v>
      </c>
      <c r="E29" s="14"/>
    </row>
    <row r="30" spans="1:5" ht="12.75">
      <c r="A30" s="14">
        <v>3</v>
      </c>
      <c r="B30" s="22" t="s">
        <v>83</v>
      </c>
      <c r="C30" s="14"/>
      <c r="D30" s="22">
        <v>7620</v>
      </c>
      <c r="E30" s="19"/>
    </row>
    <row r="31" spans="1:5" ht="12.75">
      <c r="A31" s="358" t="s">
        <v>62</v>
      </c>
      <c r="B31" s="20" t="s">
        <v>16</v>
      </c>
      <c r="C31" s="14"/>
      <c r="D31" s="19">
        <f>D32+D33+D34+D35+D36+D37+D38+D39+D41+D40</f>
        <v>278933.72039</v>
      </c>
      <c r="E31" s="14"/>
    </row>
    <row r="32" spans="1:5" ht="12.75">
      <c r="A32" s="14"/>
      <c r="B32" s="14" t="s">
        <v>17</v>
      </c>
      <c r="C32" s="14"/>
      <c r="D32" s="18">
        <f>D17*4.1%</f>
        <v>34326.790389999995</v>
      </c>
      <c r="E32" s="14"/>
    </row>
    <row r="33" spans="1:5" ht="12.75">
      <c r="A33" s="14"/>
      <c r="B33" s="14" t="s">
        <v>18</v>
      </c>
      <c r="C33" s="14"/>
      <c r="D33" s="14">
        <v>5184.98</v>
      </c>
      <c r="E33" s="18"/>
    </row>
    <row r="34" spans="1:5" ht="12.75">
      <c r="A34" s="14"/>
      <c r="B34" s="22" t="s">
        <v>19</v>
      </c>
      <c r="C34" s="14"/>
      <c r="D34" s="14">
        <v>15347.83</v>
      </c>
      <c r="E34" s="18"/>
    </row>
    <row r="35" spans="1:5" ht="12.75">
      <c r="A35" s="14"/>
      <c r="B35" s="14" t="s">
        <v>20</v>
      </c>
      <c r="C35" s="14"/>
      <c r="D35" s="18">
        <v>18442.14</v>
      </c>
      <c r="E35" s="14"/>
    </row>
    <row r="36" spans="1:5" ht="12.75">
      <c r="A36" s="14"/>
      <c r="B36" s="352" t="s">
        <v>28</v>
      </c>
      <c r="C36" s="14"/>
      <c r="D36" s="14">
        <v>552.24</v>
      </c>
      <c r="E36" s="14"/>
    </row>
    <row r="37" spans="1:5" ht="12.75">
      <c r="A37" s="14"/>
      <c r="B37" s="352" t="s">
        <v>55</v>
      </c>
      <c r="C37" s="14"/>
      <c r="D37" s="14">
        <v>2376.5</v>
      </c>
      <c r="E37" s="14"/>
    </row>
    <row r="38" spans="1:5" ht="12.75">
      <c r="A38" s="14"/>
      <c r="B38" s="352" t="s">
        <v>54</v>
      </c>
      <c r="C38" s="14"/>
      <c r="D38" s="14">
        <v>94291.67</v>
      </c>
      <c r="E38" s="14"/>
    </row>
    <row r="39" spans="1:5" ht="12.75">
      <c r="A39" s="14"/>
      <c r="B39" s="22" t="s">
        <v>141</v>
      </c>
      <c r="C39" s="14"/>
      <c r="D39" s="14">
        <v>224</v>
      </c>
      <c r="E39" s="14"/>
    </row>
    <row r="40" spans="1:5" ht="12.75">
      <c r="A40" s="14"/>
      <c r="B40" s="14" t="s">
        <v>21</v>
      </c>
      <c r="C40" s="14"/>
      <c r="D40" s="14">
        <v>6374.57</v>
      </c>
      <c r="E40" s="14"/>
    </row>
    <row r="41" spans="1:7" ht="12.75">
      <c r="A41" s="14"/>
      <c r="B41" s="14" t="s">
        <v>217</v>
      </c>
      <c r="C41" s="14"/>
      <c r="D41" s="14">
        <v>101813</v>
      </c>
      <c r="E41" s="20"/>
      <c r="G41" s="465"/>
    </row>
    <row r="42" spans="1:5" ht="12.75">
      <c r="A42" s="475" t="s">
        <v>64</v>
      </c>
      <c r="B42" s="20" t="s">
        <v>74</v>
      </c>
      <c r="C42" s="20"/>
      <c r="D42" s="20">
        <v>142065.77</v>
      </c>
      <c r="E42" s="19"/>
    </row>
    <row r="43" spans="1:5" ht="12.75">
      <c r="A43" s="475" t="s">
        <v>65</v>
      </c>
      <c r="B43" s="20" t="s">
        <v>92</v>
      </c>
      <c r="C43" s="14"/>
      <c r="D43" s="19">
        <v>163492.9</v>
      </c>
      <c r="E43" s="14"/>
    </row>
    <row r="44" spans="1:5" ht="12.75">
      <c r="A44" s="475" t="s">
        <v>66</v>
      </c>
      <c r="B44" s="20" t="s">
        <v>23</v>
      </c>
      <c r="C44" s="14"/>
      <c r="D44" s="19">
        <f>D20+D27+D31+D42+D43</f>
        <v>849522.42143</v>
      </c>
      <c r="E44" s="14"/>
    </row>
    <row r="45" spans="1:5" ht="12.75">
      <c r="A45" s="475" t="s">
        <v>67</v>
      </c>
      <c r="B45" s="14" t="s">
        <v>32</v>
      </c>
      <c r="C45" s="14"/>
      <c r="D45" s="19">
        <f>D17*6%</f>
        <v>50234.3274</v>
      </c>
      <c r="E45" s="14"/>
    </row>
    <row r="46" spans="1:5" ht="12.75">
      <c r="A46" s="475" t="s">
        <v>68</v>
      </c>
      <c r="B46" s="20" t="s">
        <v>24</v>
      </c>
      <c r="C46" s="14"/>
      <c r="D46" s="19">
        <f>D44+D45</f>
        <v>899756.7488299999</v>
      </c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475" t="s">
        <v>69</v>
      </c>
      <c r="B48" s="20" t="s">
        <v>142</v>
      </c>
      <c r="C48" s="14"/>
      <c r="D48" s="19">
        <f>D17-D46</f>
        <v>-62517.9588299999</v>
      </c>
      <c r="E48" s="14"/>
    </row>
    <row r="49" spans="1:5" ht="12.75">
      <c r="A49" s="475" t="s">
        <v>165</v>
      </c>
      <c r="B49" s="20" t="s">
        <v>44</v>
      </c>
      <c r="C49" s="14"/>
      <c r="D49" s="19">
        <f>D9+D48</f>
        <v>-17127.828829999904</v>
      </c>
      <c r="E49" s="14"/>
    </row>
    <row r="50" spans="1:5" ht="12.75">
      <c r="A50" s="3"/>
      <c r="B50" s="377"/>
      <c r="C50" s="3"/>
      <c r="D50" s="380"/>
      <c r="E50" s="3"/>
    </row>
    <row r="51" spans="1:5" ht="12.75">
      <c r="A51" s="3"/>
      <c r="B51" s="377"/>
      <c r="C51" s="3"/>
      <c r="D51" s="380"/>
      <c r="E51" s="3"/>
    </row>
    <row r="52" spans="1:5" ht="12.75">
      <c r="A52" s="3"/>
      <c r="B52" s="377"/>
      <c r="C52" s="3"/>
      <c r="D52" s="380"/>
      <c r="E52" s="1"/>
    </row>
    <row r="53" spans="1:5" ht="12.75">
      <c r="A53" s="1"/>
      <c r="B53" s="1" t="s">
        <v>30</v>
      </c>
      <c r="C53" s="1"/>
      <c r="D53" s="1" t="s">
        <v>0</v>
      </c>
      <c r="E53" s="1"/>
    </row>
    <row r="54" spans="1:4" ht="12.75">
      <c r="A54" s="1"/>
      <c r="B54" s="1" t="s">
        <v>31</v>
      </c>
      <c r="C54" s="1"/>
      <c r="D54" s="1" t="s">
        <v>26</v>
      </c>
    </row>
  </sheetData>
  <sheetProtection/>
  <mergeCells count="4">
    <mergeCell ref="A5:B5"/>
    <mergeCell ref="C5:D5"/>
    <mergeCell ref="D6:E6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1">
      <selection activeCell="G7" sqref="G7:G12"/>
    </sheetView>
  </sheetViews>
  <sheetFormatPr defaultColWidth="9.00390625" defaultRowHeight="12.75"/>
  <cols>
    <col min="1" max="1" width="5.25390625" style="0" customWidth="1"/>
    <col min="2" max="2" width="41.00390625" style="0" customWidth="1"/>
    <col min="3" max="3" width="9.25390625" style="0" customWidth="1"/>
    <col min="4" max="4" width="13.25390625" style="0" customWidth="1"/>
    <col min="7" max="7" width="14.25390625" style="0" customWidth="1"/>
    <col min="8" max="8" width="10.75390625" style="0" customWidth="1"/>
    <col min="10" max="10" width="10.25390625" style="0" customWidth="1"/>
    <col min="13" max="13" width="4.125" style="0" customWidth="1"/>
    <col min="15" max="15" width="36.75390625" style="0" customWidth="1"/>
    <col min="17" max="17" width="9.75390625" style="0" customWidth="1"/>
    <col min="20" max="20" width="7.75390625" style="0" customWidth="1"/>
    <col min="21" max="21" width="44.375" style="0" customWidth="1"/>
    <col min="23" max="23" width="11.37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179</v>
      </c>
    </row>
    <row r="5" spans="1:5" ht="12.75">
      <c r="A5" s="568"/>
      <c r="B5" s="568"/>
      <c r="C5" s="568"/>
      <c r="D5" s="569"/>
      <c r="E5" s="316"/>
    </row>
    <row r="6" spans="1:5" ht="12.75">
      <c r="A6" s="336"/>
      <c r="B6" s="336"/>
      <c r="C6" s="336"/>
      <c r="D6" s="318"/>
      <c r="E6" s="319"/>
    </row>
    <row r="7" spans="1:5" ht="15.75">
      <c r="A7" s="317"/>
      <c r="B7" s="320" t="s">
        <v>1</v>
      </c>
      <c r="C7" s="321" t="s">
        <v>3</v>
      </c>
      <c r="D7" s="570" t="s">
        <v>4</v>
      </c>
      <c r="E7" s="571"/>
    </row>
    <row r="8" spans="1:5" ht="15.75">
      <c r="A8" s="322"/>
      <c r="B8" s="320" t="s">
        <v>2</v>
      </c>
      <c r="C8" s="321" t="s">
        <v>49</v>
      </c>
      <c r="D8" s="572" t="s">
        <v>170</v>
      </c>
      <c r="E8" s="573"/>
    </row>
    <row r="9" spans="1:5" ht="12.75">
      <c r="A9" s="323"/>
      <c r="B9" s="323"/>
      <c r="C9" s="323"/>
      <c r="D9" s="324"/>
      <c r="E9" s="325"/>
    </row>
    <row r="10" spans="1:5" ht="12.75">
      <c r="A10" s="323"/>
      <c r="B10" s="374" t="s">
        <v>78</v>
      </c>
      <c r="C10" s="323"/>
      <c r="D10" s="324">
        <v>227084.84</v>
      </c>
      <c r="E10" s="325"/>
    </row>
    <row r="11" spans="1:5" ht="12.75">
      <c r="A11" s="323"/>
      <c r="B11" s="374" t="s">
        <v>85</v>
      </c>
      <c r="C11" s="323"/>
      <c r="D11" s="324">
        <v>0</v>
      </c>
      <c r="E11" s="325"/>
    </row>
    <row r="12" spans="1:5" ht="12.75">
      <c r="A12" s="326"/>
      <c r="B12" s="327" t="s">
        <v>5</v>
      </c>
      <c r="C12" s="338" t="s">
        <v>50</v>
      </c>
      <c r="D12" s="332">
        <v>9568.5</v>
      </c>
      <c r="E12" s="326"/>
    </row>
    <row r="13" spans="1:5" ht="12.75">
      <c r="A13" s="326"/>
      <c r="B13" s="327" t="s">
        <v>6</v>
      </c>
      <c r="C13" s="338" t="s">
        <v>50</v>
      </c>
      <c r="D13" s="332">
        <v>5924.6</v>
      </c>
      <c r="E13" s="326"/>
    </row>
    <row r="14" spans="1:5" ht="12.75">
      <c r="A14" s="326"/>
      <c r="B14" s="328" t="s">
        <v>27</v>
      </c>
      <c r="C14" s="338" t="s">
        <v>9</v>
      </c>
      <c r="D14" s="332">
        <v>589996.34</v>
      </c>
      <c r="E14" s="326"/>
    </row>
    <row r="15" spans="1:5" ht="15.75">
      <c r="A15" s="326"/>
      <c r="B15" s="330" t="s">
        <v>7</v>
      </c>
      <c r="C15" s="323"/>
      <c r="D15" s="332"/>
      <c r="E15" s="326"/>
    </row>
    <row r="16" spans="1:5" ht="12.75">
      <c r="A16" s="326">
        <v>1</v>
      </c>
      <c r="B16" s="326" t="s">
        <v>8</v>
      </c>
      <c r="C16" s="338" t="s">
        <v>9</v>
      </c>
      <c r="D16" s="332">
        <v>434378.54</v>
      </c>
      <c r="E16" s="326"/>
    </row>
    <row r="17" spans="1:5" ht="12.75">
      <c r="A17" s="326">
        <v>2</v>
      </c>
      <c r="B17" s="326" t="s">
        <v>74</v>
      </c>
      <c r="C17" s="327" t="s">
        <v>9</v>
      </c>
      <c r="D17" s="326">
        <v>144384.66</v>
      </c>
      <c r="E17" s="326"/>
    </row>
    <row r="18" spans="1:6" ht="12.75">
      <c r="A18" s="326">
        <v>3</v>
      </c>
      <c r="B18" s="326" t="s">
        <v>82</v>
      </c>
      <c r="C18" s="323"/>
      <c r="D18" s="326">
        <v>344000</v>
      </c>
      <c r="E18" s="326"/>
      <c r="F18" s="382"/>
    </row>
    <row r="19" spans="1:5" ht="15.75">
      <c r="A19" s="326"/>
      <c r="B19" s="330" t="s">
        <v>10</v>
      </c>
      <c r="C19" s="323"/>
      <c r="D19" s="331">
        <f>D16+D17+D18</f>
        <v>922763.2</v>
      </c>
      <c r="E19" s="326"/>
    </row>
    <row r="20" spans="1:5" ht="15.75">
      <c r="A20" s="326"/>
      <c r="B20" s="330"/>
      <c r="C20" s="323"/>
      <c r="D20" s="329"/>
      <c r="E20" s="326"/>
    </row>
    <row r="21" spans="1:5" ht="15.75">
      <c r="A21" s="14"/>
      <c r="B21" s="17" t="s">
        <v>57</v>
      </c>
      <c r="C21" s="14"/>
      <c r="D21" s="20"/>
      <c r="E21" s="326"/>
    </row>
    <row r="22" spans="1:5" ht="12.75">
      <c r="A22" s="358" t="s">
        <v>58</v>
      </c>
      <c r="B22" s="16" t="s">
        <v>59</v>
      </c>
      <c r="C22" s="14"/>
      <c r="D22" s="19">
        <f>D23+D24+D25+D26+D27</f>
        <v>109899.1339</v>
      </c>
      <c r="E22" s="326"/>
    </row>
    <row r="23" spans="1:5" ht="12.75">
      <c r="A23" s="14">
        <v>1</v>
      </c>
      <c r="B23" s="22" t="s">
        <v>11</v>
      </c>
      <c r="C23" s="22" t="s">
        <v>9</v>
      </c>
      <c r="D23" s="22">
        <v>81396.95</v>
      </c>
      <c r="E23" s="326"/>
    </row>
    <row r="24" spans="1:5" ht="12.75">
      <c r="A24" s="14">
        <v>2</v>
      </c>
      <c r="B24" s="22" t="s">
        <v>136</v>
      </c>
      <c r="C24" s="14"/>
      <c r="D24" s="18">
        <f>D23*20.2%</f>
        <v>16442.1839</v>
      </c>
      <c r="E24" s="326"/>
    </row>
    <row r="25" spans="1:5" ht="12.75">
      <c r="A25" s="14">
        <v>3</v>
      </c>
      <c r="B25" s="22" t="s">
        <v>161</v>
      </c>
      <c r="C25" s="14"/>
      <c r="D25" s="353">
        <v>3000</v>
      </c>
      <c r="E25" s="326"/>
    </row>
    <row r="26" spans="1:5" ht="12.75">
      <c r="A26" s="14">
        <v>4</v>
      </c>
      <c r="B26" s="22" t="s">
        <v>143</v>
      </c>
      <c r="C26" s="14"/>
      <c r="D26" s="14">
        <v>7246.09</v>
      </c>
      <c r="E26" s="326"/>
    </row>
    <row r="27" spans="1:5" ht="12.75">
      <c r="A27" s="14">
        <v>5</v>
      </c>
      <c r="B27" s="352" t="s">
        <v>15</v>
      </c>
      <c r="C27" s="14"/>
      <c r="D27" s="14">
        <v>1813.91</v>
      </c>
      <c r="E27" s="326"/>
    </row>
    <row r="28" spans="1:5" ht="12.75">
      <c r="A28" s="358" t="s">
        <v>61</v>
      </c>
      <c r="B28" s="359" t="s">
        <v>60</v>
      </c>
      <c r="C28" s="14"/>
      <c r="D28" s="19">
        <f>D29+D30+D31+D32</f>
        <v>198328.66396</v>
      </c>
      <c r="E28" s="326"/>
    </row>
    <row r="29" spans="1:5" ht="12.75">
      <c r="A29" s="14">
        <v>1</v>
      </c>
      <c r="B29" s="22" t="s">
        <v>144</v>
      </c>
      <c r="C29" s="14"/>
      <c r="D29" s="22">
        <v>144808.98</v>
      </c>
      <c r="E29" s="326"/>
    </row>
    <row r="30" spans="1:5" ht="12.75">
      <c r="A30" s="14">
        <v>2</v>
      </c>
      <c r="B30" s="22" t="s">
        <v>136</v>
      </c>
      <c r="C30" s="14"/>
      <c r="D30" s="21">
        <f>D29*20.2%</f>
        <v>29251.41396</v>
      </c>
      <c r="E30" s="18"/>
    </row>
    <row r="31" spans="1:5" ht="12.75">
      <c r="A31" s="14">
        <v>3</v>
      </c>
      <c r="B31" s="22" t="s">
        <v>15</v>
      </c>
      <c r="C31" s="14"/>
      <c r="D31" s="22">
        <v>16648.27</v>
      </c>
      <c r="E31" s="14"/>
    </row>
    <row r="32" spans="1:5" ht="12.75">
      <c r="A32" s="14">
        <v>4</v>
      </c>
      <c r="B32" s="22" t="s">
        <v>83</v>
      </c>
      <c r="C32" s="14"/>
      <c r="D32" s="22">
        <v>7620</v>
      </c>
      <c r="E32" s="14"/>
    </row>
    <row r="33" spans="1:5" ht="12.75">
      <c r="A33" s="358" t="s">
        <v>62</v>
      </c>
      <c r="B33" s="20" t="s">
        <v>16</v>
      </c>
      <c r="C33" s="14"/>
      <c r="D33" s="19">
        <f>D34+D35+D36+D37+D38+D39+D40</f>
        <v>91289.8004</v>
      </c>
      <c r="E33" s="19"/>
    </row>
    <row r="34" spans="1:5" ht="12.75">
      <c r="A34" s="14"/>
      <c r="B34" s="14" t="s">
        <v>17</v>
      </c>
      <c r="C34" s="14"/>
      <c r="D34" s="18">
        <f>D19*4.7%</f>
        <v>43369.8704</v>
      </c>
      <c r="E34" s="14"/>
    </row>
    <row r="35" spans="1:5" ht="12.75">
      <c r="A35" s="14"/>
      <c r="B35" s="14" t="s">
        <v>18</v>
      </c>
      <c r="C35" s="14"/>
      <c r="D35" s="14">
        <v>4859.14</v>
      </c>
      <c r="E35" s="14"/>
    </row>
    <row r="36" spans="1:5" ht="12.75">
      <c r="A36" s="14"/>
      <c r="B36" s="22" t="s">
        <v>148</v>
      </c>
      <c r="C36" s="14"/>
      <c r="D36" s="14">
        <v>15000</v>
      </c>
      <c r="E36" s="14"/>
    </row>
    <row r="37" spans="1:5" ht="12.75">
      <c r="A37" s="14"/>
      <c r="B37" s="14" t="s">
        <v>20</v>
      </c>
      <c r="C37" s="14"/>
      <c r="D37" s="18">
        <v>18705.45</v>
      </c>
      <c r="E37" s="18"/>
    </row>
    <row r="38" spans="1:5" ht="12.75">
      <c r="A38" s="14"/>
      <c r="B38" s="352" t="s">
        <v>55</v>
      </c>
      <c r="C38" s="14"/>
      <c r="D38" s="14">
        <v>2410.4</v>
      </c>
      <c r="E38" s="14"/>
    </row>
    <row r="39" spans="1:5" ht="12.75">
      <c r="A39" s="14"/>
      <c r="B39" s="352" t="s">
        <v>28</v>
      </c>
      <c r="C39" s="14"/>
      <c r="D39" s="14">
        <v>479.36</v>
      </c>
      <c r="E39" s="14"/>
    </row>
    <row r="40" spans="1:5" ht="12.75">
      <c r="A40" s="14"/>
      <c r="B40" s="14" t="s">
        <v>21</v>
      </c>
      <c r="C40" s="14"/>
      <c r="D40" s="14">
        <v>6465.58</v>
      </c>
      <c r="E40" s="14"/>
    </row>
    <row r="41" spans="1:5" ht="12.75">
      <c r="A41" s="14">
        <v>4</v>
      </c>
      <c r="B41" s="20" t="s">
        <v>92</v>
      </c>
      <c r="C41" s="14"/>
      <c r="D41" s="19">
        <v>165901.6</v>
      </c>
      <c r="E41" s="19"/>
    </row>
    <row r="42" spans="1:5" ht="12.75">
      <c r="A42" s="14">
        <v>5</v>
      </c>
      <c r="B42" s="20" t="s">
        <v>23</v>
      </c>
      <c r="C42" s="14"/>
      <c r="D42" s="19">
        <f>D22+D28+D33+D41</f>
        <v>565419.19826</v>
      </c>
      <c r="E42" s="14"/>
    </row>
    <row r="43" spans="1:5" ht="12.75">
      <c r="A43" s="14">
        <v>6</v>
      </c>
      <c r="B43" s="14" t="s">
        <v>32</v>
      </c>
      <c r="C43" s="14"/>
      <c r="D43" s="19">
        <f>D19*6%</f>
        <v>55365.791999999994</v>
      </c>
      <c r="E43" s="14"/>
    </row>
    <row r="44" spans="1:5" ht="12.75">
      <c r="A44" s="14">
        <v>7</v>
      </c>
      <c r="B44" s="20" t="s">
        <v>24</v>
      </c>
      <c r="C44" s="14"/>
      <c r="D44" s="19">
        <f>D42+D43</f>
        <v>620784.99026</v>
      </c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>
        <v>8</v>
      </c>
      <c r="B46" s="20" t="s">
        <v>142</v>
      </c>
      <c r="C46" s="14"/>
      <c r="D46" s="19">
        <f>D16-D44+52257.16</f>
        <v>-134149.29026</v>
      </c>
      <c r="E46" s="14"/>
    </row>
    <row r="47" spans="1:5" ht="12.75">
      <c r="A47" s="14">
        <v>9</v>
      </c>
      <c r="B47" s="20" t="s">
        <v>44</v>
      </c>
      <c r="C47" s="14"/>
      <c r="D47" s="19">
        <f>D10+D46</f>
        <v>92935.54973999999</v>
      </c>
      <c r="E47" s="14"/>
    </row>
    <row r="48" spans="1:5" ht="12.75">
      <c r="A48" s="3"/>
      <c r="B48" s="377" t="s">
        <v>74</v>
      </c>
      <c r="C48" s="3"/>
      <c r="D48" s="380">
        <f>D11+D18+D17-52257.16</f>
        <v>436127.5</v>
      </c>
      <c r="E48" s="3"/>
    </row>
    <row r="49" spans="1:5" ht="12.75">
      <c r="A49" s="3"/>
      <c r="B49" s="377" t="s">
        <v>87</v>
      </c>
      <c r="C49" s="3"/>
      <c r="D49" s="380">
        <f>49466.22+14731.11</f>
        <v>64197.33</v>
      </c>
      <c r="E49" s="3"/>
    </row>
    <row r="50" spans="1:5" ht="12.75">
      <c r="A50" s="3"/>
      <c r="B50" s="377" t="s">
        <v>86</v>
      </c>
      <c r="C50" s="3"/>
      <c r="D50" s="380">
        <f>D48-D49</f>
        <v>371930.17</v>
      </c>
      <c r="E50" s="3"/>
    </row>
    <row r="51" spans="1:5" ht="12.75">
      <c r="A51" s="3"/>
      <c r="B51" s="377" t="s">
        <v>98</v>
      </c>
      <c r="C51" s="3"/>
      <c r="D51" s="380">
        <f>D47+D50</f>
        <v>464865.71974</v>
      </c>
      <c r="E51" s="3"/>
    </row>
    <row r="52" spans="1:5" ht="12.75">
      <c r="A52" s="3"/>
      <c r="B52" s="377"/>
      <c r="C52" s="3"/>
      <c r="D52" s="380"/>
      <c r="E52" s="3"/>
    </row>
    <row r="53" spans="1:5" ht="12.75">
      <c r="A53" s="1"/>
      <c r="B53" s="1" t="s">
        <v>30</v>
      </c>
      <c r="C53" s="1"/>
      <c r="D53" s="1" t="s">
        <v>0</v>
      </c>
      <c r="E53" s="1"/>
    </row>
    <row r="54" spans="1:5" ht="12.75">
      <c r="A54" s="1"/>
      <c r="B54" s="1" t="s">
        <v>31</v>
      </c>
      <c r="C54" s="1"/>
      <c r="D54" s="1" t="s">
        <v>26</v>
      </c>
      <c r="E54" s="1"/>
    </row>
  </sheetData>
  <sheetProtection/>
  <mergeCells count="4">
    <mergeCell ref="D8:E8"/>
    <mergeCell ref="A5:B5"/>
    <mergeCell ref="C5:D5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A15">
      <selection activeCell="G29" sqref="G29:G33"/>
    </sheetView>
  </sheetViews>
  <sheetFormatPr defaultColWidth="9.00390625" defaultRowHeight="12.75"/>
  <cols>
    <col min="1" max="1" width="5.625" style="0" customWidth="1"/>
    <col min="2" max="2" width="44.75390625" style="0" customWidth="1"/>
    <col min="3" max="3" width="9.25390625" style="0" customWidth="1"/>
    <col min="4" max="4" width="10.75390625" style="0" customWidth="1"/>
    <col min="7" max="7" width="13.625" style="0" customWidth="1"/>
    <col min="8" max="8" width="14.125" style="0" customWidth="1"/>
    <col min="10" max="10" width="10.875" style="0" customWidth="1"/>
    <col min="15" max="15" width="37.625" style="0" customWidth="1"/>
    <col min="17" max="17" width="10.125" style="0" bestFit="1" customWidth="1"/>
    <col min="19" max="19" width="5.625" style="0" customWidth="1"/>
    <col min="20" max="20" width="7.375" style="0" customWidth="1"/>
    <col min="21" max="21" width="44.00390625" style="0" customWidth="1"/>
    <col min="23" max="23" width="11.62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211</v>
      </c>
    </row>
    <row r="5" spans="1:5" ht="12.75">
      <c r="A5" s="568"/>
      <c r="B5" s="568"/>
      <c r="C5" s="568"/>
      <c r="D5" s="568"/>
      <c r="E5" s="333"/>
    </row>
    <row r="6" spans="1:5" ht="15.75">
      <c r="A6" s="336"/>
      <c r="B6" s="463" t="s">
        <v>1</v>
      </c>
      <c r="C6" s="464" t="s">
        <v>3</v>
      </c>
      <c r="D6" s="574" t="s">
        <v>4</v>
      </c>
      <c r="E6" s="575"/>
    </row>
    <row r="7" spans="1:5" ht="15.75">
      <c r="A7" s="322"/>
      <c r="B7" s="320" t="s">
        <v>2</v>
      </c>
      <c r="C7" s="321" t="s">
        <v>49</v>
      </c>
      <c r="D7" s="572" t="s">
        <v>170</v>
      </c>
      <c r="E7" s="573"/>
    </row>
    <row r="8" spans="1:5" ht="12.75">
      <c r="A8" s="326"/>
      <c r="B8" s="295" t="s">
        <v>78</v>
      </c>
      <c r="C8" s="326"/>
      <c r="D8" s="340">
        <v>-115449.08</v>
      </c>
      <c r="E8" s="335"/>
    </row>
    <row r="9" spans="1:5" ht="12.75">
      <c r="A9" s="323"/>
      <c r="B9" s="374" t="s">
        <v>85</v>
      </c>
      <c r="C9" s="323"/>
      <c r="D9" s="324">
        <v>14445.09</v>
      </c>
      <c r="E9" s="325"/>
    </row>
    <row r="10" spans="1:5" ht="12.75">
      <c r="A10" s="326"/>
      <c r="B10" s="327" t="s">
        <v>5</v>
      </c>
      <c r="C10" s="338" t="s">
        <v>50</v>
      </c>
      <c r="D10" s="332">
        <v>6474.6</v>
      </c>
      <c r="E10" s="326"/>
    </row>
    <row r="11" spans="1:5" ht="12.75">
      <c r="A11" s="326"/>
      <c r="B11" s="327" t="s">
        <v>6</v>
      </c>
      <c r="C11" s="338" t="s">
        <v>50</v>
      </c>
      <c r="D11" s="332">
        <v>4985.3</v>
      </c>
      <c r="E11" s="326"/>
    </row>
    <row r="12" spans="1:5" ht="12.75">
      <c r="A12" s="326"/>
      <c r="B12" s="328" t="s">
        <v>27</v>
      </c>
      <c r="C12" s="338" t="s">
        <v>9</v>
      </c>
      <c r="D12" s="326">
        <v>801313.84</v>
      </c>
      <c r="E12" s="326"/>
    </row>
    <row r="13" spans="1:5" ht="15.75">
      <c r="A13" s="326"/>
      <c r="B13" s="330" t="s">
        <v>7</v>
      </c>
      <c r="C13" s="323"/>
      <c r="D13" s="326"/>
      <c r="E13" s="326"/>
    </row>
    <row r="14" spans="1:5" ht="12.75">
      <c r="A14" s="326">
        <v>1</v>
      </c>
      <c r="B14" s="326" t="s">
        <v>8</v>
      </c>
      <c r="C14" s="338" t="s">
        <v>9</v>
      </c>
      <c r="D14" s="326">
        <v>595523.05</v>
      </c>
      <c r="E14" s="326"/>
    </row>
    <row r="15" spans="1:5" ht="12.75">
      <c r="A15" s="326">
        <v>2</v>
      </c>
      <c r="B15" s="326" t="s">
        <v>74</v>
      </c>
      <c r="C15" s="323"/>
      <c r="D15" s="326">
        <v>165705.74</v>
      </c>
      <c r="E15" s="326"/>
    </row>
    <row r="16" spans="1:5" ht="12.75">
      <c r="A16" s="326">
        <v>3</v>
      </c>
      <c r="B16" s="326" t="s">
        <v>82</v>
      </c>
      <c r="C16" s="323"/>
      <c r="D16" s="326">
        <v>6000</v>
      </c>
      <c r="E16" s="326"/>
    </row>
    <row r="17" spans="1:5" ht="15.75">
      <c r="A17" s="326"/>
      <c r="B17" s="330" t="s">
        <v>10</v>
      </c>
      <c r="C17" s="323"/>
      <c r="D17" s="329">
        <f>D14+D15+D16</f>
        <v>767228.79</v>
      </c>
      <c r="E17" s="326"/>
    </row>
    <row r="18" spans="1:5" ht="15.75">
      <c r="A18" s="326"/>
      <c r="B18" s="330"/>
      <c r="C18" s="323"/>
      <c r="D18" s="329"/>
      <c r="E18" s="326"/>
    </row>
    <row r="19" spans="1:5" ht="15.75">
      <c r="A19" s="14"/>
      <c r="B19" s="17" t="s">
        <v>57</v>
      </c>
      <c r="C19" s="14"/>
      <c r="D19" s="20"/>
      <c r="E19" s="326"/>
    </row>
    <row r="20" spans="1:5" ht="12.75">
      <c r="A20" s="358" t="s">
        <v>58</v>
      </c>
      <c r="B20" s="16" t="s">
        <v>59</v>
      </c>
      <c r="C20" s="14"/>
      <c r="D20" s="19">
        <f>D21+D25+D26+D27</f>
        <v>233451.29674000002</v>
      </c>
      <c r="E20" s="326"/>
    </row>
    <row r="21" spans="1:5" ht="12.75">
      <c r="A21" s="14">
        <v>1</v>
      </c>
      <c r="B21" s="22" t="s">
        <v>11</v>
      </c>
      <c r="C21" s="22" t="s">
        <v>9</v>
      </c>
      <c r="D21" s="21">
        <f>D22+D23+D24</f>
        <v>181411.37</v>
      </c>
      <c r="E21" s="326"/>
    </row>
    <row r="22" spans="1:5" ht="12.75">
      <c r="A22" s="468" t="s">
        <v>126</v>
      </c>
      <c r="B22" s="14" t="s">
        <v>12</v>
      </c>
      <c r="C22" s="14"/>
      <c r="D22" s="14">
        <v>48842.36</v>
      </c>
      <c r="E22" s="326"/>
    </row>
    <row r="23" spans="1:5" ht="12.75">
      <c r="A23" s="468" t="s">
        <v>127</v>
      </c>
      <c r="B23" s="14" t="s">
        <v>13</v>
      </c>
      <c r="C23" s="14"/>
      <c r="D23" s="353">
        <v>64014.11</v>
      </c>
      <c r="E23" s="326"/>
    </row>
    <row r="24" spans="1:5" ht="12.75">
      <c r="A24" s="468" t="s">
        <v>128</v>
      </c>
      <c r="B24" s="14" t="s">
        <v>14</v>
      </c>
      <c r="C24" s="14"/>
      <c r="D24" s="22">
        <v>68554.9</v>
      </c>
      <c r="E24" s="326"/>
    </row>
    <row r="25" spans="1:5" ht="12.75">
      <c r="A25" s="14">
        <v>2</v>
      </c>
      <c r="B25" s="22" t="s">
        <v>136</v>
      </c>
      <c r="C25" s="14"/>
      <c r="D25" s="18">
        <f>D21*20.2%</f>
        <v>36645.09673999999</v>
      </c>
      <c r="E25" s="326"/>
    </row>
    <row r="26" spans="1:5" ht="12.75">
      <c r="A26" s="14">
        <v>3</v>
      </c>
      <c r="B26" s="22" t="s">
        <v>122</v>
      </c>
      <c r="C26" s="14"/>
      <c r="D26" s="14">
        <v>5075.97</v>
      </c>
      <c r="E26" s="326"/>
    </row>
    <row r="27" spans="1:5" ht="12.75">
      <c r="A27" s="14">
        <v>4</v>
      </c>
      <c r="B27" s="352" t="s">
        <v>15</v>
      </c>
      <c r="C27" s="14"/>
      <c r="D27" s="14">
        <v>10318.86</v>
      </c>
      <c r="E27" s="326"/>
    </row>
    <row r="28" spans="1:5" ht="12.75">
      <c r="A28" s="358" t="s">
        <v>61</v>
      </c>
      <c r="B28" s="359" t="s">
        <v>60</v>
      </c>
      <c r="C28" s="14"/>
      <c r="D28" s="19">
        <f>D29+D30+D31+D32</f>
        <v>160459.02726</v>
      </c>
      <c r="E28" s="326"/>
    </row>
    <row r="29" spans="1:5" ht="12.75">
      <c r="A29" s="14">
        <v>1</v>
      </c>
      <c r="B29" s="22" t="s">
        <v>95</v>
      </c>
      <c r="C29" s="14"/>
      <c r="D29" s="22">
        <v>121850.63</v>
      </c>
      <c r="E29" s="326"/>
    </row>
    <row r="30" spans="1:5" ht="12.75">
      <c r="A30" s="14">
        <v>2</v>
      </c>
      <c r="B30" s="22" t="s">
        <v>136</v>
      </c>
      <c r="C30" s="14"/>
      <c r="D30" s="21">
        <f>D29*20.2%</f>
        <v>24613.82726</v>
      </c>
      <c r="E30" s="18"/>
    </row>
    <row r="31" spans="1:5" ht="12.75">
      <c r="A31" s="14">
        <v>3</v>
      </c>
      <c r="B31" s="22" t="s">
        <v>15</v>
      </c>
      <c r="C31" s="14"/>
      <c r="D31" s="22">
        <v>2494.57</v>
      </c>
      <c r="E31" s="14"/>
    </row>
    <row r="32" spans="1:5" ht="12.75">
      <c r="A32" s="14">
        <v>4</v>
      </c>
      <c r="B32" s="22" t="s">
        <v>83</v>
      </c>
      <c r="C32" s="14"/>
      <c r="D32" s="22">
        <v>11500</v>
      </c>
      <c r="E32" s="14"/>
    </row>
    <row r="33" spans="1:5" ht="12.75">
      <c r="A33" s="358" t="s">
        <v>62</v>
      </c>
      <c r="B33" s="20" t="s">
        <v>16</v>
      </c>
      <c r="C33" s="14"/>
      <c r="D33" s="19">
        <f>D34+D35+D36+D37+D38+D39+D40</f>
        <v>71190.73313</v>
      </c>
      <c r="E33" s="20"/>
    </row>
    <row r="34" spans="1:5" ht="12.75">
      <c r="A34" s="14"/>
      <c r="B34" s="14" t="s">
        <v>17</v>
      </c>
      <c r="C34" s="14"/>
      <c r="D34" s="18">
        <f>D17*4.7%</f>
        <v>36059.753130000005</v>
      </c>
      <c r="E34" s="20"/>
    </row>
    <row r="35" spans="1:5" ht="12.75">
      <c r="A35" s="14"/>
      <c r="B35" s="14" t="s">
        <v>18</v>
      </c>
      <c r="C35" s="14"/>
      <c r="D35" s="14">
        <v>2709.63</v>
      </c>
      <c r="E35" s="14"/>
    </row>
    <row r="36" spans="1:5" ht="12.75">
      <c r="A36" s="14"/>
      <c r="B36" s="14" t="s">
        <v>20</v>
      </c>
      <c r="C36" s="14"/>
      <c r="D36" s="18">
        <v>15739.84</v>
      </c>
      <c r="E36" s="14"/>
    </row>
    <row r="37" spans="1:5" ht="12.75">
      <c r="A37" s="14"/>
      <c r="B37" s="22" t="s">
        <v>19</v>
      </c>
      <c r="C37" s="14"/>
      <c r="D37" s="14">
        <v>8033.34</v>
      </c>
      <c r="E37" s="14"/>
    </row>
    <row r="38" spans="1:5" ht="12.75">
      <c r="A38" s="14"/>
      <c r="B38" s="352" t="s">
        <v>55</v>
      </c>
      <c r="C38" s="14"/>
      <c r="D38" s="14">
        <v>2028.3</v>
      </c>
      <c r="E38" s="14"/>
    </row>
    <row r="39" spans="1:5" ht="12.75">
      <c r="A39" s="14"/>
      <c r="B39" s="352" t="s">
        <v>28</v>
      </c>
      <c r="C39" s="14"/>
      <c r="D39" s="14">
        <v>479.36</v>
      </c>
      <c r="E39" s="14"/>
    </row>
    <row r="40" spans="1:5" ht="12.75">
      <c r="A40" s="14"/>
      <c r="B40" s="14" t="s">
        <v>21</v>
      </c>
      <c r="C40" s="14"/>
      <c r="D40" s="14">
        <v>6140.51</v>
      </c>
      <c r="E40" s="14"/>
    </row>
    <row r="41" spans="1:5" ht="12.75">
      <c r="A41" s="14">
        <v>4</v>
      </c>
      <c r="B41" s="20" t="s">
        <v>92</v>
      </c>
      <c r="C41" s="14"/>
      <c r="D41" s="19">
        <v>147359.64</v>
      </c>
      <c r="E41" s="19"/>
    </row>
    <row r="42" spans="1:5" ht="12.75">
      <c r="A42" s="14">
        <v>5</v>
      </c>
      <c r="B42" s="20" t="s">
        <v>23</v>
      </c>
      <c r="C42" s="14"/>
      <c r="D42" s="19">
        <f>D20+D28+D33+D41</f>
        <v>612460.69713</v>
      </c>
      <c r="E42" s="14"/>
    </row>
    <row r="43" spans="1:5" ht="12.75">
      <c r="A43" s="14">
        <v>6</v>
      </c>
      <c r="B43" s="14" t="s">
        <v>32</v>
      </c>
      <c r="C43" s="14"/>
      <c r="D43" s="19">
        <f>D17*6%</f>
        <v>46033.7274</v>
      </c>
      <c r="E43" s="14"/>
    </row>
    <row r="44" spans="1:5" ht="12.75">
      <c r="A44" s="14">
        <v>7</v>
      </c>
      <c r="B44" s="20" t="s">
        <v>24</v>
      </c>
      <c r="C44" s="14"/>
      <c r="D44" s="19">
        <f>D42+D43</f>
        <v>658494.42453</v>
      </c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>
        <v>8</v>
      </c>
      <c r="B46" s="20" t="s">
        <v>142</v>
      </c>
      <c r="C46" s="14"/>
      <c r="D46" s="19">
        <f>(D14+D16)-D44+17703.51</f>
        <v>-39267.86452999992</v>
      </c>
      <c r="E46" s="14"/>
    </row>
    <row r="47" spans="1:5" ht="12.75">
      <c r="A47" s="14">
        <v>9</v>
      </c>
      <c r="B47" s="20" t="s">
        <v>44</v>
      </c>
      <c r="C47" s="14"/>
      <c r="D47" s="19">
        <f>D8+D46</f>
        <v>-154716.94452999992</v>
      </c>
      <c r="E47" s="14"/>
    </row>
    <row r="48" spans="1:5" ht="12.75">
      <c r="A48" s="3"/>
      <c r="B48" s="377" t="s">
        <v>74</v>
      </c>
      <c r="C48" s="3"/>
      <c r="D48" s="380">
        <f>D9+D15-17730.51</f>
        <v>162420.31999999998</v>
      </c>
      <c r="E48" s="3"/>
    </row>
    <row r="49" spans="1:5" ht="12.75">
      <c r="A49" s="3"/>
      <c r="B49" s="377" t="s">
        <v>87</v>
      </c>
      <c r="C49" s="3"/>
      <c r="D49" s="380">
        <f>107222.43+6500</f>
        <v>113722.43</v>
      </c>
      <c r="E49" s="3"/>
    </row>
    <row r="50" spans="1:5" ht="12.75">
      <c r="A50" s="3"/>
      <c r="B50" s="377" t="s">
        <v>86</v>
      </c>
      <c r="C50" s="3"/>
      <c r="D50" s="380">
        <f>D48-D49</f>
        <v>48697.889999999985</v>
      </c>
      <c r="E50" s="3"/>
    </row>
    <row r="51" spans="1:5" ht="12.75">
      <c r="A51" s="3"/>
      <c r="B51" s="377"/>
      <c r="C51" s="3"/>
      <c r="D51" s="380"/>
      <c r="E51" s="3"/>
    </row>
    <row r="52" spans="1:5" ht="12.75">
      <c r="A52" s="1"/>
      <c r="B52" s="1" t="s">
        <v>30</v>
      </c>
      <c r="C52" s="1"/>
      <c r="D52" s="1" t="s">
        <v>0</v>
      </c>
      <c r="E52" s="1"/>
    </row>
    <row r="53" spans="1:5" ht="12.75">
      <c r="A53" s="1"/>
      <c r="B53" s="1" t="s">
        <v>31</v>
      </c>
      <c r="C53" s="1"/>
      <c r="D53" s="1" t="s">
        <v>26</v>
      </c>
      <c r="E53" s="1"/>
    </row>
  </sheetData>
  <sheetProtection/>
  <mergeCells count="4">
    <mergeCell ref="A5:B5"/>
    <mergeCell ref="C5:D5"/>
    <mergeCell ref="D6:E6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7"/>
  <sheetViews>
    <sheetView zoomScaleSheetLayoutView="100" zoomScalePageLayoutView="0" workbookViewId="0" topLeftCell="C1">
      <selection activeCell="G18" sqref="G18:G24"/>
    </sheetView>
  </sheetViews>
  <sheetFormatPr defaultColWidth="9.00390625" defaultRowHeight="12.75"/>
  <cols>
    <col min="1" max="1" width="5.375" style="0" customWidth="1"/>
    <col min="2" max="2" width="38.375" style="0" customWidth="1"/>
    <col min="3" max="3" width="13.375" style="0" bestFit="1" customWidth="1"/>
    <col min="4" max="4" width="18.375" style="0" customWidth="1"/>
    <col min="5" max="5" width="11.375" style="0" customWidth="1"/>
    <col min="6" max="6" width="19.75390625" style="0" customWidth="1"/>
    <col min="7" max="7" width="9.625" style="0" bestFit="1" customWidth="1"/>
    <col min="8" max="8" width="7.375" style="0" customWidth="1"/>
    <col min="9" max="9" width="11.75390625" style="0" customWidth="1"/>
    <col min="10" max="10" width="17.875" style="0" customWidth="1"/>
  </cols>
  <sheetData>
    <row r="1" ht="15.75">
      <c r="B1" s="314" t="s">
        <v>25</v>
      </c>
    </row>
    <row r="2" ht="13.5" customHeight="1">
      <c r="B2" t="s">
        <v>29</v>
      </c>
    </row>
    <row r="3" ht="12.75" customHeight="1" hidden="1">
      <c r="B3" t="s">
        <v>123</v>
      </c>
    </row>
    <row r="4" spans="2:3" ht="12.75">
      <c r="B4" s="576" t="s">
        <v>135</v>
      </c>
      <c r="C4" s="576"/>
    </row>
    <row r="5" spans="1:5" ht="12.75">
      <c r="A5" s="569"/>
      <c r="B5" s="569"/>
      <c r="C5" s="569"/>
      <c r="D5" s="315"/>
      <c r="E5" s="316"/>
    </row>
    <row r="6" spans="1:5" ht="12.75">
      <c r="A6" s="317"/>
      <c r="B6" s="317"/>
      <c r="C6" s="317"/>
      <c r="D6" s="351"/>
      <c r="E6" s="319"/>
    </row>
    <row r="7" spans="1:5" ht="15.75">
      <c r="A7" s="317"/>
      <c r="B7" s="320" t="s">
        <v>1</v>
      </c>
      <c r="C7" s="321" t="s">
        <v>3</v>
      </c>
      <c r="D7" s="570" t="s">
        <v>4</v>
      </c>
      <c r="E7" s="571"/>
    </row>
    <row r="8" spans="1:5" ht="15.75">
      <c r="A8" s="322"/>
      <c r="B8" s="320" t="s">
        <v>2</v>
      </c>
      <c r="C8" s="321" t="s">
        <v>33</v>
      </c>
      <c r="D8" s="572" t="s">
        <v>134</v>
      </c>
      <c r="E8" s="573"/>
    </row>
    <row r="9" spans="1:5" ht="12.75">
      <c r="A9" s="323"/>
      <c r="B9" s="323"/>
      <c r="C9" s="323"/>
      <c r="D9" s="324"/>
      <c r="E9" s="325"/>
    </row>
    <row r="10" spans="1:5" ht="17.25" customHeight="1">
      <c r="A10" s="323"/>
      <c r="B10" s="338" t="s">
        <v>70</v>
      </c>
      <c r="C10" s="323"/>
      <c r="D10" s="324">
        <v>-16537.05</v>
      </c>
      <c r="E10" s="325"/>
    </row>
    <row r="11" spans="1:5" ht="14.25" customHeight="1">
      <c r="A11" s="326"/>
      <c r="B11" s="327" t="s">
        <v>5</v>
      </c>
      <c r="C11" s="326" t="s">
        <v>34</v>
      </c>
      <c r="D11" s="326">
        <v>1285.62</v>
      </c>
      <c r="E11" s="326"/>
    </row>
    <row r="12" spans="1:5" ht="14.25" customHeight="1">
      <c r="A12" s="326"/>
      <c r="B12" s="327" t="s">
        <v>6</v>
      </c>
      <c r="C12" s="326" t="s">
        <v>34</v>
      </c>
      <c r="D12" s="326">
        <v>901.3</v>
      </c>
      <c r="E12" s="326"/>
    </row>
    <row r="13" spans="1:5" ht="12.75">
      <c r="A13" s="326"/>
      <c r="B13" s="328" t="s">
        <v>27</v>
      </c>
      <c r="C13" s="326" t="s">
        <v>9</v>
      </c>
      <c r="D13" s="329">
        <v>109673.1</v>
      </c>
      <c r="E13" s="326"/>
    </row>
    <row r="14" spans="1:5" ht="16.5" customHeight="1">
      <c r="A14" s="326"/>
      <c r="B14" s="326"/>
      <c r="C14" s="326"/>
      <c r="D14" s="326"/>
      <c r="E14" s="326"/>
    </row>
    <row r="15" spans="1:5" ht="13.5" customHeight="1">
      <c r="A15" s="326"/>
      <c r="B15" s="330" t="s">
        <v>7</v>
      </c>
      <c r="C15" s="326"/>
      <c r="D15" s="326"/>
      <c r="E15" s="326"/>
    </row>
    <row r="16" spans="1:5" ht="12.75">
      <c r="A16" s="326">
        <v>1</v>
      </c>
      <c r="B16" s="326" t="s">
        <v>8</v>
      </c>
      <c r="C16" s="326" t="s">
        <v>9</v>
      </c>
      <c r="D16" s="326">
        <v>73933.4</v>
      </c>
      <c r="E16" s="326"/>
    </row>
    <row r="17" spans="1:5" ht="15" customHeight="1">
      <c r="A17" s="326">
        <v>2</v>
      </c>
      <c r="B17" s="326" t="s">
        <v>74</v>
      </c>
      <c r="C17" s="326"/>
      <c r="D17" s="326">
        <v>16198.46</v>
      </c>
      <c r="E17" s="326"/>
    </row>
    <row r="18" spans="1:5" ht="15.75" customHeight="1">
      <c r="A18" s="326"/>
      <c r="B18" s="330" t="s">
        <v>10</v>
      </c>
      <c r="C18" s="326"/>
      <c r="D18" s="329">
        <f>D16+D17</f>
        <v>90131.85999999999</v>
      </c>
      <c r="E18" s="326"/>
    </row>
    <row r="19" spans="1:5" ht="12.75" customHeight="1">
      <c r="A19" s="326"/>
      <c r="B19" s="330"/>
      <c r="C19" s="326"/>
      <c r="D19" s="329"/>
      <c r="E19" s="326"/>
    </row>
    <row r="20" spans="1:5" ht="15.75">
      <c r="A20" s="14"/>
      <c r="B20" s="17" t="s">
        <v>57</v>
      </c>
      <c r="C20" s="14"/>
      <c r="D20" s="20"/>
      <c r="E20" s="49"/>
    </row>
    <row r="21" spans="1:5" ht="12.75">
      <c r="A21" s="358" t="s">
        <v>58</v>
      </c>
      <c r="B21" s="16" t="s">
        <v>59</v>
      </c>
      <c r="C21" s="14"/>
      <c r="D21" s="19">
        <f>D22+D25+D24+D23</f>
        <v>24542.6896</v>
      </c>
      <c r="E21" s="19"/>
    </row>
    <row r="22" spans="1:5" ht="12.75">
      <c r="A22" s="14">
        <v>1</v>
      </c>
      <c r="B22" s="22" t="s">
        <v>11</v>
      </c>
      <c r="C22" s="352" t="s">
        <v>9</v>
      </c>
      <c r="D22" s="22">
        <v>19144.8</v>
      </c>
      <c r="E22" s="19"/>
    </row>
    <row r="23" spans="1:5" ht="12.75">
      <c r="A23" s="14">
        <v>2</v>
      </c>
      <c r="B23" s="22" t="s">
        <v>136</v>
      </c>
      <c r="C23" s="14"/>
      <c r="D23" s="18">
        <f>D22*20.2%</f>
        <v>3867.2495999999996</v>
      </c>
      <c r="E23" s="18"/>
    </row>
    <row r="24" spans="1:5" ht="12.75">
      <c r="A24" s="14">
        <v>3</v>
      </c>
      <c r="B24" s="22" t="s">
        <v>143</v>
      </c>
      <c r="C24" s="14"/>
      <c r="D24" s="14">
        <v>724.4</v>
      </c>
      <c r="E24" s="18"/>
    </row>
    <row r="25" spans="1:5" ht="12.75">
      <c r="A25" s="14">
        <v>4</v>
      </c>
      <c r="B25" s="352" t="s">
        <v>15</v>
      </c>
      <c r="C25" s="14"/>
      <c r="D25" s="14">
        <v>806.24</v>
      </c>
      <c r="E25" s="18"/>
    </row>
    <row r="26" spans="1:5" ht="13.5" customHeight="1">
      <c r="A26" s="358" t="s">
        <v>61</v>
      </c>
      <c r="B26" s="359" t="s">
        <v>60</v>
      </c>
      <c r="C26" s="14"/>
      <c r="D26" s="467">
        <f>D27+D28</f>
        <v>17976.4509</v>
      </c>
      <c r="E26" s="19"/>
    </row>
    <row r="27" spans="1:5" ht="15" customHeight="1">
      <c r="A27" s="14">
        <v>1</v>
      </c>
      <c r="B27" s="22" t="s">
        <v>95</v>
      </c>
      <c r="C27" s="14"/>
      <c r="D27" s="22">
        <v>14955.45</v>
      </c>
      <c r="E27" s="18"/>
    </row>
    <row r="28" spans="1:5" ht="13.5" customHeight="1">
      <c r="A28" s="14">
        <v>2</v>
      </c>
      <c r="B28" s="22" t="s">
        <v>136</v>
      </c>
      <c r="C28" s="14"/>
      <c r="D28" s="466">
        <f>D27*20.2%</f>
        <v>3021.0009</v>
      </c>
      <c r="E28" s="18"/>
    </row>
    <row r="29" spans="1:5" ht="13.5" customHeight="1">
      <c r="A29" s="358" t="s">
        <v>62</v>
      </c>
      <c r="B29" s="20" t="s">
        <v>16</v>
      </c>
      <c r="C29" s="14"/>
      <c r="D29" s="19">
        <f>D30+D31+D32+D33+D34</f>
        <v>6495.28766</v>
      </c>
      <c r="E29" s="19"/>
    </row>
    <row r="30" spans="1:5" ht="15" customHeight="1">
      <c r="A30" s="14"/>
      <c r="B30" s="14" t="s">
        <v>17</v>
      </c>
      <c r="C30" s="14"/>
      <c r="D30" s="18">
        <f>D18*3.1%</f>
        <v>2794.0876599999997</v>
      </c>
      <c r="E30" s="14"/>
    </row>
    <row r="31" spans="1:5" ht="14.25" customHeight="1">
      <c r="A31" s="14"/>
      <c r="B31" s="22" t="s">
        <v>20</v>
      </c>
      <c r="C31" s="14"/>
      <c r="D31" s="18">
        <v>2176.8</v>
      </c>
      <c r="E31" s="18"/>
    </row>
    <row r="32" spans="1:5" ht="14.25" customHeight="1">
      <c r="A32" s="14"/>
      <c r="B32" s="352" t="s">
        <v>55</v>
      </c>
      <c r="C32" s="14"/>
      <c r="D32" s="14">
        <v>327.37</v>
      </c>
      <c r="E32" s="14"/>
    </row>
    <row r="33" spans="1:5" ht="14.25" customHeight="1">
      <c r="A33" s="14"/>
      <c r="B33" s="352" t="s">
        <v>117</v>
      </c>
      <c r="C33" s="14"/>
      <c r="D33" s="14">
        <v>450</v>
      </c>
      <c r="E33" s="14"/>
    </row>
    <row r="34" spans="1:5" ht="12.75" customHeight="1">
      <c r="A34" s="14"/>
      <c r="B34" s="22" t="s">
        <v>21</v>
      </c>
      <c r="C34" s="14"/>
      <c r="D34" s="14">
        <v>747.03</v>
      </c>
      <c r="E34" s="14"/>
    </row>
    <row r="35" spans="1:5" ht="12.75">
      <c r="A35" s="14">
        <v>4</v>
      </c>
      <c r="B35" s="20" t="s">
        <v>92</v>
      </c>
      <c r="C35" s="14"/>
      <c r="D35" s="19">
        <v>16924.47</v>
      </c>
      <c r="E35" s="19"/>
    </row>
    <row r="36" spans="1:5" ht="12.75">
      <c r="A36" s="14">
        <v>5</v>
      </c>
      <c r="B36" s="20" t="s">
        <v>23</v>
      </c>
      <c r="C36" s="14"/>
      <c r="D36" s="19">
        <f>D21+D26+D29+D35</f>
        <v>65938.89816000001</v>
      </c>
      <c r="E36" s="14"/>
    </row>
    <row r="37" spans="1:5" ht="15" customHeight="1">
      <c r="A37" s="14">
        <v>6</v>
      </c>
      <c r="B37" s="14" t="s">
        <v>32</v>
      </c>
      <c r="C37" s="14"/>
      <c r="D37" s="19">
        <f>D18*6%</f>
        <v>5407.9115999999985</v>
      </c>
      <c r="E37" s="14"/>
    </row>
    <row r="38" spans="1:5" ht="12.75">
      <c r="A38" s="14">
        <v>7</v>
      </c>
      <c r="B38" s="20" t="s">
        <v>24</v>
      </c>
      <c r="C38" s="14"/>
      <c r="D38" s="19">
        <f>D36+D37</f>
        <v>71346.80976</v>
      </c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>
        <v>8</v>
      </c>
      <c r="B40" s="20" t="s">
        <v>133</v>
      </c>
      <c r="C40" s="14"/>
      <c r="D40" s="19">
        <f>D16-D38+1733.24</f>
        <v>4319.83023999999</v>
      </c>
      <c r="E40" s="14"/>
    </row>
    <row r="41" spans="1:5" ht="15" customHeight="1">
      <c r="A41" s="14">
        <v>9</v>
      </c>
      <c r="B41" s="20" t="s">
        <v>44</v>
      </c>
      <c r="C41" s="14"/>
      <c r="D41" s="19">
        <f>D10+D40</f>
        <v>-12217.219760000009</v>
      </c>
      <c r="E41" s="14"/>
    </row>
    <row r="42" spans="1:5" ht="18" customHeight="1">
      <c r="A42" s="3"/>
      <c r="B42" s="377" t="s">
        <v>74</v>
      </c>
      <c r="C42" s="3"/>
      <c r="D42" s="380">
        <f>D17-1733.24</f>
        <v>14465.22</v>
      </c>
      <c r="E42" s="3"/>
    </row>
    <row r="43" spans="1:5" ht="16.5" customHeight="1">
      <c r="A43" s="3"/>
      <c r="B43" s="377" t="s">
        <v>87</v>
      </c>
      <c r="C43" s="3"/>
      <c r="D43" s="380">
        <f>1104.43+1684.64+9768.19</f>
        <v>12557.26</v>
      </c>
      <c r="E43" s="3"/>
    </row>
    <row r="44" spans="1:5" ht="13.5" customHeight="1">
      <c r="A44" s="3"/>
      <c r="B44" s="377" t="s">
        <v>86</v>
      </c>
      <c r="C44" s="3"/>
      <c r="D44" s="380">
        <f>D42-D43</f>
        <v>1907.9599999999991</v>
      </c>
      <c r="E44" s="3"/>
    </row>
    <row r="45" spans="1:6" ht="15" customHeight="1">
      <c r="A45" s="3"/>
      <c r="B45" s="377"/>
      <c r="C45" s="3"/>
      <c r="D45" s="380"/>
      <c r="E45" s="3"/>
      <c r="F45" s="382"/>
    </row>
    <row r="46" spans="1:5" ht="15" customHeight="1">
      <c r="A46" s="1"/>
      <c r="B46" s="1" t="s">
        <v>30</v>
      </c>
      <c r="C46" s="1"/>
      <c r="D46" s="1" t="s">
        <v>0</v>
      </c>
      <c r="E46" s="1"/>
    </row>
    <row r="47" spans="1:5" ht="12.75">
      <c r="A47" s="1"/>
      <c r="B47" s="1" t="s">
        <v>31</v>
      </c>
      <c r="C47" s="1"/>
      <c r="D47" s="1" t="s">
        <v>26</v>
      </c>
      <c r="E47" s="1"/>
    </row>
  </sheetData>
  <sheetProtection/>
  <mergeCells count="4">
    <mergeCell ref="A5:C5"/>
    <mergeCell ref="D7:E7"/>
    <mergeCell ref="D8:E8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6.25390625" style="0" customWidth="1"/>
    <col min="2" max="2" width="41.625" style="0" customWidth="1"/>
    <col min="3" max="3" width="6.75390625" style="0" customWidth="1"/>
    <col min="4" max="4" width="12.75390625" style="0" customWidth="1"/>
    <col min="5" max="5" width="11.375" style="0" customWidth="1"/>
    <col min="7" max="8" width="14.75390625" style="0" customWidth="1"/>
    <col min="14" max="14" width="7.00390625" style="0" customWidth="1"/>
    <col min="15" max="15" width="40.875" style="0" customWidth="1"/>
    <col min="17" max="17" width="10.875" style="0" customWidth="1"/>
    <col min="19" max="19" width="3.75390625" style="0" customWidth="1"/>
    <col min="20" max="20" width="6.375" style="0" customWidth="1"/>
    <col min="21" max="21" width="46.375" style="0" customWidth="1"/>
    <col min="23" max="23" width="12.87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139</v>
      </c>
    </row>
    <row r="5" ht="12.75">
      <c r="B5" t="s">
        <v>46</v>
      </c>
    </row>
    <row r="6" spans="1:5" ht="12.75">
      <c r="A6" s="336"/>
      <c r="B6" s="336"/>
      <c r="C6" s="336"/>
      <c r="D6" s="318"/>
      <c r="E6" s="337"/>
    </row>
    <row r="7" spans="1:5" ht="15.75">
      <c r="A7" s="317"/>
      <c r="B7" s="320" t="s">
        <v>1</v>
      </c>
      <c r="C7" s="321" t="s">
        <v>3</v>
      </c>
      <c r="D7" s="570" t="s">
        <v>4</v>
      </c>
      <c r="E7" s="571"/>
    </row>
    <row r="8" spans="1:5" ht="15.75">
      <c r="A8" s="322"/>
      <c r="B8" s="320" t="s">
        <v>2</v>
      </c>
      <c r="C8" s="321" t="s">
        <v>33</v>
      </c>
      <c r="D8" s="572" t="s">
        <v>140</v>
      </c>
      <c r="E8" s="573"/>
    </row>
    <row r="9" spans="1:5" ht="12.75">
      <c r="A9" s="323"/>
      <c r="B9" s="338"/>
      <c r="C9" s="323"/>
      <c r="D9" s="324"/>
      <c r="E9" s="325"/>
    </row>
    <row r="10" spans="1:5" ht="12.75">
      <c r="A10" s="323"/>
      <c r="B10" s="338" t="s">
        <v>70</v>
      </c>
      <c r="C10" s="323"/>
      <c r="D10" s="324">
        <v>8615.12</v>
      </c>
      <c r="E10" s="325"/>
    </row>
    <row r="11" spans="1:5" ht="12.75">
      <c r="A11" s="326"/>
      <c r="B11" s="327" t="s">
        <v>5</v>
      </c>
      <c r="C11" s="326" t="s">
        <v>34</v>
      </c>
      <c r="D11" s="332">
        <v>4710.9</v>
      </c>
      <c r="E11" s="326"/>
    </row>
    <row r="12" spans="1:5" ht="12.75">
      <c r="A12" s="326"/>
      <c r="B12" s="327" t="s">
        <v>6</v>
      </c>
      <c r="C12" s="326" t="s">
        <v>34</v>
      </c>
      <c r="D12" s="332">
        <v>2911.8</v>
      </c>
      <c r="E12" s="326"/>
    </row>
    <row r="13" spans="1:5" ht="12.75">
      <c r="A13" s="326"/>
      <c r="B13" s="328" t="s">
        <v>27</v>
      </c>
      <c r="C13" s="326" t="s">
        <v>9</v>
      </c>
      <c r="D13" s="331">
        <v>221407.62</v>
      </c>
      <c r="E13" s="326"/>
    </row>
    <row r="14" spans="1:5" ht="12.75">
      <c r="A14" s="326"/>
      <c r="B14" s="326"/>
      <c r="C14" s="326"/>
      <c r="D14" s="326"/>
      <c r="E14" s="326"/>
    </row>
    <row r="15" spans="1:5" ht="15.75">
      <c r="A15" s="326"/>
      <c r="B15" s="330" t="s">
        <v>7</v>
      </c>
      <c r="C15" s="326"/>
      <c r="D15" s="326"/>
      <c r="E15" s="326"/>
    </row>
    <row r="16" spans="1:5" ht="12.75">
      <c r="A16" s="326">
        <v>1</v>
      </c>
      <c r="B16" s="326" t="s">
        <v>8</v>
      </c>
      <c r="C16" s="326" t="s">
        <v>9</v>
      </c>
      <c r="D16" s="326">
        <v>219895.93</v>
      </c>
      <c r="E16" s="326"/>
    </row>
    <row r="17" spans="1:5" ht="12.75">
      <c r="A17" s="326">
        <v>2</v>
      </c>
      <c r="B17" s="326" t="s">
        <v>82</v>
      </c>
      <c r="C17" s="326"/>
      <c r="D17" s="326">
        <v>5080.57</v>
      </c>
      <c r="E17" s="326"/>
    </row>
    <row r="18" spans="1:5" ht="15.75">
      <c r="A18" s="326"/>
      <c r="B18" s="330" t="s">
        <v>10</v>
      </c>
      <c r="C18" s="326"/>
      <c r="D18" s="329">
        <f>D16+D17</f>
        <v>224976.5</v>
      </c>
      <c r="E18" s="326"/>
    </row>
    <row r="19" spans="1:5" ht="15.75">
      <c r="A19" s="326"/>
      <c r="B19" s="330"/>
      <c r="C19" s="326"/>
      <c r="D19" s="329"/>
      <c r="E19" s="326"/>
    </row>
    <row r="20" spans="1:5" ht="15.75">
      <c r="A20" s="14"/>
      <c r="B20" s="17" t="s">
        <v>57</v>
      </c>
      <c r="C20" s="14"/>
      <c r="D20" s="20"/>
      <c r="E20" s="49"/>
    </row>
    <row r="21" spans="1:5" ht="12.75">
      <c r="A21" s="358" t="s">
        <v>58</v>
      </c>
      <c r="B21" s="16" t="s">
        <v>59</v>
      </c>
      <c r="C21" s="14"/>
      <c r="D21" s="19">
        <f>D22+D24+D23</f>
        <v>63681.36788</v>
      </c>
      <c r="E21" s="19"/>
    </row>
    <row r="22" spans="1:5" ht="12.75">
      <c r="A22" s="14">
        <v>1</v>
      </c>
      <c r="B22" s="22" t="s">
        <v>11</v>
      </c>
      <c r="C22" s="22" t="s">
        <v>9</v>
      </c>
      <c r="D22" s="22">
        <v>51244.94</v>
      </c>
      <c r="E22" s="21"/>
    </row>
    <row r="23" spans="1:5" ht="12.75">
      <c r="A23" s="14"/>
      <c r="B23" s="22" t="s">
        <v>136</v>
      </c>
      <c r="C23" s="14"/>
      <c r="D23" s="18">
        <f>D22*20.2%</f>
        <v>10351.47788</v>
      </c>
      <c r="E23" s="18"/>
    </row>
    <row r="24" spans="1:5" ht="12.75">
      <c r="A24" s="14">
        <v>2</v>
      </c>
      <c r="B24" s="352" t="s">
        <v>15</v>
      </c>
      <c r="C24" s="14"/>
      <c r="D24" s="14">
        <v>2084.95</v>
      </c>
      <c r="E24" s="18"/>
    </row>
    <row r="25" spans="1:5" ht="12.75">
      <c r="A25" s="358" t="s">
        <v>61</v>
      </c>
      <c r="B25" s="359" t="s">
        <v>60</v>
      </c>
      <c r="C25" s="14"/>
      <c r="D25" s="19">
        <f>D26+D28+D29+D27</f>
        <v>87195.92434</v>
      </c>
      <c r="E25" s="19"/>
    </row>
    <row r="26" spans="1:5" ht="12.75">
      <c r="A26" s="14">
        <v>1</v>
      </c>
      <c r="B26" s="22" t="s">
        <v>95</v>
      </c>
      <c r="C26" s="14"/>
      <c r="D26" s="22">
        <v>71170.17</v>
      </c>
      <c r="E26" s="18"/>
    </row>
    <row r="27" spans="1:5" ht="12.75">
      <c r="A27" s="14">
        <v>2</v>
      </c>
      <c r="B27" s="22" t="s">
        <v>136</v>
      </c>
      <c r="C27" s="14"/>
      <c r="D27" s="21">
        <f>D26*20.2%</f>
        <v>14376.374339999998</v>
      </c>
      <c r="E27" s="18"/>
    </row>
    <row r="28" spans="1:5" ht="12.75">
      <c r="A28" s="14">
        <v>3</v>
      </c>
      <c r="B28" s="22" t="s">
        <v>15</v>
      </c>
      <c r="C28" s="14"/>
      <c r="D28" s="22">
        <v>461.38</v>
      </c>
      <c r="E28" s="14"/>
    </row>
    <row r="29" spans="1:5" ht="12.75">
      <c r="A29" s="14">
        <v>4</v>
      </c>
      <c r="B29" s="22" t="s">
        <v>91</v>
      </c>
      <c r="C29" s="14"/>
      <c r="D29" s="21">
        <v>1188</v>
      </c>
      <c r="E29" s="14"/>
    </row>
    <row r="30" spans="1:5" ht="12.75">
      <c r="A30" s="358" t="s">
        <v>62</v>
      </c>
      <c r="B30" s="20" t="s">
        <v>16</v>
      </c>
      <c r="C30" s="14"/>
      <c r="D30" s="19">
        <f>D31+D32+D33+D34+D35+D36+D37</f>
        <v>14674.998955000003</v>
      </c>
      <c r="E30" s="19"/>
    </row>
    <row r="31" spans="1:5" ht="12.75">
      <c r="A31" s="14"/>
      <c r="B31" s="14" t="s">
        <v>17</v>
      </c>
      <c r="C31" s="14"/>
      <c r="D31" s="18">
        <f>D18*4.7%%</f>
        <v>105.73895499999999</v>
      </c>
      <c r="E31" s="14"/>
    </row>
    <row r="32" spans="1:5" ht="12.75">
      <c r="A32" s="14"/>
      <c r="B32" s="14" t="s">
        <v>18</v>
      </c>
      <c r="C32" s="14"/>
      <c r="D32" s="14">
        <v>0</v>
      </c>
      <c r="E32" s="14"/>
    </row>
    <row r="33" spans="1:5" ht="12.75">
      <c r="A33" s="14"/>
      <c r="B33" s="14" t="s">
        <v>20</v>
      </c>
      <c r="C33" s="14"/>
      <c r="D33" s="18">
        <v>9193.28</v>
      </c>
      <c r="E33" s="18"/>
    </row>
    <row r="34" spans="1:7" ht="12.75">
      <c r="A34" s="14"/>
      <c r="B34" s="352" t="s">
        <v>28</v>
      </c>
      <c r="C34" s="14"/>
      <c r="D34" s="14">
        <v>333.6</v>
      </c>
      <c r="E34" s="14"/>
      <c r="G34" s="465"/>
    </row>
    <row r="35" spans="1:5" ht="12.75">
      <c r="A35" s="14"/>
      <c r="B35" s="352" t="s">
        <v>55</v>
      </c>
      <c r="C35" s="14"/>
      <c r="D35" s="14">
        <v>1184.7</v>
      </c>
      <c r="E35" s="14"/>
    </row>
    <row r="36" spans="1:5" ht="12.75">
      <c r="A36" s="14"/>
      <c r="B36" s="22" t="s">
        <v>141</v>
      </c>
      <c r="C36" s="14"/>
      <c r="D36" s="14">
        <v>680</v>
      </c>
      <c r="E36" s="14"/>
    </row>
    <row r="37" spans="1:5" ht="12.75">
      <c r="A37" s="14"/>
      <c r="B37" s="22" t="s">
        <v>21</v>
      </c>
      <c r="C37" s="14"/>
      <c r="D37" s="14">
        <v>3177.68</v>
      </c>
      <c r="E37" s="14"/>
    </row>
    <row r="38" spans="1:5" ht="12.75">
      <c r="A38" s="475" t="s">
        <v>64</v>
      </c>
      <c r="B38" s="20" t="s">
        <v>74</v>
      </c>
      <c r="C38" s="20"/>
      <c r="D38" s="20">
        <v>6587.39</v>
      </c>
      <c r="E38" s="14"/>
    </row>
    <row r="39" spans="1:5" ht="12.75">
      <c r="A39" s="475" t="s">
        <v>65</v>
      </c>
      <c r="B39" s="20" t="s">
        <v>212</v>
      </c>
      <c r="C39" s="14"/>
      <c r="D39" s="19">
        <v>70561.89</v>
      </c>
      <c r="E39" s="19"/>
    </row>
    <row r="40" spans="1:5" ht="12.75">
      <c r="A40" s="475" t="s">
        <v>66</v>
      </c>
      <c r="B40" s="20" t="s">
        <v>23</v>
      </c>
      <c r="C40" s="14"/>
      <c r="D40" s="19">
        <f>D21+D25+D30+D39+D38</f>
        <v>242701.57117500005</v>
      </c>
      <c r="E40" s="14"/>
    </row>
    <row r="41" spans="1:5" ht="12.75">
      <c r="A41" s="475" t="s">
        <v>67</v>
      </c>
      <c r="B41" s="14" t="s">
        <v>32</v>
      </c>
      <c r="C41" s="14"/>
      <c r="D41" s="19">
        <f>D18*6%</f>
        <v>13498.59</v>
      </c>
      <c r="E41" s="14"/>
    </row>
    <row r="42" spans="1:5" ht="12.75">
      <c r="A42" s="475" t="s">
        <v>68</v>
      </c>
      <c r="B42" s="20" t="s">
        <v>24</v>
      </c>
      <c r="C42" s="14"/>
      <c r="D42" s="19">
        <f>D40+D41</f>
        <v>256200.16117500004</v>
      </c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475" t="s">
        <v>69</v>
      </c>
      <c r="B44" s="20" t="s">
        <v>142</v>
      </c>
      <c r="C44" s="14"/>
      <c r="D44" s="19">
        <f>D18-D42</f>
        <v>-31223.661175000045</v>
      </c>
      <c r="E44" s="14"/>
    </row>
    <row r="45" spans="1:5" ht="12.75">
      <c r="A45" s="475" t="s">
        <v>165</v>
      </c>
      <c r="B45" s="20" t="s">
        <v>44</v>
      </c>
      <c r="C45" s="14"/>
      <c r="D45" s="19">
        <f>D10+D44</f>
        <v>-22608.541175000042</v>
      </c>
      <c r="E45" s="14"/>
    </row>
    <row r="46" spans="1:5" ht="12.75">
      <c r="A46" s="3"/>
      <c r="B46" s="377"/>
      <c r="C46" s="3"/>
      <c r="D46" s="380"/>
      <c r="E46" s="3"/>
    </row>
    <row r="47" spans="1:5" ht="12.75">
      <c r="A47" s="3"/>
      <c r="B47" s="377"/>
      <c r="C47" s="3"/>
      <c r="D47" s="380"/>
      <c r="E47" s="3"/>
    </row>
    <row r="48" spans="1:5" ht="12.75">
      <c r="A48" s="3"/>
      <c r="B48" t="s">
        <v>30</v>
      </c>
      <c r="D48" t="s">
        <v>0</v>
      </c>
      <c r="E48" s="3"/>
    </row>
    <row r="49" spans="1:5" ht="12.75">
      <c r="A49" s="1"/>
      <c r="B49" s="1" t="s">
        <v>31</v>
      </c>
      <c r="C49" s="1"/>
      <c r="D49" s="1" t="s">
        <v>26</v>
      </c>
      <c r="E49" s="1"/>
    </row>
  </sheetData>
  <sheetProtection/>
  <mergeCells count="2">
    <mergeCell ref="D7:E7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1">
      <selection activeCell="G22" sqref="G22:G24"/>
    </sheetView>
  </sheetViews>
  <sheetFormatPr defaultColWidth="9.00390625" defaultRowHeight="12.75"/>
  <cols>
    <col min="1" max="1" width="5.375" style="0" customWidth="1"/>
    <col min="2" max="2" width="38.375" style="0" customWidth="1"/>
    <col min="3" max="3" width="12.25390625" style="0" customWidth="1"/>
    <col min="4" max="4" width="16.25390625" style="0" customWidth="1"/>
    <col min="5" max="5" width="11.375" style="0" customWidth="1"/>
    <col min="6" max="6" width="19.75390625" style="0" customWidth="1"/>
    <col min="7" max="7" width="9.625" style="0" bestFit="1" customWidth="1"/>
    <col min="8" max="8" width="7.375" style="0" customWidth="1"/>
    <col min="9" max="9" width="11.75390625" style="0" customWidth="1"/>
    <col min="10" max="10" width="17.875" style="0" customWidth="1"/>
  </cols>
  <sheetData>
    <row r="1" ht="15.75">
      <c r="B1" s="314" t="s">
        <v>25</v>
      </c>
    </row>
    <row r="2" ht="25.5" customHeight="1">
      <c r="B2" t="s">
        <v>29</v>
      </c>
    </row>
    <row r="3" ht="12.75" customHeight="1" hidden="1">
      <c r="B3" t="s">
        <v>29</v>
      </c>
    </row>
    <row r="4" ht="12.75">
      <c r="B4" t="s">
        <v>137</v>
      </c>
    </row>
    <row r="5" spans="1:5" ht="12.75">
      <c r="A5" s="569"/>
      <c r="B5" s="569"/>
      <c r="C5" s="569"/>
      <c r="D5" s="315"/>
      <c r="E5" s="316"/>
    </row>
    <row r="6" spans="1:5" ht="15.75">
      <c r="A6" s="336"/>
      <c r="B6" s="463" t="s">
        <v>1</v>
      </c>
      <c r="C6" s="464" t="s">
        <v>3</v>
      </c>
      <c r="D6" s="574" t="s">
        <v>4</v>
      </c>
      <c r="E6" s="575"/>
    </row>
    <row r="7" spans="1:5" ht="15.75">
      <c r="A7" s="322"/>
      <c r="B7" s="320" t="s">
        <v>2</v>
      </c>
      <c r="C7" s="321" t="s">
        <v>33</v>
      </c>
      <c r="D7" s="572" t="s">
        <v>138</v>
      </c>
      <c r="E7" s="573"/>
    </row>
    <row r="8" spans="1:5" ht="12.75">
      <c r="A8" s="323"/>
      <c r="B8" s="323"/>
      <c r="C8" s="323"/>
      <c r="D8" s="324"/>
      <c r="E8" s="325"/>
    </row>
    <row r="9" spans="1:5" ht="16.5" customHeight="1">
      <c r="A9" s="323"/>
      <c r="B9" s="338" t="s">
        <v>70</v>
      </c>
      <c r="C9" s="323"/>
      <c r="D9" s="324">
        <v>-153194.4</v>
      </c>
      <c r="E9" s="325"/>
    </row>
    <row r="10" spans="1:5" ht="14.25" customHeight="1">
      <c r="A10" s="326"/>
      <c r="B10" s="327" t="s">
        <v>5</v>
      </c>
      <c r="C10" s="326" t="s">
        <v>34</v>
      </c>
      <c r="D10" s="326">
        <v>3722.8</v>
      </c>
      <c r="E10" s="326"/>
    </row>
    <row r="11" spans="1:5" ht="13.5" customHeight="1">
      <c r="A11" s="326"/>
      <c r="B11" s="327" t="s">
        <v>6</v>
      </c>
      <c r="C11" s="326" t="s">
        <v>34</v>
      </c>
      <c r="D11" s="326">
        <v>2935</v>
      </c>
      <c r="E11" s="326"/>
    </row>
    <row r="12" spans="1:5" ht="15.75" customHeight="1">
      <c r="A12" s="326"/>
      <c r="B12" s="328" t="s">
        <v>27</v>
      </c>
      <c r="C12" s="326" t="s">
        <v>9</v>
      </c>
      <c r="D12" s="329">
        <v>216937.56</v>
      </c>
      <c r="E12" s="326"/>
    </row>
    <row r="13" spans="1:5" ht="15.75" customHeight="1">
      <c r="A13" s="326"/>
      <c r="B13" s="326"/>
      <c r="C13" s="326"/>
      <c r="D13" s="326"/>
      <c r="E13" s="326"/>
    </row>
    <row r="14" spans="1:5" ht="14.25" customHeight="1">
      <c r="A14" s="326"/>
      <c r="B14" s="330" t="s">
        <v>7</v>
      </c>
      <c r="C14" s="326"/>
      <c r="D14" s="326"/>
      <c r="E14" s="326"/>
    </row>
    <row r="15" spans="1:5" ht="13.5" customHeight="1">
      <c r="A15" s="326">
        <v>1</v>
      </c>
      <c r="B15" s="326" t="s">
        <v>8</v>
      </c>
      <c r="C15" s="326" t="s">
        <v>9</v>
      </c>
      <c r="D15" s="326">
        <v>211502.67</v>
      </c>
      <c r="E15" s="326"/>
    </row>
    <row r="16" spans="1:5" ht="12.75">
      <c r="A16" s="326"/>
      <c r="B16" s="326"/>
      <c r="C16" s="326"/>
      <c r="D16" s="326">
        <v>0</v>
      </c>
      <c r="E16" s="326"/>
    </row>
    <row r="17" spans="1:5" ht="15.75" customHeight="1">
      <c r="A17" s="326"/>
      <c r="B17" s="330" t="s">
        <v>10</v>
      </c>
      <c r="C17" s="326"/>
      <c r="D17" s="329">
        <f>D15</f>
        <v>211502.67</v>
      </c>
      <c r="E17" s="326"/>
    </row>
    <row r="18" spans="1:5" ht="11.25" customHeight="1">
      <c r="A18" s="326"/>
      <c r="B18" s="330"/>
      <c r="C18" s="326"/>
      <c r="D18" s="329"/>
      <c r="E18" s="326"/>
    </row>
    <row r="19" spans="1:5" ht="17.25" customHeight="1">
      <c r="A19" s="14"/>
      <c r="B19" s="17" t="s">
        <v>57</v>
      </c>
      <c r="C19" s="14"/>
      <c r="D19" s="20"/>
      <c r="E19" s="49"/>
    </row>
    <row r="20" spans="1:5" ht="12.75">
      <c r="A20" s="358" t="s">
        <v>58</v>
      </c>
      <c r="B20" s="16" t="s">
        <v>59</v>
      </c>
      <c r="C20" s="14"/>
      <c r="D20" s="19">
        <f>D21+D22+D23+D24</f>
        <v>61322.6684</v>
      </c>
      <c r="E20" s="19"/>
    </row>
    <row r="21" spans="1:5" ht="12.75">
      <c r="A21" s="14">
        <v>1</v>
      </c>
      <c r="B21" s="22" t="s">
        <v>11</v>
      </c>
      <c r="C21" s="352" t="s">
        <v>9</v>
      </c>
      <c r="D21" s="22">
        <v>49809.2</v>
      </c>
      <c r="E21" s="19"/>
    </row>
    <row r="22" spans="1:5" ht="12.75">
      <c r="A22" s="14">
        <v>2</v>
      </c>
      <c r="B22" s="22" t="s">
        <v>136</v>
      </c>
      <c r="C22" s="14"/>
      <c r="D22" s="18">
        <f>D21*20.2%</f>
        <v>10061.4584</v>
      </c>
      <c r="E22" s="18"/>
    </row>
    <row r="23" spans="1:5" ht="12.75">
      <c r="A23" s="14">
        <v>3</v>
      </c>
      <c r="B23" s="22" t="s">
        <v>143</v>
      </c>
      <c r="C23" s="14"/>
      <c r="D23" s="353">
        <v>1400.01</v>
      </c>
      <c r="E23" s="18"/>
    </row>
    <row r="24" spans="1:5" ht="12.75">
      <c r="A24" s="14">
        <v>4</v>
      </c>
      <c r="B24" s="352" t="s">
        <v>15</v>
      </c>
      <c r="C24" s="14"/>
      <c r="D24" s="14">
        <v>52</v>
      </c>
      <c r="E24" s="18"/>
    </row>
    <row r="25" spans="1:5" ht="12.75">
      <c r="A25" s="358" t="s">
        <v>61</v>
      </c>
      <c r="B25" s="359" t="s">
        <v>60</v>
      </c>
      <c r="C25" s="14"/>
      <c r="D25" s="19">
        <f>D26+D28+D30+D27+D29</f>
        <v>90887.15844</v>
      </c>
      <c r="E25" s="19"/>
    </row>
    <row r="26" spans="1:5" ht="14.25" customHeight="1">
      <c r="A26" s="14">
        <v>1</v>
      </c>
      <c r="B26" s="22" t="s">
        <v>144</v>
      </c>
      <c r="C26" s="14"/>
      <c r="D26" s="22">
        <v>71737.22</v>
      </c>
      <c r="E26" s="18"/>
    </row>
    <row r="27" spans="1:5" ht="12.75" customHeight="1">
      <c r="A27" s="14">
        <v>2</v>
      </c>
      <c r="B27" s="22" t="s">
        <v>136</v>
      </c>
      <c r="C27" s="14"/>
      <c r="D27" s="21">
        <f>D26*20.2%</f>
        <v>14490.91844</v>
      </c>
      <c r="E27" s="18"/>
    </row>
    <row r="28" spans="1:5" ht="14.25" customHeight="1">
      <c r="A28" s="14">
        <v>3</v>
      </c>
      <c r="B28" s="22" t="s">
        <v>15</v>
      </c>
      <c r="C28" s="14"/>
      <c r="D28" s="21">
        <v>211.02</v>
      </c>
      <c r="E28" s="14"/>
    </row>
    <row r="29" spans="1:5" ht="15" customHeight="1">
      <c r="A29" s="14">
        <v>4</v>
      </c>
      <c r="B29" s="22" t="s">
        <v>91</v>
      </c>
      <c r="C29" s="14"/>
      <c r="D29" s="21">
        <v>528</v>
      </c>
      <c r="E29" s="14"/>
    </row>
    <row r="30" spans="1:5" ht="15" customHeight="1">
      <c r="A30" s="14">
        <v>5</v>
      </c>
      <c r="B30" s="22" t="s">
        <v>83</v>
      </c>
      <c r="C30" s="14"/>
      <c r="D30" s="21">
        <v>3920</v>
      </c>
      <c r="E30" s="14"/>
    </row>
    <row r="31" spans="1:5" ht="16.5" customHeight="1">
      <c r="A31" s="358" t="s">
        <v>62</v>
      </c>
      <c r="B31" s="20" t="s">
        <v>16</v>
      </c>
      <c r="C31" s="14"/>
      <c r="D31" s="19">
        <f>D32+D33+D34+D35+D36+D37+D38+D39</f>
        <v>87137.96549000002</v>
      </c>
      <c r="E31" s="19"/>
    </row>
    <row r="32" spans="1:5" ht="15.75" customHeight="1">
      <c r="A32" s="14"/>
      <c r="B32" s="14" t="s">
        <v>17</v>
      </c>
      <c r="C32" s="14"/>
      <c r="D32" s="18">
        <f>D17*4.7%</f>
        <v>9940.62549</v>
      </c>
      <c r="E32" s="14"/>
    </row>
    <row r="33" spans="1:5" ht="14.25" customHeight="1">
      <c r="A33" s="14"/>
      <c r="B33" s="22" t="s">
        <v>90</v>
      </c>
      <c r="C33" s="14"/>
      <c r="D33" s="14">
        <v>56730.66</v>
      </c>
      <c r="E33" s="14"/>
    </row>
    <row r="34" spans="1:5" ht="12.75" customHeight="1">
      <c r="A34" s="14"/>
      <c r="B34" s="14" t="s">
        <v>20</v>
      </c>
      <c r="C34" s="14"/>
      <c r="D34" s="18">
        <v>9266.53</v>
      </c>
      <c r="E34" s="18"/>
    </row>
    <row r="35" spans="1:5" ht="12.75">
      <c r="A35" s="14"/>
      <c r="B35" s="14" t="s">
        <v>19</v>
      </c>
      <c r="C35" s="14"/>
      <c r="D35" s="18">
        <v>5886.95</v>
      </c>
      <c r="E35" s="18"/>
    </row>
    <row r="36" spans="1:5" ht="12.75">
      <c r="A36" s="14"/>
      <c r="B36" s="22" t="s">
        <v>55</v>
      </c>
      <c r="C36" s="14"/>
      <c r="D36" s="14">
        <v>1194.1</v>
      </c>
      <c r="E36" s="14"/>
    </row>
    <row r="37" spans="1:5" ht="14.25" customHeight="1">
      <c r="A37" s="14"/>
      <c r="B37" s="22" t="s">
        <v>141</v>
      </c>
      <c r="C37" s="14"/>
      <c r="D37" s="14">
        <v>582.5</v>
      </c>
      <c r="E37" s="14"/>
    </row>
    <row r="38" spans="1:5" ht="12.75">
      <c r="A38" s="14"/>
      <c r="B38" s="352" t="s">
        <v>28</v>
      </c>
      <c r="C38" s="14"/>
      <c r="D38" s="14">
        <v>333.6</v>
      </c>
      <c r="E38" s="14"/>
    </row>
    <row r="39" spans="1:5" ht="12.75">
      <c r="A39" s="14"/>
      <c r="B39" s="14" t="s">
        <v>21</v>
      </c>
      <c r="C39" s="14"/>
      <c r="D39" s="14">
        <v>3203</v>
      </c>
      <c r="E39" s="14"/>
    </row>
    <row r="40" spans="1:5" ht="12.75">
      <c r="A40" s="475" t="s">
        <v>64</v>
      </c>
      <c r="B40" s="20" t="s">
        <v>74</v>
      </c>
      <c r="C40" s="14"/>
      <c r="D40" s="20">
        <v>2166.26</v>
      </c>
      <c r="E40" s="14"/>
    </row>
    <row r="41" spans="1:5" ht="15" customHeight="1">
      <c r="A41" s="475" t="s">
        <v>65</v>
      </c>
      <c r="B41" s="20" t="s">
        <v>212</v>
      </c>
      <c r="C41" s="14"/>
      <c r="D41" s="19">
        <v>71124.13</v>
      </c>
      <c r="E41" s="19"/>
    </row>
    <row r="42" spans="1:5" ht="12.75">
      <c r="A42" s="475" t="s">
        <v>66</v>
      </c>
      <c r="B42" s="20" t="s">
        <v>23</v>
      </c>
      <c r="C42" s="14"/>
      <c r="D42" s="19">
        <f>D20+D25+D31+D41+D40</f>
        <v>312638.18233000004</v>
      </c>
      <c r="E42" s="14"/>
    </row>
    <row r="43" spans="1:5" ht="15.75" customHeight="1">
      <c r="A43" s="475" t="s">
        <v>67</v>
      </c>
      <c r="B43" s="14" t="s">
        <v>32</v>
      </c>
      <c r="C43" s="14"/>
      <c r="D43" s="19">
        <f>D17*6%</f>
        <v>12690.1602</v>
      </c>
      <c r="E43" s="14"/>
    </row>
    <row r="44" spans="1:5" ht="14.25" customHeight="1">
      <c r="A44" s="475" t="s">
        <v>68</v>
      </c>
      <c r="B44" s="20" t="s">
        <v>24</v>
      </c>
      <c r="C44" s="14"/>
      <c r="D44" s="19">
        <f>D42+D43</f>
        <v>325328.34253</v>
      </c>
      <c r="E44" s="14"/>
    </row>
    <row r="45" spans="1:5" ht="16.5" customHeight="1">
      <c r="A45" s="14"/>
      <c r="B45" s="14"/>
      <c r="C45" s="14"/>
      <c r="D45" s="14"/>
      <c r="E45" s="14"/>
    </row>
    <row r="46" spans="1:5" ht="17.25" customHeight="1">
      <c r="A46" s="475" t="s">
        <v>69</v>
      </c>
      <c r="B46" s="20" t="s">
        <v>142</v>
      </c>
      <c r="C46" s="14"/>
      <c r="D46" s="19">
        <f>D17-D44</f>
        <v>-113825.67253000001</v>
      </c>
      <c r="E46" s="14"/>
    </row>
    <row r="47" spans="1:5" ht="12.75">
      <c r="A47" s="475" t="s">
        <v>165</v>
      </c>
      <c r="B47" s="20" t="s">
        <v>44</v>
      </c>
      <c r="C47" s="14"/>
      <c r="D47" s="19">
        <f>D9+D46</f>
        <v>-267020.07253</v>
      </c>
      <c r="E47" s="14"/>
    </row>
    <row r="48" spans="1:5" ht="12.75">
      <c r="A48" s="3"/>
      <c r="B48" s="377"/>
      <c r="C48" s="3"/>
      <c r="D48" s="380"/>
      <c r="E48" s="3"/>
    </row>
    <row r="49" spans="1:5" ht="12.75">
      <c r="A49" s="3"/>
      <c r="B49" s="377"/>
      <c r="C49" s="3"/>
      <c r="D49" s="380"/>
      <c r="E49" s="3"/>
    </row>
    <row r="50" spans="1:5" ht="12.75">
      <c r="A50" s="3"/>
      <c r="B50" s="577" t="s">
        <v>30</v>
      </c>
      <c r="C50" s="577"/>
      <c r="D50" s="397" t="s">
        <v>77</v>
      </c>
      <c r="E50" s="3"/>
    </row>
    <row r="51" spans="1:5" ht="12.75">
      <c r="A51" s="1"/>
      <c r="B51" s="1" t="s">
        <v>31</v>
      </c>
      <c r="C51" s="1"/>
      <c r="D51" s="1" t="s">
        <v>26</v>
      </c>
      <c r="E51" s="1"/>
    </row>
  </sheetData>
  <sheetProtection/>
  <mergeCells count="4">
    <mergeCell ref="A5:C5"/>
    <mergeCell ref="D6:E6"/>
    <mergeCell ref="D7:E7"/>
    <mergeCell ref="B50:C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6.00390625" style="0" customWidth="1"/>
    <col min="2" max="2" width="45.625" style="0" customWidth="1"/>
    <col min="3" max="3" width="7.75390625" style="0" customWidth="1"/>
    <col min="4" max="4" width="13.875" style="0" customWidth="1"/>
    <col min="5" max="5" width="11.25390625" style="0" customWidth="1"/>
    <col min="7" max="7" width="17.125" style="0" customWidth="1"/>
    <col min="8" max="8" width="40.875" style="0" customWidth="1"/>
    <col min="15" max="15" width="37.125" style="0" customWidth="1"/>
    <col min="21" max="21" width="45.875" style="0" customWidth="1"/>
    <col min="23" max="23" width="10.37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145</v>
      </c>
    </row>
    <row r="5" ht="12.75">
      <c r="B5" t="s">
        <v>46</v>
      </c>
    </row>
    <row r="6" spans="1:5" ht="12.75">
      <c r="A6" s="569"/>
      <c r="B6" s="569"/>
      <c r="C6" s="569"/>
      <c r="D6" s="315"/>
      <c r="E6" s="316"/>
    </row>
    <row r="7" spans="1:5" ht="12.75">
      <c r="A7" s="317"/>
      <c r="B7" s="317"/>
      <c r="C7" s="317"/>
      <c r="D7" s="318"/>
      <c r="E7" s="319"/>
    </row>
    <row r="8" spans="1:5" ht="15.75">
      <c r="A8" s="317"/>
      <c r="B8" s="320" t="s">
        <v>1</v>
      </c>
      <c r="C8" s="321" t="s">
        <v>3</v>
      </c>
      <c r="D8" s="570" t="s">
        <v>4</v>
      </c>
      <c r="E8" s="571"/>
    </row>
    <row r="9" spans="1:5" ht="15.75">
      <c r="A9" s="322"/>
      <c r="B9" s="320" t="s">
        <v>2</v>
      </c>
      <c r="C9" s="321" t="s">
        <v>33</v>
      </c>
      <c r="D9" s="572" t="s">
        <v>146</v>
      </c>
      <c r="E9" s="573"/>
    </row>
    <row r="10" spans="1:5" ht="12.75">
      <c r="A10" s="323"/>
      <c r="B10" s="323"/>
      <c r="C10" s="323"/>
      <c r="D10" s="324"/>
      <c r="E10" s="325"/>
    </row>
    <row r="11" spans="1:5" ht="12.75">
      <c r="A11" s="323"/>
      <c r="B11" s="338" t="s">
        <v>70</v>
      </c>
      <c r="C11" s="323"/>
      <c r="D11" s="324">
        <v>-48123.48</v>
      </c>
      <c r="E11" s="325"/>
    </row>
    <row r="12" spans="1:5" ht="12.75">
      <c r="A12" s="326"/>
      <c r="B12" s="327" t="s">
        <v>5</v>
      </c>
      <c r="C12" s="326" t="s">
        <v>34</v>
      </c>
      <c r="D12" s="326">
        <v>1542</v>
      </c>
      <c r="E12" s="326"/>
    </row>
    <row r="13" spans="1:5" ht="12.75">
      <c r="A13" s="326"/>
      <c r="B13" s="327" t="s">
        <v>6</v>
      </c>
      <c r="C13" s="326" t="s">
        <v>34</v>
      </c>
      <c r="D13" s="326">
        <v>636.69</v>
      </c>
      <c r="E13" s="326"/>
    </row>
    <row r="14" spans="1:5" ht="12.75">
      <c r="A14" s="326"/>
      <c r="B14" s="328" t="s">
        <v>27</v>
      </c>
      <c r="C14" s="326" t="s">
        <v>9</v>
      </c>
      <c r="D14" s="326">
        <v>48735.72</v>
      </c>
      <c r="E14" s="326"/>
    </row>
    <row r="15" spans="1:5" ht="12.75">
      <c r="A15" s="326"/>
      <c r="B15" s="326"/>
      <c r="C15" s="326"/>
      <c r="D15" s="326"/>
      <c r="E15" s="326"/>
    </row>
    <row r="16" spans="1:5" ht="15.75">
      <c r="A16" s="326"/>
      <c r="B16" s="330" t="s">
        <v>7</v>
      </c>
      <c r="C16" s="326"/>
      <c r="D16" s="326"/>
      <c r="E16" s="326"/>
    </row>
    <row r="17" spans="1:5" ht="12.75">
      <c r="A17" s="326">
        <v>1</v>
      </c>
      <c r="B17" s="326" t="s">
        <v>8</v>
      </c>
      <c r="C17" s="326" t="s">
        <v>9</v>
      </c>
      <c r="D17" s="326">
        <v>50198.56</v>
      </c>
      <c r="E17" s="326"/>
    </row>
    <row r="18" spans="1:5" ht="12.75">
      <c r="A18" s="326"/>
      <c r="B18" s="326"/>
      <c r="C18" s="326"/>
      <c r="D18" s="326"/>
      <c r="E18" s="326"/>
    </row>
    <row r="19" spans="1:5" ht="15.75">
      <c r="A19" s="326"/>
      <c r="B19" s="330" t="s">
        <v>10</v>
      </c>
      <c r="C19" s="326"/>
      <c r="D19" s="329">
        <f>D17</f>
        <v>50198.56</v>
      </c>
      <c r="E19" s="326"/>
    </row>
    <row r="20" spans="1:5" ht="15.75">
      <c r="A20" s="326"/>
      <c r="B20" s="330"/>
      <c r="C20" s="326"/>
      <c r="D20" s="329"/>
      <c r="E20" s="326"/>
    </row>
    <row r="21" spans="1:5" ht="15.75">
      <c r="A21" s="14"/>
      <c r="B21" s="17" t="s">
        <v>57</v>
      </c>
      <c r="C21" s="14"/>
      <c r="D21" s="20"/>
      <c r="E21" s="49"/>
    </row>
    <row r="22" spans="1:5" ht="12.75">
      <c r="A22" s="358" t="s">
        <v>58</v>
      </c>
      <c r="B22" s="16" t="s">
        <v>59</v>
      </c>
      <c r="C22" s="14"/>
      <c r="D22" s="19">
        <f>D23+D25+D24</f>
        <v>28475.4912</v>
      </c>
      <c r="E22" s="19"/>
    </row>
    <row r="23" spans="1:5" ht="12.75">
      <c r="A23" s="22">
        <v>1</v>
      </c>
      <c r="B23" s="22" t="s">
        <v>11</v>
      </c>
      <c r="C23" s="22" t="s">
        <v>9</v>
      </c>
      <c r="D23" s="22">
        <v>22980.6</v>
      </c>
      <c r="E23" s="21"/>
    </row>
    <row r="24" spans="1:5" ht="12.75">
      <c r="A24" s="14">
        <v>2</v>
      </c>
      <c r="B24" s="22" t="s">
        <v>136</v>
      </c>
      <c r="C24" s="14"/>
      <c r="D24" s="18">
        <f>D23*20.2%</f>
        <v>4642.0812</v>
      </c>
      <c r="E24" s="18"/>
    </row>
    <row r="25" spans="1:5" ht="12.75">
      <c r="A25" s="14">
        <v>3</v>
      </c>
      <c r="B25" s="352" t="s">
        <v>15</v>
      </c>
      <c r="C25" s="14"/>
      <c r="D25" s="14">
        <v>852.81</v>
      </c>
      <c r="E25" s="18"/>
    </row>
    <row r="26" spans="1:5" ht="12.75">
      <c r="A26" s="358" t="s">
        <v>61</v>
      </c>
      <c r="B26" s="359" t="s">
        <v>60</v>
      </c>
      <c r="C26" s="14"/>
      <c r="D26" s="19">
        <f>D27+D29+D28</f>
        <v>20189.77794</v>
      </c>
      <c r="E26" s="19"/>
    </row>
    <row r="27" spans="1:5" ht="12.75">
      <c r="A27" s="14">
        <v>1</v>
      </c>
      <c r="B27" s="22" t="s">
        <v>144</v>
      </c>
      <c r="C27" s="14"/>
      <c r="D27" s="22">
        <v>15561.97</v>
      </c>
      <c r="E27" s="18"/>
    </row>
    <row r="28" spans="1:5" ht="12.75">
      <c r="A28" s="14">
        <v>2</v>
      </c>
      <c r="B28" s="22" t="s">
        <v>136</v>
      </c>
      <c r="C28" s="14"/>
      <c r="D28" s="21">
        <f>D27*20.2%</f>
        <v>3143.5179399999997</v>
      </c>
      <c r="E28" s="18"/>
    </row>
    <row r="29" spans="1:5" ht="12.75">
      <c r="A29" s="14">
        <v>3</v>
      </c>
      <c r="B29" s="22" t="s">
        <v>15</v>
      </c>
      <c r="C29" s="14"/>
      <c r="D29" s="22">
        <v>1484.29</v>
      </c>
      <c r="E29" s="14"/>
    </row>
    <row r="30" spans="1:5" ht="12.75">
      <c r="A30" s="358" t="s">
        <v>62</v>
      </c>
      <c r="B30" s="20" t="s">
        <v>16</v>
      </c>
      <c r="C30" s="14"/>
      <c r="D30" s="19">
        <f>D31+D32+D33+D34+D35+D36+D37+D38+D39</f>
        <v>16715.322320000003</v>
      </c>
      <c r="E30" s="19"/>
    </row>
    <row r="31" spans="1:5" ht="12.75">
      <c r="A31" s="14"/>
      <c r="B31" s="14" t="s">
        <v>17</v>
      </c>
      <c r="C31" s="14"/>
      <c r="D31" s="18">
        <f>D19*4.7%</f>
        <v>2359.33232</v>
      </c>
      <c r="E31" s="14"/>
    </row>
    <row r="32" spans="1:5" ht="12.75">
      <c r="A32" s="14"/>
      <c r="B32" s="14" t="s">
        <v>18</v>
      </c>
      <c r="C32" s="14"/>
      <c r="D32" s="14">
        <v>665.39</v>
      </c>
      <c r="E32" s="14"/>
    </row>
    <row r="33" spans="1:5" ht="12.75">
      <c r="A33" s="14"/>
      <c r="B33" s="14" t="s">
        <v>19</v>
      </c>
      <c r="C33" s="14"/>
      <c r="D33" s="14">
        <v>1177.39</v>
      </c>
      <c r="E33" s="14"/>
    </row>
    <row r="34" spans="1:5" ht="12.75">
      <c r="A34" s="14"/>
      <c r="B34" s="14" t="s">
        <v>20</v>
      </c>
      <c r="C34" s="14"/>
      <c r="D34" s="21">
        <v>2010.19</v>
      </c>
      <c r="E34" s="18"/>
    </row>
    <row r="35" spans="1:5" ht="12.75">
      <c r="A35" s="14"/>
      <c r="B35" s="352" t="s">
        <v>54</v>
      </c>
      <c r="C35" s="14"/>
      <c r="D35" s="21">
        <v>9015.55</v>
      </c>
      <c r="E35" s="18"/>
    </row>
    <row r="36" spans="1:5" ht="12.75">
      <c r="A36" s="14"/>
      <c r="B36" s="22" t="s">
        <v>28</v>
      </c>
      <c r="C36" s="14"/>
      <c r="D36" s="21">
        <v>333.6</v>
      </c>
      <c r="E36" s="18"/>
    </row>
    <row r="37" spans="1:5" ht="12.75">
      <c r="A37" s="14"/>
      <c r="B37" s="22" t="s">
        <v>141</v>
      </c>
      <c r="C37" s="14"/>
      <c r="D37" s="21">
        <v>200</v>
      </c>
      <c r="E37" s="18"/>
    </row>
    <row r="38" spans="1:7" ht="12.75">
      <c r="A38" s="14"/>
      <c r="B38" s="352" t="s">
        <v>55</v>
      </c>
      <c r="C38" s="14"/>
      <c r="D38" s="22">
        <v>259.04</v>
      </c>
      <c r="E38" s="14"/>
      <c r="G38" s="465"/>
    </row>
    <row r="39" spans="1:5" ht="12.75">
      <c r="A39" s="14"/>
      <c r="B39" s="22" t="s">
        <v>21</v>
      </c>
      <c r="C39" s="14"/>
      <c r="D39" s="14">
        <v>694.83</v>
      </c>
      <c r="E39" s="14"/>
    </row>
    <row r="40" spans="1:5" ht="12.75">
      <c r="A40" s="475" t="s">
        <v>64</v>
      </c>
      <c r="B40" s="20" t="s">
        <v>74</v>
      </c>
      <c r="C40" s="20"/>
      <c r="D40" s="20">
        <v>9015.55</v>
      </c>
      <c r="E40" s="14"/>
    </row>
    <row r="41" spans="1:5" ht="12.75">
      <c r="A41" s="475" t="s">
        <v>65</v>
      </c>
      <c r="B41" s="20" t="s">
        <v>22</v>
      </c>
      <c r="C41" s="14"/>
      <c r="D41" s="19">
        <v>15428.97</v>
      </c>
      <c r="E41" s="19"/>
    </row>
    <row r="42" spans="1:5" ht="12.75">
      <c r="A42" s="475" t="s">
        <v>66</v>
      </c>
      <c r="B42" s="20" t="s">
        <v>23</v>
      </c>
      <c r="C42" s="14"/>
      <c r="D42" s="19">
        <f>D22+D26+D30+D40+D41</f>
        <v>89825.11146000001</v>
      </c>
      <c r="E42" s="14"/>
    </row>
    <row r="43" spans="1:5" ht="12.75">
      <c r="A43" s="475" t="s">
        <v>67</v>
      </c>
      <c r="B43" s="14" t="s">
        <v>32</v>
      </c>
      <c r="C43" s="14"/>
      <c r="D43" s="19">
        <f>D19*6%</f>
        <v>3011.9136</v>
      </c>
      <c r="E43" s="14"/>
    </row>
    <row r="44" spans="1:5" ht="12.75">
      <c r="A44" s="475" t="s">
        <v>68</v>
      </c>
      <c r="B44" s="20" t="s">
        <v>24</v>
      </c>
      <c r="C44" s="14"/>
      <c r="D44" s="19">
        <f>D42+D43</f>
        <v>92837.02506000001</v>
      </c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475" t="s">
        <v>69</v>
      </c>
      <c r="B46" s="20" t="s">
        <v>133</v>
      </c>
      <c r="C46" s="14"/>
      <c r="D46" s="19">
        <f>D19-D44</f>
        <v>-42638.46506000002</v>
      </c>
      <c r="E46" s="14"/>
    </row>
    <row r="47" spans="1:5" ht="12.75">
      <c r="A47" s="475" t="s">
        <v>165</v>
      </c>
      <c r="B47" s="20" t="s">
        <v>44</v>
      </c>
      <c r="C47" s="14"/>
      <c r="D47" s="19">
        <f>D11+D46</f>
        <v>-90761.94506000003</v>
      </c>
      <c r="E47" s="14"/>
    </row>
    <row r="48" spans="1:5" ht="12.75">
      <c r="A48" s="3"/>
      <c r="B48" s="377"/>
      <c r="C48" s="3"/>
      <c r="D48" s="380"/>
      <c r="E48" s="3"/>
    </row>
    <row r="49" spans="1:5" ht="12.75">
      <c r="A49" s="3"/>
      <c r="B49" s="377"/>
      <c r="C49" s="3"/>
      <c r="D49" s="380"/>
      <c r="E49" s="3"/>
    </row>
    <row r="50" spans="1:5" ht="12.75">
      <c r="A50" s="1"/>
      <c r="B50" s="1" t="s">
        <v>30</v>
      </c>
      <c r="C50" s="1"/>
      <c r="D50" s="1" t="s">
        <v>0</v>
      </c>
      <c r="E50" s="1"/>
    </row>
    <row r="51" spans="1:5" ht="12.75">
      <c r="A51" s="1"/>
      <c r="B51" s="1" t="s">
        <v>31</v>
      </c>
      <c r="C51" s="1"/>
      <c r="D51" s="1" t="s">
        <v>26</v>
      </c>
      <c r="E51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G1" sqref="G1:I20"/>
    </sheetView>
  </sheetViews>
  <sheetFormatPr defaultColWidth="9.00390625" defaultRowHeight="12.75"/>
  <cols>
    <col min="1" max="1" width="5.75390625" style="0" customWidth="1"/>
    <col min="2" max="2" width="41.625" style="0" customWidth="1"/>
    <col min="3" max="3" width="7.25390625" style="0" customWidth="1"/>
    <col min="4" max="4" width="10.625" style="0" customWidth="1"/>
    <col min="5" max="5" width="10.875" style="0" customWidth="1"/>
    <col min="6" max="6" width="9.625" style="0" bestFit="1" customWidth="1"/>
    <col min="7" max="7" width="16.00390625" style="0" customWidth="1"/>
    <col min="8" max="8" width="11.875" style="0" customWidth="1"/>
    <col min="9" max="11" width="10.375" style="0" customWidth="1"/>
    <col min="13" max="13" width="6.125" style="0" customWidth="1"/>
    <col min="14" max="14" width="42.25390625" style="0" customWidth="1"/>
    <col min="16" max="16" width="11.00390625" style="0" customWidth="1"/>
    <col min="19" max="19" width="6.125" style="0" customWidth="1"/>
    <col min="20" max="20" width="41.00390625" style="0" customWidth="1"/>
    <col min="22" max="22" width="11.75390625" style="0" customWidth="1"/>
  </cols>
  <sheetData>
    <row r="2" spans="1:5" ht="15.75">
      <c r="A2" s="24"/>
      <c r="B2" s="25" t="s">
        <v>25</v>
      </c>
      <c r="C2" s="24"/>
      <c r="D2" s="24"/>
      <c r="E2" s="24"/>
    </row>
    <row r="3" spans="1:5" ht="12.75">
      <c r="A3" s="24"/>
      <c r="B3" s="24" t="s">
        <v>29</v>
      </c>
      <c r="C3" s="24"/>
      <c r="D3" s="24"/>
      <c r="E3" s="24"/>
    </row>
    <row r="4" spans="1:5" ht="12.75">
      <c r="A4" s="24"/>
      <c r="B4" s="398" t="s">
        <v>181</v>
      </c>
      <c r="C4" s="24"/>
      <c r="D4" s="24"/>
      <c r="E4" s="24"/>
    </row>
    <row r="5" spans="1:5" ht="12.75">
      <c r="A5" s="24"/>
      <c r="B5" s="398"/>
      <c r="C5" s="24"/>
      <c r="D5" s="24"/>
      <c r="E5" s="24"/>
    </row>
    <row r="6" spans="1:5" ht="12.75">
      <c r="A6" s="24"/>
      <c r="B6" s="24" t="s">
        <v>39</v>
      </c>
      <c r="C6" s="24"/>
      <c r="D6" s="24"/>
      <c r="E6" s="24"/>
    </row>
    <row r="7" spans="1:5" ht="15.75">
      <c r="A7" s="375"/>
      <c r="B7" s="433" t="s">
        <v>1</v>
      </c>
      <c r="C7" s="434" t="s">
        <v>3</v>
      </c>
      <c r="D7" s="486" t="s">
        <v>4</v>
      </c>
      <c r="E7" s="487"/>
    </row>
    <row r="8" spans="1:5" ht="15.75">
      <c r="A8" s="28"/>
      <c r="B8" s="26" t="s">
        <v>2</v>
      </c>
      <c r="C8" s="27" t="s">
        <v>33</v>
      </c>
      <c r="D8" s="488" t="s">
        <v>106</v>
      </c>
      <c r="E8" s="489"/>
    </row>
    <row r="9" spans="1:5" ht="12.75">
      <c r="A9" s="32"/>
      <c r="B9" s="33" t="s">
        <v>102</v>
      </c>
      <c r="C9" s="32"/>
      <c r="D9" s="435">
        <f>-654573.28+289828.3</f>
        <v>-364744.98000000004</v>
      </c>
      <c r="E9" s="436"/>
    </row>
    <row r="10" spans="1:5" ht="12.75">
      <c r="A10" s="29"/>
      <c r="B10" s="361" t="s">
        <v>85</v>
      </c>
      <c r="C10" s="29"/>
      <c r="D10" s="30">
        <v>172448.03</v>
      </c>
      <c r="E10" s="31"/>
    </row>
    <row r="11" spans="1:5" ht="12.75">
      <c r="A11" s="32"/>
      <c r="B11" s="33" t="s">
        <v>5</v>
      </c>
      <c r="C11" s="32" t="s">
        <v>34</v>
      </c>
      <c r="D11" s="32">
        <v>11857</v>
      </c>
      <c r="E11" s="32"/>
    </row>
    <row r="12" spans="1:5" ht="12.75">
      <c r="A12" s="32"/>
      <c r="B12" s="33" t="s">
        <v>6</v>
      </c>
      <c r="C12" s="32" t="s">
        <v>34</v>
      </c>
      <c r="D12" s="32">
        <v>8903.2</v>
      </c>
      <c r="E12" s="32"/>
    </row>
    <row r="13" spans="1:5" ht="12.75">
      <c r="A13" s="32"/>
      <c r="B13" s="34" t="s">
        <v>27</v>
      </c>
      <c r="C13" s="32" t="s">
        <v>9</v>
      </c>
      <c r="D13" s="32">
        <f>1092746+314932.5</f>
        <v>1407678.5</v>
      </c>
      <c r="E13" s="32"/>
    </row>
    <row r="14" spans="1:5" ht="12.75">
      <c r="A14" s="32"/>
      <c r="B14" s="32"/>
      <c r="C14" s="32"/>
      <c r="D14" s="32"/>
      <c r="E14" s="32"/>
    </row>
    <row r="15" spans="1:5" ht="15.75">
      <c r="A15" s="32"/>
      <c r="B15" s="35" t="s">
        <v>7</v>
      </c>
      <c r="C15" s="32"/>
      <c r="D15" s="32"/>
      <c r="E15" s="32"/>
    </row>
    <row r="16" spans="1:5" ht="12.75">
      <c r="A16" s="32">
        <v>1</v>
      </c>
      <c r="B16" s="32" t="s">
        <v>8</v>
      </c>
      <c r="C16" s="32" t="s">
        <v>9</v>
      </c>
      <c r="D16" s="32">
        <v>1046171.01</v>
      </c>
      <c r="E16" s="32"/>
    </row>
    <row r="17" spans="1:5" ht="12.75">
      <c r="A17" s="32">
        <v>2</v>
      </c>
      <c r="B17" s="32" t="s">
        <v>74</v>
      </c>
      <c r="C17" s="32"/>
      <c r="D17" s="32">
        <v>292429.08</v>
      </c>
      <c r="E17" s="32"/>
    </row>
    <row r="18" spans="1:5" ht="12.75">
      <c r="A18" s="32">
        <v>3</v>
      </c>
      <c r="B18" s="32" t="s">
        <v>84</v>
      </c>
      <c r="C18" s="32"/>
      <c r="D18" s="32">
        <v>12000</v>
      </c>
      <c r="E18" s="32"/>
    </row>
    <row r="19" spans="1:5" ht="15.75">
      <c r="A19" s="32"/>
      <c r="B19" s="35" t="s">
        <v>10</v>
      </c>
      <c r="C19" s="32"/>
      <c r="D19" s="36">
        <f>D16+D17+D18</f>
        <v>1350600.09</v>
      </c>
      <c r="E19" s="32"/>
    </row>
    <row r="20" spans="1:5" ht="15.75">
      <c r="A20" s="32"/>
      <c r="B20" s="35"/>
      <c r="C20" s="32"/>
      <c r="D20" s="36"/>
      <c r="E20" s="32"/>
    </row>
    <row r="21" spans="1:5" ht="15.75">
      <c r="A21" s="14"/>
      <c r="B21" s="17" t="s">
        <v>57</v>
      </c>
      <c r="C21" s="14"/>
      <c r="D21" s="20"/>
      <c r="E21" s="32"/>
    </row>
    <row r="22" spans="1:5" ht="12.75">
      <c r="A22" s="358" t="s">
        <v>58</v>
      </c>
      <c r="B22" s="16" t="s">
        <v>59</v>
      </c>
      <c r="C22" s="14"/>
      <c r="D22" s="19">
        <f>D23+D27+D31+D30+D28+D29</f>
        <v>544855.3188799999</v>
      </c>
      <c r="E22" s="32"/>
    </row>
    <row r="23" spans="1:5" ht="12.75">
      <c r="A23" s="14">
        <v>1</v>
      </c>
      <c r="B23" s="22" t="s">
        <v>11</v>
      </c>
      <c r="C23" s="22" t="s">
        <v>9</v>
      </c>
      <c r="D23" s="21">
        <f>D24+D25+D26</f>
        <v>433425.43999999994</v>
      </c>
      <c r="E23" s="32"/>
    </row>
    <row r="24" spans="1:5" ht="12.75">
      <c r="A24" s="14"/>
      <c r="B24" s="14" t="s">
        <v>12</v>
      </c>
      <c r="C24" s="14"/>
      <c r="D24" s="14">
        <v>123570.86</v>
      </c>
      <c r="E24" s="32"/>
    </row>
    <row r="25" spans="1:5" ht="12.75">
      <c r="A25" s="14"/>
      <c r="B25" s="14" t="s">
        <v>13</v>
      </c>
      <c r="C25" s="14"/>
      <c r="D25" s="353">
        <v>173209.56</v>
      </c>
      <c r="E25" s="32"/>
    </row>
    <row r="26" spans="1:5" ht="12.75">
      <c r="A26" s="14"/>
      <c r="B26" s="14" t="s">
        <v>14</v>
      </c>
      <c r="C26" s="14"/>
      <c r="D26" s="14">
        <v>136645.02</v>
      </c>
      <c r="E26" s="32"/>
    </row>
    <row r="27" spans="1:5" ht="12.75">
      <c r="A27" s="14">
        <v>2</v>
      </c>
      <c r="B27" s="22" t="s">
        <v>136</v>
      </c>
      <c r="C27" s="14"/>
      <c r="D27" s="18">
        <f>D23*20.2%</f>
        <v>87551.93887999999</v>
      </c>
      <c r="E27" s="32"/>
    </row>
    <row r="28" spans="1:5" ht="12.75">
      <c r="A28" s="14">
        <v>3</v>
      </c>
      <c r="B28" s="22" t="s">
        <v>143</v>
      </c>
      <c r="C28" s="14"/>
      <c r="D28" s="14">
        <v>7511.25</v>
      </c>
      <c r="E28" s="32"/>
    </row>
    <row r="29" spans="1:5" ht="12.75">
      <c r="A29" s="14">
        <v>4</v>
      </c>
      <c r="B29" s="22" t="s">
        <v>156</v>
      </c>
      <c r="C29" s="14"/>
      <c r="D29" s="14">
        <v>125</v>
      </c>
      <c r="E29" s="32"/>
    </row>
    <row r="30" spans="1:5" ht="12.75">
      <c r="A30" s="14">
        <v>5</v>
      </c>
      <c r="B30" s="22" t="s">
        <v>157</v>
      </c>
      <c r="C30" s="14"/>
      <c r="D30" s="14">
        <v>371</v>
      </c>
      <c r="E30" s="32"/>
    </row>
    <row r="31" spans="1:5" ht="12.75">
      <c r="A31" s="14">
        <v>6</v>
      </c>
      <c r="B31" s="352" t="s">
        <v>15</v>
      </c>
      <c r="C31" s="14"/>
      <c r="D31" s="14">
        <v>15870.69</v>
      </c>
      <c r="E31" s="32"/>
    </row>
    <row r="32" spans="1:5" ht="12.75">
      <c r="A32" s="358" t="s">
        <v>61</v>
      </c>
      <c r="B32" s="359" t="s">
        <v>60</v>
      </c>
      <c r="C32" s="14"/>
      <c r="D32" s="19">
        <f>D33+D34+D35+D36</f>
        <v>273541.1937</v>
      </c>
      <c r="E32" s="32"/>
    </row>
    <row r="33" spans="1:5" ht="12.75">
      <c r="A33" s="14">
        <v>1</v>
      </c>
      <c r="B33" s="22" t="s">
        <v>95</v>
      </c>
      <c r="C33" s="14"/>
      <c r="D33" s="22">
        <v>217611.85</v>
      </c>
      <c r="E33" s="32"/>
    </row>
    <row r="34" spans="1:7" ht="12.75">
      <c r="A34" s="14">
        <v>2</v>
      </c>
      <c r="B34" s="22" t="s">
        <v>136</v>
      </c>
      <c r="C34" s="14"/>
      <c r="D34" s="21">
        <f>D33*20.2%</f>
        <v>43957.5937</v>
      </c>
      <c r="E34" s="32"/>
      <c r="G34" s="465">
        <v>0.24</v>
      </c>
    </row>
    <row r="35" spans="1:10" ht="12.75">
      <c r="A35" s="14">
        <v>3</v>
      </c>
      <c r="B35" s="22" t="s">
        <v>15</v>
      </c>
      <c r="C35" s="14"/>
      <c r="D35" s="21">
        <v>3814.75</v>
      </c>
      <c r="E35" s="32"/>
      <c r="G35">
        <f>D19*24%</f>
        <v>324144.02160000004</v>
      </c>
      <c r="J35" s="437"/>
    </row>
    <row r="36" spans="1:5" ht="12.75">
      <c r="A36" s="14">
        <v>4</v>
      </c>
      <c r="B36" s="22" t="s">
        <v>83</v>
      </c>
      <c r="C36" s="14"/>
      <c r="D36" s="21">
        <v>8157</v>
      </c>
      <c r="E36" s="14"/>
    </row>
    <row r="37" spans="1:5" ht="12.75">
      <c r="A37" s="358" t="s">
        <v>62</v>
      </c>
      <c r="B37" s="20" t="s">
        <v>16</v>
      </c>
      <c r="C37" s="14"/>
      <c r="D37" s="19">
        <f>D38+D39+D40+D41+D42+D43+D44+D45</f>
        <v>104415.47270000001</v>
      </c>
      <c r="E37" s="19"/>
    </row>
    <row r="38" spans="1:5" ht="12.75">
      <c r="A38" s="14"/>
      <c r="B38" s="14" t="s">
        <v>17</v>
      </c>
      <c r="C38" s="14"/>
      <c r="D38" s="18">
        <f>D19*3%</f>
        <v>40518.002700000005</v>
      </c>
      <c r="E38" s="14"/>
    </row>
    <row r="39" spans="1:5" ht="12.75">
      <c r="A39" s="14"/>
      <c r="B39" s="14" t="s">
        <v>18</v>
      </c>
      <c r="C39" s="14"/>
      <c r="D39" s="14">
        <v>6611.11</v>
      </c>
      <c r="E39" s="14"/>
    </row>
    <row r="40" spans="1:5" ht="12.75">
      <c r="A40" s="14"/>
      <c r="B40" s="14" t="s">
        <v>19</v>
      </c>
      <c r="C40" s="14"/>
      <c r="D40" s="14">
        <v>14378.83</v>
      </c>
      <c r="E40" s="14"/>
    </row>
    <row r="41" spans="1:5" ht="12.75">
      <c r="A41" s="14"/>
      <c r="B41" s="14" t="s">
        <v>20</v>
      </c>
      <c r="C41" s="14"/>
      <c r="D41" s="18">
        <v>28109.62</v>
      </c>
      <c r="E41" s="18"/>
    </row>
    <row r="42" spans="1:5" ht="12.75">
      <c r="A42" s="14"/>
      <c r="B42" s="22" t="s">
        <v>141</v>
      </c>
      <c r="C42" s="14"/>
      <c r="D42" s="14">
        <v>835</v>
      </c>
      <c r="E42" s="14"/>
    </row>
    <row r="43" spans="1:5" ht="12.75">
      <c r="A43" s="14"/>
      <c r="B43" s="22" t="s">
        <v>28</v>
      </c>
      <c r="C43" s="14"/>
      <c r="D43" s="14">
        <v>624.83</v>
      </c>
      <c r="E43" s="14"/>
    </row>
    <row r="44" spans="1:5" ht="12.75">
      <c r="A44" s="14"/>
      <c r="B44" s="352" t="s">
        <v>55</v>
      </c>
      <c r="C44" s="14"/>
      <c r="D44" s="14">
        <v>3622.2</v>
      </c>
      <c r="E44" s="14"/>
    </row>
    <row r="45" spans="1:5" ht="12.75">
      <c r="A45" s="14"/>
      <c r="B45" s="14" t="s">
        <v>21</v>
      </c>
      <c r="C45" s="14"/>
      <c r="D45" s="14">
        <v>9715.88</v>
      </c>
      <c r="E45" s="14"/>
    </row>
    <row r="46" spans="1:5" ht="12.75">
      <c r="A46" s="475" t="s">
        <v>64</v>
      </c>
      <c r="B46" s="20" t="s">
        <v>92</v>
      </c>
      <c r="C46" s="14"/>
      <c r="D46" s="19">
        <v>215751.86</v>
      </c>
      <c r="E46" s="19"/>
    </row>
    <row r="47" spans="1:5" ht="12.75">
      <c r="A47" s="475" t="s">
        <v>65</v>
      </c>
      <c r="B47" s="20" t="s">
        <v>23</v>
      </c>
      <c r="C47" s="14"/>
      <c r="D47" s="19">
        <f>D22+D32+D37+D46</f>
        <v>1138563.84528</v>
      </c>
      <c r="E47" s="14"/>
    </row>
    <row r="48" spans="1:5" ht="12.75">
      <c r="A48" s="475" t="s">
        <v>66</v>
      </c>
      <c r="B48" s="14" t="s">
        <v>32</v>
      </c>
      <c r="C48" s="14"/>
      <c r="D48" s="19">
        <f>D19*6%</f>
        <v>81036.00540000001</v>
      </c>
      <c r="E48" s="14"/>
    </row>
    <row r="49" spans="1:5" ht="12.75">
      <c r="A49" s="475" t="s">
        <v>67</v>
      </c>
      <c r="B49" s="20" t="s">
        <v>24</v>
      </c>
      <c r="C49" s="14"/>
      <c r="D49" s="19">
        <f>D47+D48</f>
        <v>1219599.85068</v>
      </c>
      <c r="E49" s="14"/>
    </row>
    <row r="50" spans="1:5" ht="12.75">
      <c r="A50" s="14"/>
      <c r="B50" s="14"/>
      <c r="C50" s="14"/>
      <c r="D50" s="14"/>
      <c r="E50" s="14"/>
    </row>
    <row r="51" spans="1:5" ht="12.75">
      <c r="A51" s="475" t="s">
        <v>68</v>
      </c>
      <c r="B51" s="20" t="s">
        <v>142</v>
      </c>
      <c r="C51" s="14"/>
      <c r="D51" s="19">
        <f>(D16+D18)-D49+31289.91</f>
        <v>-130138.9306799999</v>
      </c>
      <c r="E51" s="14"/>
    </row>
    <row r="52" spans="1:5" ht="12.75">
      <c r="A52" s="475" t="s">
        <v>69</v>
      </c>
      <c r="B52" s="20" t="s">
        <v>44</v>
      </c>
      <c r="C52" s="14"/>
      <c r="D52" s="19">
        <f>D9+D51</f>
        <v>-494883.91068</v>
      </c>
      <c r="E52" s="14"/>
    </row>
    <row r="53" spans="1:5" ht="12.75">
      <c r="A53" s="476"/>
      <c r="B53" s="377"/>
      <c r="C53" s="3"/>
      <c r="D53" s="380"/>
      <c r="E53" s="3"/>
    </row>
    <row r="54" spans="1:5" ht="12.75">
      <c r="A54" s="476"/>
      <c r="B54" s="377"/>
      <c r="C54" s="3"/>
      <c r="D54" s="380"/>
      <c r="E54" s="3"/>
    </row>
    <row r="55" spans="1:5" ht="12.75">
      <c r="A55" s="476"/>
      <c r="B55" s="377"/>
      <c r="C55" s="3"/>
      <c r="D55" s="380"/>
      <c r="E55" s="3"/>
    </row>
    <row r="56" spans="1:6" ht="12.75">
      <c r="A56" s="3"/>
      <c r="B56" s="377" t="s">
        <v>74</v>
      </c>
      <c r="C56" s="3"/>
      <c r="D56" s="380">
        <f>D17+D10-31289.91</f>
        <v>433587.2</v>
      </c>
      <c r="E56" s="3"/>
      <c r="F56" s="382"/>
    </row>
    <row r="57" spans="1:5" ht="12.75">
      <c r="A57" s="3"/>
      <c r="B57" s="377" t="s">
        <v>109</v>
      </c>
      <c r="C57" s="3"/>
      <c r="D57" s="380">
        <f>42292.44+37431.27+3000</f>
        <v>82723.70999999999</v>
      </c>
      <c r="E57" s="3"/>
    </row>
    <row r="58" spans="1:5" ht="12.75">
      <c r="A58" s="3"/>
      <c r="B58" s="377" t="s">
        <v>93</v>
      </c>
      <c r="C58" s="3"/>
      <c r="D58" s="380">
        <f>D56-D57</f>
        <v>350863.49</v>
      </c>
      <c r="E58" s="3"/>
    </row>
    <row r="59" spans="1:5" ht="12.75">
      <c r="A59" s="3"/>
      <c r="B59" s="377"/>
      <c r="C59" s="3"/>
      <c r="D59" s="380"/>
      <c r="E59" s="3"/>
    </row>
    <row r="60" spans="1:5" ht="12.75">
      <c r="A60" s="1"/>
      <c r="B60" s="1" t="s">
        <v>30</v>
      </c>
      <c r="C60" s="1"/>
      <c r="D60" s="1" t="s">
        <v>0</v>
      </c>
      <c r="E60" s="1"/>
    </row>
    <row r="61" spans="1:5" ht="12.75">
      <c r="A61" s="1"/>
      <c r="B61" s="1" t="s">
        <v>31</v>
      </c>
      <c r="C61" s="1"/>
      <c r="D61" s="1" t="s">
        <v>26</v>
      </c>
      <c r="E61" s="1"/>
    </row>
  </sheetData>
  <sheetProtection/>
  <mergeCells count="2">
    <mergeCell ref="D7:E7"/>
    <mergeCell ref="D8:E8"/>
  </mergeCells>
  <printOptions/>
  <pageMargins left="0.7" right="0.7" top="0.75" bottom="0.75" header="0.3" footer="0.3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G25" sqref="G25:G36"/>
    </sheetView>
  </sheetViews>
  <sheetFormatPr defaultColWidth="9.00390625" defaultRowHeight="12.75"/>
  <cols>
    <col min="1" max="1" width="5.875" style="0" customWidth="1"/>
    <col min="2" max="2" width="48.375" style="0" customWidth="1"/>
    <col min="3" max="3" width="6.25390625" style="0" customWidth="1"/>
    <col min="4" max="4" width="12.625" style="0" customWidth="1"/>
    <col min="5" max="5" width="10.75390625" style="0" customWidth="1"/>
    <col min="6" max="6" width="9.625" style="0" bestFit="1" customWidth="1"/>
    <col min="7" max="7" width="10.75390625" style="0" customWidth="1"/>
    <col min="8" max="8" width="17.625" style="0" customWidth="1"/>
    <col min="10" max="10" width="9.625" style="0" bestFit="1" customWidth="1"/>
    <col min="13" max="13" width="5.625" style="0" customWidth="1"/>
    <col min="15" max="15" width="38.875" style="0" customWidth="1"/>
    <col min="17" max="17" width="10.125" style="0" customWidth="1"/>
    <col min="19" max="19" width="3.625" style="0" customWidth="1"/>
    <col min="20" max="20" width="6.125" style="0" customWidth="1"/>
    <col min="21" max="21" width="50.625" style="0" customWidth="1"/>
    <col min="23" max="23" width="12.62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147</v>
      </c>
    </row>
    <row r="5" spans="1:5" ht="12.75">
      <c r="A5" s="569"/>
      <c r="B5" s="569"/>
      <c r="C5" s="569"/>
      <c r="D5" s="315"/>
      <c r="E5" s="316"/>
    </row>
    <row r="6" spans="1:5" ht="12.75">
      <c r="A6" s="317"/>
      <c r="B6" s="317"/>
      <c r="C6" s="317"/>
      <c r="D6" s="351"/>
      <c r="E6" s="319"/>
    </row>
    <row r="7" spans="1:5" ht="15.75">
      <c r="A7" s="317"/>
      <c r="B7" s="320" t="s">
        <v>1</v>
      </c>
      <c r="C7" s="321" t="s">
        <v>3</v>
      </c>
      <c r="D7" s="570" t="s">
        <v>4</v>
      </c>
      <c r="E7" s="571"/>
    </row>
    <row r="8" spans="1:5" ht="15.75">
      <c r="A8" s="322"/>
      <c r="B8" s="320" t="s">
        <v>2</v>
      </c>
      <c r="C8" s="321" t="s">
        <v>33</v>
      </c>
      <c r="D8" s="572" t="s">
        <v>140</v>
      </c>
      <c r="E8" s="573"/>
    </row>
    <row r="9" spans="1:5" ht="12.75">
      <c r="A9" s="323"/>
      <c r="B9" s="323"/>
      <c r="C9" s="323"/>
      <c r="D9" s="324"/>
      <c r="E9" s="325"/>
    </row>
    <row r="10" spans="1:5" ht="12.75">
      <c r="A10" s="323"/>
      <c r="B10" s="374" t="s">
        <v>78</v>
      </c>
      <c r="C10" s="323"/>
      <c r="D10" s="324">
        <v>135632.3</v>
      </c>
      <c r="E10" s="325"/>
    </row>
    <row r="11" spans="1:5" ht="12.75">
      <c r="A11" s="323"/>
      <c r="B11" s="374" t="s">
        <v>85</v>
      </c>
      <c r="C11" s="323"/>
      <c r="D11" s="324">
        <v>-31017.45</v>
      </c>
      <c r="E11" s="325"/>
    </row>
    <row r="12" spans="1:5" ht="12.75">
      <c r="A12" s="326"/>
      <c r="B12" s="327" t="s">
        <v>5</v>
      </c>
      <c r="C12" s="326" t="s">
        <v>34</v>
      </c>
      <c r="D12" s="326">
        <v>5570.3</v>
      </c>
      <c r="E12" s="326"/>
    </row>
    <row r="13" spans="1:5" ht="12.75">
      <c r="A13" s="326"/>
      <c r="B13" s="327" t="s">
        <v>6</v>
      </c>
      <c r="C13" s="326" t="s">
        <v>34</v>
      </c>
      <c r="D13" s="326">
        <v>4485.1</v>
      </c>
      <c r="E13" s="326"/>
    </row>
    <row r="14" spans="1:5" ht="12.75">
      <c r="A14" s="326"/>
      <c r="B14" s="328" t="s">
        <v>27</v>
      </c>
      <c r="C14" s="326" t="s">
        <v>9</v>
      </c>
      <c r="D14" s="329">
        <v>447384.5</v>
      </c>
      <c r="E14" s="326"/>
    </row>
    <row r="15" spans="1:5" ht="12.75">
      <c r="A15" s="326"/>
      <c r="B15" s="326"/>
      <c r="C15" s="326"/>
      <c r="D15" s="326"/>
      <c r="E15" s="326"/>
    </row>
    <row r="16" spans="1:5" ht="15.75">
      <c r="A16" s="326"/>
      <c r="B16" s="330" t="s">
        <v>7</v>
      </c>
      <c r="C16" s="326"/>
      <c r="D16" s="326"/>
      <c r="E16" s="326"/>
    </row>
    <row r="17" spans="1:5" ht="12.75">
      <c r="A17" s="326">
        <v>1</v>
      </c>
      <c r="B17" s="326" t="s">
        <v>8</v>
      </c>
      <c r="C17" s="326" t="s">
        <v>9</v>
      </c>
      <c r="D17" s="326">
        <v>334434.9</v>
      </c>
      <c r="E17" s="326"/>
    </row>
    <row r="18" spans="1:5" ht="12.75">
      <c r="A18" s="326">
        <v>2</v>
      </c>
      <c r="B18" s="326" t="s">
        <v>74</v>
      </c>
      <c r="C18" s="326"/>
      <c r="D18" s="326">
        <v>94922.57</v>
      </c>
      <c r="E18" s="326"/>
    </row>
    <row r="19" spans="1:5" ht="12.75">
      <c r="A19" s="326">
        <v>3</v>
      </c>
      <c r="B19" s="326" t="s">
        <v>82</v>
      </c>
      <c r="C19" s="326"/>
      <c r="D19" s="326">
        <v>1628.18</v>
      </c>
      <c r="E19" s="326"/>
    </row>
    <row r="20" spans="1:5" ht="15.75">
      <c r="A20" s="326"/>
      <c r="B20" s="330" t="s">
        <v>10</v>
      </c>
      <c r="C20" s="326"/>
      <c r="D20" s="329">
        <f>SUM(D17:D19)</f>
        <v>430985.65</v>
      </c>
      <c r="E20" s="326"/>
    </row>
    <row r="21" spans="1:5" ht="15.75">
      <c r="A21" s="326"/>
      <c r="B21" s="330"/>
      <c r="C21" s="326"/>
      <c r="D21" s="329"/>
      <c r="E21" s="326"/>
    </row>
    <row r="22" spans="1:5" ht="15.75">
      <c r="A22" s="14"/>
      <c r="B22" s="17" t="s">
        <v>57</v>
      </c>
      <c r="C22" s="14"/>
      <c r="D22" s="20"/>
      <c r="E22" s="49"/>
    </row>
    <row r="23" spans="1:5" ht="12.75">
      <c r="A23" s="358" t="s">
        <v>58</v>
      </c>
      <c r="B23" s="16" t="s">
        <v>59</v>
      </c>
      <c r="C23" s="14"/>
      <c r="D23" s="19">
        <f>D24+D25+D28+D26+D27</f>
        <v>76378.728</v>
      </c>
      <c r="E23" s="19"/>
    </row>
    <row r="24" spans="1:5" ht="12.75">
      <c r="A24" s="14">
        <v>1</v>
      </c>
      <c r="B24" s="22" t="s">
        <v>11</v>
      </c>
      <c r="C24" s="352" t="s">
        <v>9</v>
      </c>
      <c r="D24" s="22">
        <v>58834</v>
      </c>
      <c r="E24" s="21"/>
    </row>
    <row r="25" spans="1:5" ht="12.75">
      <c r="A25" s="14">
        <v>2</v>
      </c>
      <c r="B25" s="22" t="s">
        <v>136</v>
      </c>
      <c r="C25" s="14"/>
      <c r="D25" s="18">
        <f>D24*20.2%</f>
        <v>11884.467999999999</v>
      </c>
      <c r="E25" s="18"/>
    </row>
    <row r="26" spans="1:5" ht="12.75">
      <c r="A26" s="14">
        <v>3</v>
      </c>
      <c r="B26" s="14" t="s">
        <v>103</v>
      </c>
      <c r="C26" s="14"/>
      <c r="D26" s="353">
        <v>125</v>
      </c>
      <c r="E26" s="18"/>
    </row>
    <row r="27" spans="1:5" ht="12.75">
      <c r="A27" s="14">
        <v>4</v>
      </c>
      <c r="B27" s="14" t="s">
        <v>89</v>
      </c>
      <c r="C27" s="14"/>
      <c r="D27" s="14">
        <v>2103.19</v>
      </c>
      <c r="E27" s="18"/>
    </row>
    <row r="28" spans="1:5" ht="12.75">
      <c r="A28" s="14">
        <v>5</v>
      </c>
      <c r="B28" s="352" t="s">
        <v>15</v>
      </c>
      <c r="C28" s="14"/>
      <c r="D28" s="14">
        <v>3432.07</v>
      </c>
      <c r="E28" s="18"/>
    </row>
    <row r="29" spans="1:5" ht="12.75">
      <c r="A29" s="358" t="s">
        <v>61</v>
      </c>
      <c r="B29" s="359" t="s">
        <v>60</v>
      </c>
      <c r="C29" s="14"/>
      <c r="D29" s="19">
        <f>D30+D31+D32+D34+D33</f>
        <v>141665.18768</v>
      </c>
      <c r="E29" s="19"/>
    </row>
    <row r="30" spans="1:5" ht="12.75">
      <c r="A30" s="14">
        <v>1</v>
      </c>
      <c r="B30" s="22" t="s">
        <v>144</v>
      </c>
      <c r="C30" s="14"/>
      <c r="D30" s="22">
        <v>109624.84</v>
      </c>
      <c r="E30" s="18"/>
    </row>
    <row r="31" spans="1:5" ht="12.75">
      <c r="A31" s="14">
        <v>2</v>
      </c>
      <c r="B31" s="22" t="s">
        <v>136</v>
      </c>
      <c r="C31" s="14"/>
      <c r="D31" s="21">
        <f>D30*20.2%</f>
        <v>22144.217679999998</v>
      </c>
      <c r="E31" s="18"/>
    </row>
    <row r="32" spans="1:5" ht="12.75">
      <c r="A32" s="14">
        <v>3</v>
      </c>
      <c r="B32" s="22" t="s">
        <v>15</v>
      </c>
      <c r="C32" s="14"/>
      <c r="D32" s="22">
        <v>2164.13</v>
      </c>
      <c r="E32" s="14"/>
    </row>
    <row r="33" spans="1:5" ht="12.75">
      <c r="A33" s="14">
        <v>4</v>
      </c>
      <c r="B33" s="22" t="s">
        <v>91</v>
      </c>
      <c r="C33" s="14"/>
      <c r="D33" s="22">
        <v>2332</v>
      </c>
      <c r="E33" s="14"/>
    </row>
    <row r="34" spans="1:5" ht="12.75">
      <c r="A34" s="14">
        <v>5</v>
      </c>
      <c r="B34" s="22" t="s">
        <v>83</v>
      </c>
      <c r="C34" s="14"/>
      <c r="D34" s="22">
        <v>5400</v>
      </c>
      <c r="E34" s="14"/>
    </row>
    <row r="35" spans="1:5" ht="12.75">
      <c r="A35" s="358" t="s">
        <v>62</v>
      </c>
      <c r="B35" s="20" t="s">
        <v>16</v>
      </c>
      <c r="C35" s="14"/>
      <c r="D35" s="19">
        <f>D36+D37+D38+D39+D40+D41+D42+D43+D44</f>
        <v>110946.9825</v>
      </c>
      <c r="E35" s="19"/>
    </row>
    <row r="36" spans="1:5" ht="12.75">
      <c r="A36" s="14"/>
      <c r="B36" s="14" t="s">
        <v>17</v>
      </c>
      <c r="C36" s="14"/>
      <c r="D36" s="18">
        <f>D20*5%</f>
        <v>21549.2825</v>
      </c>
      <c r="E36" s="14"/>
    </row>
    <row r="37" spans="1:5" ht="12.75">
      <c r="A37" s="14"/>
      <c r="B37" s="14" t="s">
        <v>18</v>
      </c>
      <c r="C37" s="14"/>
      <c r="D37" s="14">
        <v>2278.43</v>
      </c>
      <c r="E37" s="14"/>
    </row>
    <row r="38" spans="1:5" ht="12.75">
      <c r="A38" s="14"/>
      <c r="B38" s="14" t="s">
        <v>20</v>
      </c>
      <c r="C38" s="14"/>
      <c r="D38" s="18">
        <v>14160.59</v>
      </c>
      <c r="E38" s="18"/>
    </row>
    <row r="39" spans="1:5" ht="12.75">
      <c r="A39" s="14"/>
      <c r="B39" s="22" t="s">
        <v>19</v>
      </c>
      <c r="C39" s="14"/>
      <c r="D39" s="14">
        <v>8351.85</v>
      </c>
      <c r="E39" s="14"/>
    </row>
    <row r="40" spans="1:5" ht="12.75">
      <c r="A40" s="14"/>
      <c r="B40" s="352" t="s">
        <v>55</v>
      </c>
      <c r="C40" s="14"/>
      <c r="D40" s="14">
        <v>1824.8</v>
      </c>
      <c r="E40" s="14"/>
    </row>
    <row r="41" spans="1:5" ht="12.75">
      <c r="A41" s="14"/>
      <c r="B41" s="352" t="s">
        <v>28</v>
      </c>
      <c r="C41" s="14"/>
      <c r="D41" s="14">
        <v>333.6</v>
      </c>
      <c r="E41" s="14"/>
    </row>
    <row r="42" spans="1:5" ht="12.75">
      <c r="A42" s="14"/>
      <c r="B42" s="22" t="s">
        <v>148</v>
      </c>
      <c r="C42" s="14"/>
      <c r="D42" s="14">
        <v>15000</v>
      </c>
      <c r="E42" s="14"/>
    </row>
    <row r="43" spans="1:5" ht="12.75">
      <c r="A43" s="14"/>
      <c r="B43" s="352" t="s">
        <v>54</v>
      </c>
      <c r="C43" s="14"/>
      <c r="D43" s="14">
        <v>42553.79</v>
      </c>
      <c r="E43" s="14"/>
    </row>
    <row r="44" spans="1:5" ht="12.75">
      <c r="A44" s="14"/>
      <c r="B44" s="22" t="s">
        <v>21</v>
      </c>
      <c r="C44" s="14"/>
      <c r="D44" s="14">
        <v>4894.64</v>
      </c>
      <c r="E44" s="14"/>
    </row>
    <row r="45" spans="1:5" ht="12.75">
      <c r="A45" s="475" t="s">
        <v>64</v>
      </c>
      <c r="B45" s="20" t="s">
        <v>92</v>
      </c>
      <c r="C45" s="14"/>
      <c r="D45" s="19">
        <v>108687.84</v>
      </c>
      <c r="E45" s="19"/>
    </row>
    <row r="46" spans="1:5" ht="12.75">
      <c r="A46" s="475" t="s">
        <v>65</v>
      </c>
      <c r="B46" s="20" t="s">
        <v>23</v>
      </c>
      <c r="C46" s="14"/>
      <c r="D46" s="19">
        <f>D23+E23+D29+E29+D35+E35+D45+E45</f>
        <v>437678.73818</v>
      </c>
      <c r="E46" s="14"/>
    </row>
    <row r="47" spans="1:5" ht="12.75">
      <c r="A47" s="475" t="s">
        <v>66</v>
      </c>
      <c r="B47" s="14" t="s">
        <v>32</v>
      </c>
      <c r="C47" s="14"/>
      <c r="D47" s="19">
        <f>D20*6%</f>
        <v>25859.139</v>
      </c>
      <c r="E47" s="14"/>
    </row>
    <row r="48" spans="1:5" ht="12.75">
      <c r="A48" s="475" t="s">
        <v>67</v>
      </c>
      <c r="B48" s="20" t="s">
        <v>24</v>
      </c>
      <c r="C48" s="14"/>
      <c r="D48" s="19">
        <f>D46+D47</f>
        <v>463537.87718</v>
      </c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475" t="s">
        <v>68</v>
      </c>
      <c r="B50" s="20" t="s">
        <v>142</v>
      </c>
      <c r="C50" s="14"/>
      <c r="D50" s="19">
        <f>(D17+D19)-D48</f>
        <v>-127474.79718</v>
      </c>
      <c r="E50" s="14"/>
    </row>
    <row r="51" spans="1:5" ht="12.75">
      <c r="A51" s="475" t="s">
        <v>69</v>
      </c>
      <c r="B51" s="20" t="s">
        <v>44</v>
      </c>
      <c r="C51" s="14"/>
      <c r="D51" s="19">
        <f>D10+D50</f>
        <v>8157.502819999994</v>
      </c>
      <c r="E51" s="14"/>
    </row>
    <row r="52" spans="1:5" ht="12.75">
      <c r="A52" s="3"/>
      <c r="B52" s="377" t="s">
        <v>74</v>
      </c>
      <c r="C52" s="3"/>
      <c r="D52" s="380">
        <f>D11+D18-10156.71</f>
        <v>53748.41000000001</v>
      </c>
      <c r="E52" s="3"/>
    </row>
    <row r="53" spans="1:5" ht="12.75">
      <c r="A53" s="3"/>
      <c r="B53" s="377" t="s">
        <v>87</v>
      </c>
      <c r="C53" s="3"/>
      <c r="D53" s="380">
        <f>4777.28</f>
        <v>4777.28</v>
      </c>
      <c r="E53" s="3"/>
    </row>
    <row r="54" spans="1:5" ht="12.75">
      <c r="A54" s="3"/>
      <c r="B54" s="377" t="s">
        <v>86</v>
      </c>
      <c r="C54" s="3"/>
      <c r="D54" s="380">
        <f>D52-D53</f>
        <v>48971.13000000001</v>
      </c>
      <c r="E54" s="3"/>
    </row>
    <row r="55" spans="1:5" ht="12.75">
      <c r="A55" s="3"/>
      <c r="B55" s="377"/>
      <c r="C55" s="3"/>
      <c r="D55" s="380"/>
      <c r="E55" s="3"/>
    </row>
    <row r="56" spans="1:5" ht="12.75">
      <c r="A56" s="1"/>
      <c r="B56" s="1" t="s">
        <v>30</v>
      </c>
      <c r="C56" s="1"/>
      <c r="D56" s="1" t="s">
        <v>0</v>
      </c>
      <c r="E56" s="1"/>
    </row>
    <row r="57" spans="1:5" ht="12.75">
      <c r="A57" s="1"/>
      <c r="B57" s="1" t="s">
        <v>31</v>
      </c>
      <c r="C57" s="1"/>
      <c r="D57" s="1" t="s">
        <v>26</v>
      </c>
      <c r="E57" s="1"/>
    </row>
  </sheetData>
  <sheetProtection/>
  <mergeCells count="3">
    <mergeCell ref="D7:E7"/>
    <mergeCell ref="A5:C5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G18" sqref="G18:I29"/>
    </sheetView>
  </sheetViews>
  <sheetFormatPr defaultColWidth="9.00390625" defaultRowHeight="12.75"/>
  <cols>
    <col min="1" max="1" width="6.75390625" style="0" customWidth="1"/>
    <col min="2" max="2" width="41.125" style="0" customWidth="1"/>
    <col min="4" max="4" width="11.125" style="0" customWidth="1"/>
    <col min="5" max="5" width="12.37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149</v>
      </c>
    </row>
    <row r="5" ht="12.75">
      <c r="B5" t="s">
        <v>46</v>
      </c>
    </row>
    <row r="6" spans="1:5" ht="12.75">
      <c r="A6" s="336"/>
      <c r="B6" s="336"/>
      <c r="C6" s="336"/>
      <c r="D6" s="318"/>
      <c r="E6" s="337"/>
    </row>
    <row r="7" spans="1:5" ht="15.75">
      <c r="A7" s="317"/>
      <c r="B7" s="320" t="s">
        <v>1</v>
      </c>
      <c r="C7" s="321" t="s">
        <v>3</v>
      </c>
      <c r="D7" s="570" t="s">
        <v>4</v>
      </c>
      <c r="E7" s="571"/>
    </row>
    <row r="8" spans="1:5" ht="15.75">
      <c r="A8" s="322"/>
      <c r="B8" s="320" t="s">
        <v>2</v>
      </c>
      <c r="C8" s="321" t="s">
        <v>33</v>
      </c>
      <c r="D8" s="572" t="s">
        <v>138</v>
      </c>
      <c r="E8" s="573"/>
    </row>
    <row r="9" spans="1:5" ht="12.75">
      <c r="A9" s="323"/>
      <c r="B9" s="323"/>
      <c r="C9" s="323"/>
      <c r="D9" s="324"/>
      <c r="E9" s="325"/>
    </row>
    <row r="10" spans="1:5" ht="12.75">
      <c r="A10" s="323"/>
      <c r="B10" s="374" t="s">
        <v>78</v>
      </c>
      <c r="C10" s="323"/>
      <c r="D10" s="324">
        <v>-153827.62</v>
      </c>
      <c r="E10" s="325"/>
    </row>
    <row r="11" spans="1:5" ht="12.75">
      <c r="A11" s="323"/>
      <c r="B11" s="374" t="s">
        <v>85</v>
      </c>
      <c r="C11" s="323"/>
      <c r="D11" s="324">
        <v>116437.05</v>
      </c>
      <c r="E11" s="325"/>
    </row>
    <row r="12" spans="1:5" ht="12.75">
      <c r="A12" s="326"/>
      <c r="B12" s="327" t="s">
        <v>5</v>
      </c>
      <c r="C12" s="326" t="s">
        <v>34</v>
      </c>
      <c r="D12" s="326">
        <v>3980.8</v>
      </c>
      <c r="E12" s="326"/>
    </row>
    <row r="13" spans="1:5" ht="12.75">
      <c r="A13" s="326"/>
      <c r="B13" s="327" t="s">
        <v>6</v>
      </c>
      <c r="C13" s="326" t="s">
        <v>34</v>
      </c>
      <c r="D13" s="326">
        <v>2528.5</v>
      </c>
      <c r="E13" s="326"/>
    </row>
    <row r="14" spans="1:5" ht="12.75">
      <c r="A14" s="326"/>
      <c r="B14" s="328" t="s">
        <v>27</v>
      </c>
      <c r="C14" s="326" t="s">
        <v>9</v>
      </c>
      <c r="D14" s="329">
        <v>401573.28</v>
      </c>
      <c r="E14" s="326"/>
    </row>
    <row r="15" spans="1:5" ht="12.75">
      <c r="A15" s="326"/>
      <c r="B15" s="326"/>
      <c r="C15" s="326"/>
      <c r="D15" s="326"/>
      <c r="E15" s="326"/>
    </row>
    <row r="16" spans="1:5" ht="15.75">
      <c r="A16" s="326"/>
      <c r="B16" s="330" t="s">
        <v>7</v>
      </c>
      <c r="C16" s="326"/>
      <c r="D16" s="326"/>
      <c r="E16" s="326"/>
    </row>
    <row r="17" spans="1:5" ht="12.75">
      <c r="A17" s="326">
        <v>1</v>
      </c>
      <c r="B17" s="326" t="s">
        <v>8</v>
      </c>
      <c r="C17" s="326" t="s">
        <v>9</v>
      </c>
      <c r="D17" s="326">
        <v>302036.21</v>
      </c>
      <c r="E17" s="326"/>
    </row>
    <row r="18" spans="1:5" ht="12.75">
      <c r="A18" s="326">
        <v>2</v>
      </c>
      <c r="B18" s="326" t="s">
        <v>74</v>
      </c>
      <c r="C18" s="326"/>
      <c r="D18" s="326">
        <v>88116.9</v>
      </c>
      <c r="E18" s="326"/>
    </row>
    <row r="19" spans="1:5" ht="15.75">
      <c r="A19" s="326"/>
      <c r="B19" s="330" t="s">
        <v>10</v>
      </c>
      <c r="C19" s="326"/>
      <c r="D19" s="329">
        <f>D17+D18</f>
        <v>390153.11</v>
      </c>
      <c r="E19" s="326"/>
    </row>
    <row r="20" spans="1:5" ht="15.75">
      <c r="A20" s="326"/>
      <c r="B20" s="330"/>
      <c r="C20" s="326"/>
      <c r="D20" s="329"/>
      <c r="E20" s="326"/>
    </row>
    <row r="21" spans="1:5" ht="15.75">
      <c r="A21" s="14"/>
      <c r="B21" s="17" t="s">
        <v>57</v>
      </c>
      <c r="C21" s="14"/>
      <c r="D21" s="20"/>
      <c r="E21" s="49"/>
    </row>
    <row r="22" spans="1:5" ht="12.75">
      <c r="A22" s="358" t="s">
        <v>58</v>
      </c>
      <c r="B22" s="16" t="s">
        <v>59</v>
      </c>
      <c r="C22" s="14"/>
      <c r="D22" s="19">
        <f>D23+D24+D25+D26</f>
        <v>98305.66149999999</v>
      </c>
      <c r="E22" s="19"/>
    </row>
    <row r="23" spans="1:5" ht="12.75">
      <c r="A23" s="14">
        <v>1</v>
      </c>
      <c r="B23" s="22" t="s">
        <v>11</v>
      </c>
      <c r="C23" s="22" t="s">
        <v>9</v>
      </c>
      <c r="D23" s="21">
        <v>76485.75</v>
      </c>
      <c r="E23" s="19"/>
    </row>
    <row r="24" spans="1:5" ht="12.75">
      <c r="A24" s="14"/>
      <c r="B24" s="22" t="s">
        <v>136</v>
      </c>
      <c r="C24" s="14"/>
      <c r="D24" s="18">
        <f>D23*20.2%</f>
        <v>15450.1215</v>
      </c>
      <c r="E24" s="18"/>
    </row>
    <row r="25" spans="1:5" ht="12.75">
      <c r="A25" s="14"/>
      <c r="B25" s="14" t="s">
        <v>89</v>
      </c>
      <c r="C25" s="14"/>
      <c r="D25" s="14">
        <v>1353.34</v>
      </c>
      <c r="E25" s="18"/>
    </row>
    <row r="26" spans="1:5" ht="12.75">
      <c r="A26" s="14">
        <v>2</v>
      </c>
      <c r="B26" s="352" t="s">
        <v>15</v>
      </c>
      <c r="C26" s="14"/>
      <c r="D26" s="14">
        <v>5016.45</v>
      </c>
      <c r="E26" s="18"/>
    </row>
    <row r="27" spans="1:5" ht="12.75">
      <c r="A27" s="358" t="s">
        <v>61</v>
      </c>
      <c r="B27" s="359" t="s">
        <v>60</v>
      </c>
      <c r="C27" s="14"/>
      <c r="D27" s="19">
        <f>D28+D32+D29+D30+D31</f>
        <v>82216.17512</v>
      </c>
      <c r="E27" s="19"/>
    </row>
    <row r="28" spans="1:5" ht="12.75">
      <c r="A28" s="14">
        <v>1</v>
      </c>
      <c r="B28" s="22" t="s">
        <v>95</v>
      </c>
      <c r="C28" s="14"/>
      <c r="D28" s="22">
        <v>61801.56</v>
      </c>
      <c r="E28" s="18"/>
    </row>
    <row r="29" spans="1:5" ht="12.75">
      <c r="A29" s="14">
        <v>2</v>
      </c>
      <c r="B29" s="22" t="s">
        <v>136</v>
      </c>
      <c r="C29" s="14"/>
      <c r="D29" s="21">
        <f>D28*20.2%</f>
        <v>12483.915119999998</v>
      </c>
      <c r="E29" s="18"/>
    </row>
    <row r="30" spans="1:5" ht="12.75">
      <c r="A30" s="14">
        <v>3</v>
      </c>
      <c r="B30" s="22" t="s">
        <v>83</v>
      </c>
      <c r="C30" s="14"/>
      <c r="D30" s="21">
        <v>6100</v>
      </c>
      <c r="E30" s="18"/>
    </row>
    <row r="31" spans="1:5" ht="12.75">
      <c r="A31" s="14">
        <v>4</v>
      </c>
      <c r="B31" s="22" t="s">
        <v>91</v>
      </c>
      <c r="C31" s="14"/>
      <c r="D31" s="21">
        <v>1672</v>
      </c>
      <c r="E31" s="18"/>
    </row>
    <row r="32" spans="1:5" ht="12.75">
      <c r="A32" s="14">
        <v>5</v>
      </c>
      <c r="B32" s="22" t="s">
        <v>15</v>
      </c>
      <c r="C32" s="14"/>
      <c r="D32" s="22">
        <v>158.7</v>
      </c>
      <c r="E32" s="14"/>
    </row>
    <row r="33" spans="1:5" ht="12.75">
      <c r="A33" s="358" t="s">
        <v>62</v>
      </c>
      <c r="B33" s="20" t="s">
        <v>16</v>
      </c>
      <c r="C33" s="14"/>
      <c r="D33" s="19">
        <f>D34+D35+D36+D37+D38+D39+D40+D41+D42</f>
        <v>55905.96549999999</v>
      </c>
      <c r="E33" s="19"/>
    </row>
    <row r="34" spans="1:5" ht="12.75">
      <c r="A34" s="14"/>
      <c r="B34" s="14" t="s">
        <v>17</v>
      </c>
      <c r="C34" s="14"/>
      <c r="D34" s="18">
        <f>D19*5%</f>
        <v>19507.6555</v>
      </c>
      <c r="E34" s="14"/>
    </row>
    <row r="35" spans="1:5" ht="12.75">
      <c r="A35" s="14"/>
      <c r="B35" s="14" t="s">
        <v>18</v>
      </c>
      <c r="C35" s="14"/>
      <c r="D35" s="14">
        <v>1285.35</v>
      </c>
      <c r="E35" s="14"/>
    </row>
    <row r="36" spans="1:5" ht="12.75">
      <c r="A36" s="14"/>
      <c r="B36" s="14" t="s">
        <v>19</v>
      </c>
      <c r="C36" s="14"/>
      <c r="D36" s="14">
        <v>7833.17</v>
      </c>
      <c r="E36" s="14"/>
    </row>
    <row r="37" spans="1:5" ht="12.75">
      <c r="A37" s="14"/>
      <c r="B37" s="14" t="s">
        <v>20</v>
      </c>
      <c r="C37" s="14"/>
      <c r="D37" s="18">
        <v>7983.11</v>
      </c>
      <c r="E37" s="18"/>
    </row>
    <row r="38" spans="1:5" ht="12.75">
      <c r="A38" s="14"/>
      <c r="B38" s="22" t="s">
        <v>55</v>
      </c>
      <c r="C38" s="14"/>
      <c r="D38" s="14">
        <v>1028.7</v>
      </c>
      <c r="E38" s="14"/>
    </row>
    <row r="39" spans="1:5" ht="12.75">
      <c r="A39" s="14"/>
      <c r="B39" s="352" t="s">
        <v>28</v>
      </c>
      <c r="C39" s="14"/>
      <c r="D39" s="14">
        <v>333.6</v>
      </c>
      <c r="E39" s="14"/>
    </row>
    <row r="40" spans="1:5" ht="12.75">
      <c r="A40" s="14"/>
      <c r="B40" s="22" t="s">
        <v>148</v>
      </c>
      <c r="C40" s="14"/>
      <c r="D40" s="14">
        <v>15000</v>
      </c>
      <c r="E40" s="14"/>
    </row>
    <row r="41" spans="1:5" ht="12.75">
      <c r="A41" s="14"/>
      <c r="B41" s="352" t="s">
        <v>141</v>
      </c>
      <c r="C41" s="14"/>
      <c r="D41" s="14">
        <v>205</v>
      </c>
      <c r="E41" s="14"/>
    </row>
    <row r="42" spans="1:5" ht="12.75">
      <c r="A42" s="14"/>
      <c r="B42" s="14" t="s">
        <v>21</v>
      </c>
      <c r="C42" s="14"/>
      <c r="D42" s="14">
        <v>2729.38</v>
      </c>
      <c r="E42" s="14"/>
    </row>
    <row r="43" spans="1:5" ht="12.75">
      <c r="A43" s="475" t="s">
        <v>64</v>
      </c>
      <c r="B43" s="20" t="s">
        <v>92</v>
      </c>
      <c r="C43" s="14"/>
      <c r="D43" s="19">
        <v>61273.36</v>
      </c>
      <c r="E43" s="19"/>
    </row>
    <row r="44" spans="1:5" ht="12.75">
      <c r="A44" s="475" t="s">
        <v>65</v>
      </c>
      <c r="B44" s="20" t="s">
        <v>23</v>
      </c>
      <c r="C44" s="14"/>
      <c r="D44" s="19">
        <f>D22+D27+D33+D43</f>
        <v>297701.16212</v>
      </c>
      <c r="E44" s="14"/>
    </row>
    <row r="45" spans="1:5" ht="12.75">
      <c r="A45" s="475" t="s">
        <v>66</v>
      </c>
      <c r="B45" s="14" t="s">
        <v>32</v>
      </c>
      <c r="C45" s="14"/>
      <c r="D45" s="19">
        <f>D19*6%</f>
        <v>23409.186599999997</v>
      </c>
      <c r="E45" s="14"/>
    </row>
    <row r="46" spans="1:5" ht="12.75">
      <c r="A46" s="475" t="s">
        <v>67</v>
      </c>
      <c r="B46" s="20" t="s">
        <v>24</v>
      </c>
      <c r="C46" s="14"/>
      <c r="D46" s="19">
        <f>D44+D45</f>
        <v>321110.34872</v>
      </c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475" t="s">
        <v>68</v>
      </c>
      <c r="B48" s="20" t="s">
        <v>150</v>
      </c>
      <c r="C48" s="14"/>
      <c r="D48" s="19">
        <f>D17-D46+9428.51</f>
        <v>-9645.628719999988</v>
      </c>
      <c r="E48" s="14"/>
    </row>
    <row r="49" spans="1:5" ht="12.75">
      <c r="A49" s="475" t="s">
        <v>69</v>
      </c>
      <c r="B49" s="20" t="s">
        <v>44</v>
      </c>
      <c r="C49" s="14"/>
      <c r="D49" s="19">
        <f>D10+D48+9428.51</f>
        <v>-154044.73871999996</v>
      </c>
      <c r="E49" s="14"/>
    </row>
    <row r="50" spans="1:5" ht="12.75">
      <c r="A50" s="3"/>
      <c r="B50" s="377"/>
      <c r="C50" s="3"/>
      <c r="D50" s="380"/>
      <c r="E50" s="3"/>
    </row>
    <row r="51" spans="1:5" ht="12.75">
      <c r="A51" s="3"/>
      <c r="B51" s="377" t="s">
        <v>74</v>
      </c>
      <c r="C51" s="3"/>
      <c r="D51" s="380">
        <f>D18+D11-9428.51</f>
        <v>195125.44</v>
      </c>
      <c r="E51" s="3"/>
    </row>
    <row r="52" spans="1:5" ht="12.75">
      <c r="A52" s="3"/>
      <c r="B52" s="377" t="s">
        <v>87</v>
      </c>
      <c r="C52" s="3"/>
      <c r="D52" s="380">
        <f>8399.23+25016.04</f>
        <v>33415.270000000004</v>
      </c>
      <c r="E52" s="3"/>
    </row>
    <row r="53" spans="1:5" ht="12.75">
      <c r="A53" s="3"/>
      <c r="B53" s="377" t="s">
        <v>86</v>
      </c>
      <c r="C53" s="3"/>
      <c r="D53" s="380">
        <f>D51-D52</f>
        <v>161710.16999999998</v>
      </c>
      <c r="E53" s="3"/>
    </row>
    <row r="54" spans="1:5" ht="12.75">
      <c r="A54" s="3"/>
      <c r="B54" s="377"/>
      <c r="C54" s="3"/>
      <c r="D54" s="380"/>
      <c r="E54" s="3"/>
    </row>
    <row r="55" spans="1:5" ht="12.75">
      <c r="A55" s="1"/>
      <c r="B55" s="1" t="s">
        <v>30</v>
      </c>
      <c r="C55" s="1"/>
      <c r="D55" s="1" t="s">
        <v>0</v>
      </c>
      <c r="E55" s="1"/>
    </row>
    <row r="56" spans="1:5" ht="12.75">
      <c r="A56" s="1"/>
      <c r="B56" s="1" t="s">
        <v>31</v>
      </c>
      <c r="C56" s="1"/>
      <c r="D56" s="1" t="s">
        <v>26</v>
      </c>
      <c r="E56" s="1"/>
    </row>
  </sheetData>
  <sheetProtection/>
  <mergeCells count="2">
    <mergeCell ref="D7:E7"/>
    <mergeCell ref="D8:E8"/>
  </mergeCells>
  <printOptions/>
  <pageMargins left="0.7" right="0.7" top="0.75" bottom="0.75" header="0.3" footer="0.3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7.375" style="0" customWidth="1"/>
    <col min="2" max="2" width="38.75390625" style="0" customWidth="1"/>
    <col min="4" max="4" width="12.75390625" style="0" customWidth="1"/>
    <col min="5" max="5" width="13.2539062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151</v>
      </c>
    </row>
    <row r="5" ht="12.75">
      <c r="B5" t="s">
        <v>46</v>
      </c>
    </row>
    <row r="6" spans="1:5" ht="12.75">
      <c r="A6" s="336"/>
      <c r="B6" s="336"/>
      <c r="C6" s="336"/>
      <c r="D6" s="318"/>
      <c r="E6" s="337"/>
    </row>
    <row r="7" spans="1:5" ht="15.75">
      <c r="A7" s="317"/>
      <c r="B7" s="320" t="s">
        <v>1</v>
      </c>
      <c r="C7" s="321" t="s">
        <v>3</v>
      </c>
      <c r="D7" s="570" t="s">
        <v>4</v>
      </c>
      <c r="E7" s="571"/>
    </row>
    <row r="8" spans="1:5" ht="15.75">
      <c r="A8" s="322"/>
      <c r="B8" s="320" t="s">
        <v>2</v>
      </c>
      <c r="C8" s="321" t="s">
        <v>33</v>
      </c>
      <c r="D8" s="572" t="s">
        <v>138</v>
      </c>
      <c r="E8" s="573"/>
    </row>
    <row r="9" spans="1:5" ht="12.75">
      <c r="A9" s="323"/>
      <c r="B9" s="323"/>
      <c r="C9" s="323"/>
      <c r="D9" s="324"/>
      <c r="E9" s="325"/>
    </row>
    <row r="10" spans="1:5" ht="12.75">
      <c r="A10" s="323"/>
      <c r="B10" s="338" t="s">
        <v>70</v>
      </c>
      <c r="C10" s="323"/>
      <c r="D10" s="324">
        <v>-207619.24</v>
      </c>
      <c r="E10" s="325"/>
    </row>
    <row r="11" spans="1:5" ht="12.75">
      <c r="A11" s="326"/>
      <c r="B11" s="327" t="s">
        <v>5</v>
      </c>
      <c r="C11" s="326" t="s">
        <v>34</v>
      </c>
      <c r="D11" s="326">
        <v>3741.15</v>
      </c>
      <c r="E11" s="326"/>
    </row>
    <row r="12" spans="1:5" ht="12.75">
      <c r="A12" s="326"/>
      <c r="B12" s="327" t="s">
        <v>6</v>
      </c>
      <c r="C12" s="326" t="s">
        <v>34</v>
      </c>
      <c r="D12" s="326">
        <v>2509.41</v>
      </c>
      <c r="E12" s="326"/>
    </row>
    <row r="13" spans="1:5" ht="12.75">
      <c r="A13" s="326"/>
      <c r="B13" s="328" t="s">
        <v>27</v>
      </c>
      <c r="C13" s="326" t="s">
        <v>9</v>
      </c>
      <c r="D13" s="329">
        <v>206484.53</v>
      </c>
      <c r="E13" s="326"/>
    </row>
    <row r="14" spans="1:5" ht="12.75">
      <c r="A14" s="326"/>
      <c r="B14" s="326"/>
      <c r="C14" s="326"/>
      <c r="D14" s="326"/>
      <c r="E14" s="326"/>
    </row>
    <row r="15" spans="1:5" ht="15.75">
      <c r="A15" s="326"/>
      <c r="B15" s="330" t="s">
        <v>7</v>
      </c>
      <c r="C15" s="326"/>
      <c r="D15" s="326"/>
      <c r="E15" s="326"/>
    </row>
    <row r="16" spans="1:5" ht="12.75">
      <c r="A16" s="326">
        <v>1</v>
      </c>
      <c r="B16" s="326" t="s">
        <v>8</v>
      </c>
      <c r="C16" s="326" t="s">
        <v>9</v>
      </c>
      <c r="D16" s="332">
        <v>190568.06</v>
      </c>
      <c r="E16" s="326"/>
    </row>
    <row r="17" spans="1:5" ht="12.75">
      <c r="A17" s="326"/>
      <c r="B17" s="326"/>
      <c r="C17" s="326"/>
      <c r="D17" s="332"/>
      <c r="E17" s="326"/>
    </row>
    <row r="18" spans="1:5" ht="15.75">
      <c r="A18" s="326"/>
      <c r="B18" s="330" t="s">
        <v>10</v>
      </c>
      <c r="C18" s="326"/>
      <c r="D18" s="331">
        <f>D16</f>
        <v>190568.06</v>
      </c>
      <c r="E18" s="326"/>
    </row>
    <row r="19" spans="1:5" ht="15.75">
      <c r="A19" s="326"/>
      <c r="B19" s="330"/>
      <c r="C19" s="326"/>
      <c r="D19" s="329"/>
      <c r="E19" s="326"/>
    </row>
    <row r="20" spans="1:5" ht="15.75">
      <c r="A20" s="14"/>
      <c r="B20" s="17" t="s">
        <v>57</v>
      </c>
      <c r="C20" s="14"/>
      <c r="D20" s="20"/>
      <c r="E20" s="49"/>
    </row>
    <row r="21" spans="1:5" ht="12.75">
      <c r="A21" s="358" t="s">
        <v>58</v>
      </c>
      <c r="B21" s="16" t="s">
        <v>59</v>
      </c>
      <c r="C21" s="14"/>
      <c r="D21" s="19">
        <f>D22+D23+D24+D25</f>
        <v>142857.32348</v>
      </c>
      <c r="E21" s="49"/>
    </row>
    <row r="22" spans="1:5" ht="12.75">
      <c r="A22" s="14">
        <v>1</v>
      </c>
      <c r="B22" s="22" t="s">
        <v>11</v>
      </c>
      <c r="C22" s="22" t="s">
        <v>9</v>
      </c>
      <c r="D22" s="21">
        <f>38282.24+35854.21+38461.29</f>
        <v>112597.73999999999</v>
      </c>
      <c r="E22" s="49"/>
    </row>
    <row r="23" spans="1:5" ht="12.75">
      <c r="A23" s="14">
        <v>2</v>
      </c>
      <c r="B23" s="22" t="s">
        <v>136</v>
      </c>
      <c r="C23" s="14"/>
      <c r="D23" s="18">
        <f>D22*20.2%</f>
        <v>22744.743479999997</v>
      </c>
      <c r="E23" s="49"/>
    </row>
    <row r="24" spans="1:5" ht="12.75">
      <c r="A24" s="14">
        <v>3</v>
      </c>
      <c r="B24" s="14" t="s">
        <v>89</v>
      </c>
      <c r="C24" s="14"/>
      <c r="D24" s="14">
        <v>2549.71</v>
      </c>
      <c r="E24" s="49"/>
    </row>
    <row r="25" spans="1:5" ht="12.75">
      <c r="A25" s="14">
        <v>4</v>
      </c>
      <c r="B25" s="352" t="s">
        <v>15</v>
      </c>
      <c r="C25" s="14"/>
      <c r="D25" s="14">
        <v>4965.13</v>
      </c>
      <c r="E25" s="49"/>
    </row>
    <row r="26" spans="1:5" ht="12.75">
      <c r="A26" s="358" t="s">
        <v>61</v>
      </c>
      <c r="B26" s="359" t="s">
        <v>60</v>
      </c>
      <c r="C26" s="14"/>
      <c r="D26" s="19">
        <f>D27+D28+D29+D31+D30</f>
        <v>80560.65192</v>
      </c>
      <c r="E26" s="49"/>
    </row>
    <row r="27" spans="1:5" ht="12.75">
      <c r="A27" s="14">
        <v>1</v>
      </c>
      <c r="B27" s="22" t="s">
        <v>95</v>
      </c>
      <c r="C27" s="14"/>
      <c r="D27" s="22">
        <v>61334.96</v>
      </c>
      <c r="E27" s="49"/>
    </row>
    <row r="28" spans="1:5" ht="12.75">
      <c r="A28" s="14">
        <v>2</v>
      </c>
      <c r="B28" s="22" t="s">
        <v>136</v>
      </c>
      <c r="C28" s="14"/>
      <c r="D28" s="21">
        <f>D27*20.2%</f>
        <v>12389.661919999999</v>
      </c>
      <c r="E28" s="49"/>
    </row>
    <row r="29" spans="1:5" ht="12.75">
      <c r="A29" s="14">
        <v>3</v>
      </c>
      <c r="B29" s="22" t="s">
        <v>15</v>
      </c>
      <c r="C29" s="14"/>
      <c r="D29" s="22">
        <v>120.03</v>
      </c>
      <c r="E29" s="14"/>
    </row>
    <row r="30" spans="1:5" ht="12.75">
      <c r="A30" s="14">
        <v>4</v>
      </c>
      <c r="B30" s="22" t="s">
        <v>91</v>
      </c>
      <c r="C30" s="14"/>
      <c r="D30" s="22">
        <v>616</v>
      </c>
      <c r="E30" s="14"/>
    </row>
    <row r="31" spans="1:5" ht="12.75">
      <c r="A31" s="14">
        <v>5</v>
      </c>
      <c r="B31" s="22" t="s">
        <v>83</v>
      </c>
      <c r="C31" s="14"/>
      <c r="D31" s="22">
        <v>6100</v>
      </c>
      <c r="E31" s="14"/>
    </row>
    <row r="32" spans="1:5" ht="12.75">
      <c r="A32" s="358" t="s">
        <v>62</v>
      </c>
      <c r="B32" s="20" t="s">
        <v>16</v>
      </c>
      <c r="C32" s="14"/>
      <c r="D32" s="19">
        <f>D33+D34+D35+D36+D37+D38+D39+D40</f>
        <v>36534.923</v>
      </c>
      <c r="E32" s="19"/>
    </row>
    <row r="33" spans="1:5" ht="12.75">
      <c r="A33" s="14"/>
      <c r="B33" s="14" t="s">
        <v>17</v>
      </c>
      <c r="C33" s="14"/>
      <c r="D33" s="18">
        <f>D18*5%</f>
        <v>9528.403</v>
      </c>
      <c r="E33" s="14"/>
    </row>
    <row r="34" spans="1:5" ht="12.75">
      <c r="A34" s="14"/>
      <c r="B34" s="14" t="s">
        <v>18</v>
      </c>
      <c r="C34" s="14"/>
      <c r="D34" s="14">
        <v>1285.35</v>
      </c>
      <c r="E34" s="14"/>
    </row>
    <row r="35" spans="1:5" ht="12.75">
      <c r="A35" s="14"/>
      <c r="B35" s="14" t="s">
        <v>19</v>
      </c>
      <c r="C35" s="14"/>
      <c r="D35" s="14">
        <v>7833.17</v>
      </c>
      <c r="E35" s="14"/>
    </row>
    <row r="36" spans="1:5" ht="12.75">
      <c r="A36" s="14"/>
      <c r="B36" s="14" t="s">
        <v>20</v>
      </c>
      <c r="C36" s="14"/>
      <c r="D36" s="18">
        <v>7922.84</v>
      </c>
      <c r="E36" s="18"/>
    </row>
    <row r="37" spans="1:5" ht="12.75">
      <c r="A37" s="14"/>
      <c r="B37" s="352" t="s">
        <v>28</v>
      </c>
      <c r="C37" s="14"/>
      <c r="D37" s="14">
        <v>333.6</v>
      </c>
      <c r="E37" s="14"/>
    </row>
    <row r="38" spans="1:5" ht="12.75">
      <c r="A38" s="14"/>
      <c r="B38" s="352" t="s">
        <v>54</v>
      </c>
      <c r="C38" s="14"/>
      <c r="D38" s="14">
        <v>5872.01</v>
      </c>
      <c r="E38" s="14"/>
    </row>
    <row r="39" spans="1:5" ht="12.75">
      <c r="A39" s="14"/>
      <c r="B39" s="352" t="s">
        <v>55</v>
      </c>
      <c r="C39" s="14"/>
      <c r="D39" s="14">
        <v>1021</v>
      </c>
      <c r="E39" s="14"/>
    </row>
    <row r="40" spans="1:5" ht="12.75">
      <c r="A40" s="14"/>
      <c r="B40" s="22" t="s">
        <v>21</v>
      </c>
      <c r="C40" s="14"/>
      <c r="D40" s="14">
        <v>2738.55</v>
      </c>
      <c r="E40" s="14"/>
    </row>
    <row r="41" spans="1:5" ht="12.75">
      <c r="A41" s="15" t="s">
        <v>64</v>
      </c>
      <c r="B41" s="20" t="s">
        <v>74</v>
      </c>
      <c r="C41" s="14"/>
      <c r="D41" s="14">
        <v>807.16</v>
      </c>
      <c r="E41" s="14"/>
    </row>
    <row r="42" spans="1:5" ht="12.75">
      <c r="A42" s="15" t="s">
        <v>65</v>
      </c>
      <c r="B42" s="20" t="s">
        <v>92</v>
      </c>
      <c r="C42" s="14"/>
      <c r="D42" s="19">
        <v>45736.33</v>
      </c>
      <c r="E42" s="19"/>
    </row>
    <row r="43" spans="1:5" ht="12.75">
      <c r="A43" s="15" t="s">
        <v>66</v>
      </c>
      <c r="B43" s="20" t="s">
        <v>23</v>
      </c>
      <c r="C43" s="14"/>
      <c r="D43" s="19">
        <f>D21+D26+D32+D41+D42</f>
        <v>306496.3884</v>
      </c>
      <c r="E43" s="14"/>
    </row>
    <row r="44" spans="1:5" ht="12.75">
      <c r="A44" s="15" t="s">
        <v>67</v>
      </c>
      <c r="B44" s="14" t="s">
        <v>32</v>
      </c>
      <c r="C44" s="14"/>
      <c r="D44" s="19">
        <f>D18*6%</f>
        <v>11434.0836</v>
      </c>
      <c r="E44" s="14"/>
    </row>
    <row r="45" spans="1:5" ht="12.75">
      <c r="A45" s="15" t="s">
        <v>68</v>
      </c>
      <c r="B45" s="20" t="s">
        <v>24</v>
      </c>
      <c r="C45" s="14"/>
      <c r="D45" s="19">
        <f>D43+D44</f>
        <v>317930.472</v>
      </c>
      <c r="E45" s="14"/>
    </row>
    <row r="46" spans="1:5" ht="12.75">
      <c r="A46" s="15"/>
      <c r="B46" s="14"/>
      <c r="C46" s="14"/>
      <c r="D46" s="14"/>
      <c r="E46" s="14"/>
    </row>
    <row r="47" spans="1:5" ht="12.75">
      <c r="A47" s="15" t="s">
        <v>69</v>
      </c>
      <c r="B47" s="20" t="s">
        <v>142</v>
      </c>
      <c r="C47" s="14"/>
      <c r="D47" s="19">
        <f>D18-D45</f>
        <v>-127362.41200000001</v>
      </c>
      <c r="E47" s="14"/>
    </row>
    <row r="48" spans="1:5" ht="12.75">
      <c r="A48" s="15" t="s">
        <v>165</v>
      </c>
      <c r="B48" s="20" t="s">
        <v>44</v>
      </c>
      <c r="C48" s="14"/>
      <c r="D48" s="19">
        <f>D10+D47</f>
        <v>-334981.652</v>
      </c>
      <c r="E48" s="14"/>
    </row>
    <row r="49" spans="1:5" ht="12.75">
      <c r="A49" s="3"/>
      <c r="B49" s="377"/>
      <c r="C49" s="3"/>
      <c r="D49" s="380"/>
      <c r="E49" s="3"/>
    </row>
    <row r="50" spans="1:5" ht="12.75">
      <c r="A50" s="3"/>
      <c r="B50" s="377"/>
      <c r="C50" s="3"/>
      <c r="D50" s="380"/>
      <c r="E50" s="3"/>
    </row>
    <row r="51" spans="1:5" ht="12.75">
      <c r="A51" s="1"/>
      <c r="B51" s="1" t="s">
        <v>30</v>
      </c>
      <c r="C51" s="1"/>
      <c r="D51" s="1" t="s">
        <v>0</v>
      </c>
      <c r="E51" s="1"/>
    </row>
    <row r="52" spans="1:5" ht="12.75">
      <c r="A52" s="1"/>
      <c r="B52" s="1" t="s">
        <v>31</v>
      </c>
      <c r="C52" s="1"/>
      <c r="D52" s="1" t="s">
        <v>26</v>
      </c>
      <c r="E52" s="1"/>
    </row>
  </sheetData>
  <sheetProtection/>
  <mergeCells count="2">
    <mergeCell ref="D7:E7"/>
    <mergeCell ref="D8:E8"/>
  </mergeCells>
  <printOptions/>
  <pageMargins left="0.7" right="0.7" top="0.75" bottom="0.75" header="0.3" footer="0.3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C1">
      <selection activeCell="G15" sqref="G15:K35"/>
    </sheetView>
  </sheetViews>
  <sheetFormatPr defaultColWidth="9.00390625" defaultRowHeight="12.75"/>
  <cols>
    <col min="2" max="2" width="38.75390625" style="0" customWidth="1"/>
    <col min="4" max="4" width="12.375" style="0" customWidth="1"/>
    <col min="5" max="5" width="11.625" style="0" customWidth="1"/>
    <col min="7" max="7" width="10.625" style="0" customWidth="1"/>
  </cols>
  <sheetData>
    <row r="1" ht="15.75">
      <c r="B1" s="314" t="s">
        <v>25</v>
      </c>
    </row>
    <row r="2" ht="12.75">
      <c r="B2" t="s">
        <v>29</v>
      </c>
    </row>
    <row r="3" ht="12.75">
      <c r="B3" t="s">
        <v>216</v>
      </c>
    </row>
    <row r="4" ht="12.75">
      <c r="B4" t="s">
        <v>47</v>
      </c>
    </row>
    <row r="5" spans="1:5" ht="15.75">
      <c r="A5" s="336"/>
      <c r="B5" s="463" t="s">
        <v>1</v>
      </c>
      <c r="C5" s="464" t="s">
        <v>3</v>
      </c>
      <c r="D5" s="574" t="s">
        <v>4</v>
      </c>
      <c r="E5" s="575"/>
    </row>
    <row r="6" spans="1:5" ht="15.75">
      <c r="A6" s="322"/>
      <c r="B6" s="320" t="s">
        <v>2</v>
      </c>
      <c r="C6" s="321" t="s">
        <v>33</v>
      </c>
      <c r="D6" s="572" t="s">
        <v>140</v>
      </c>
      <c r="E6" s="573"/>
    </row>
    <row r="7" spans="1:5" ht="12.75">
      <c r="A7" s="323"/>
      <c r="B7" s="323"/>
      <c r="C7" s="323"/>
      <c r="D7" s="324"/>
      <c r="E7" s="325"/>
    </row>
    <row r="8" spans="1:5" ht="12.75">
      <c r="A8" s="323"/>
      <c r="B8" s="374" t="s">
        <v>78</v>
      </c>
      <c r="C8" s="323"/>
      <c r="D8" s="324">
        <v>-94422.93</v>
      </c>
      <c r="E8" s="325"/>
    </row>
    <row r="9" spans="1:5" ht="12.75">
      <c r="A9" s="323"/>
      <c r="B9" s="374" t="s">
        <v>85</v>
      </c>
      <c r="C9" s="323"/>
      <c r="D9" s="324">
        <v>-23949.58</v>
      </c>
      <c r="E9" s="325"/>
    </row>
    <row r="10" spans="1:5" ht="12.75">
      <c r="A10" s="326"/>
      <c r="B10" s="327" t="s">
        <v>5</v>
      </c>
      <c r="C10" s="326" t="s">
        <v>34</v>
      </c>
      <c r="D10" s="326">
        <v>5902.23</v>
      </c>
      <c r="E10" s="326"/>
    </row>
    <row r="11" spans="1:5" ht="12.75">
      <c r="A11" s="326"/>
      <c r="B11" s="327" t="s">
        <v>6</v>
      </c>
      <c r="C11" s="326" t="s">
        <v>34</v>
      </c>
      <c r="D11" s="326">
        <v>4583.71</v>
      </c>
      <c r="E11" s="326"/>
    </row>
    <row r="12" spans="1:5" ht="12.75">
      <c r="A12" s="326"/>
      <c r="B12" s="328" t="s">
        <v>124</v>
      </c>
      <c r="C12" s="326" t="s">
        <v>9</v>
      </c>
      <c r="D12" s="329">
        <v>412517.49</v>
      </c>
      <c r="E12" s="326"/>
    </row>
    <row r="13" spans="1:5" ht="12.75">
      <c r="A13" s="326"/>
      <c r="B13" s="328" t="s">
        <v>125</v>
      </c>
      <c r="C13" s="326" t="s">
        <v>9</v>
      </c>
      <c r="D13" s="425">
        <v>158694.48</v>
      </c>
      <c r="E13" s="326"/>
    </row>
    <row r="14" spans="1:5" ht="12.75">
      <c r="A14" s="326"/>
      <c r="B14" s="328"/>
      <c r="C14" s="326"/>
      <c r="D14" s="425"/>
      <c r="E14" s="326"/>
    </row>
    <row r="15" spans="1:5" ht="15.75">
      <c r="A15" s="326"/>
      <c r="B15" s="330" t="s">
        <v>7</v>
      </c>
      <c r="C15" s="326"/>
      <c r="D15" s="326"/>
      <c r="E15" s="326"/>
    </row>
    <row r="16" spans="1:5" ht="12.75">
      <c r="A16" s="326">
        <v>1</v>
      </c>
      <c r="B16" s="326" t="s">
        <v>8</v>
      </c>
      <c r="C16" s="326" t="s">
        <v>9</v>
      </c>
      <c r="D16" s="326">
        <v>403187.64</v>
      </c>
      <c r="E16" s="326"/>
    </row>
    <row r="17" spans="1:5" ht="12.75">
      <c r="A17" s="326">
        <v>2</v>
      </c>
      <c r="B17" s="326" t="s">
        <v>74</v>
      </c>
      <c r="C17" s="326"/>
      <c r="D17" s="326">
        <v>151485.49</v>
      </c>
      <c r="E17" s="326"/>
    </row>
    <row r="18" spans="1:5" ht="12.75">
      <c r="A18" s="326">
        <v>3</v>
      </c>
      <c r="B18" s="326" t="s">
        <v>82</v>
      </c>
      <c r="C18" s="326"/>
      <c r="D18" s="326">
        <v>22391.2</v>
      </c>
      <c r="E18" s="326"/>
    </row>
    <row r="19" spans="1:5" ht="15.75">
      <c r="A19" s="326"/>
      <c r="B19" s="330" t="s">
        <v>10</v>
      </c>
      <c r="C19" s="326"/>
      <c r="D19" s="329">
        <f>D16+D17+D18</f>
        <v>577064.33</v>
      </c>
      <c r="E19" s="326"/>
    </row>
    <row r="20" spans="1:5" ht="15.75">
      <c r="A20" s="326"/>
      <c r="B20" s="330"/>
      <c r="C20" s="326"/>
      <c r="D20" s="329"/>
      <c r="E20" s="326"/>
    </row>
    <row r="21" spans="1:5" ht="15.75">
      <c r="A21" s="14"/>
      <c r="B21" s="17" t="s">
        <v>57</v>
      </c>
      <c r="C21" s="14"/>
      <c r="D21" s="20"/>
      <c r="E21" s="49"/>
    </row>
    <row r="22" spans="1:5" ht="12.75">
      <c r="A22" s="358" t="s">
        <v>58</v>
      </c>
      <c r="B22" s="16" t="s">
        <v>59</v>
      </c>
      <c r="C22" s="14"/>
      <c r="D22" s="19">
        <f>D23+D26+D28+D29+D27</f>
        <v>236147.70305999997</v>
      </c>
      <c r="E22" s="49"/>
    </row>
    <row r="23" spans="1:5" ht="12.75">
      <c r="A23" s="14">
        <v>1</v>
      </c>
      <c r="B23" s="22" t="s">
        <v>11</v>
      </c>
      <c r="C23" s="22" t="s">
        <v>9</v>
      </c>
      <c r="D23" s="22">
        <f>D24+D25</f>
        <v>186428.53</v>
      </c>
      <c r="E23" s="49"/>
    </row>
    <row r="24" spans="1:5" ht="12.75">
      <c r="A24" s="468" t="s">
        <v>126</v>
      </c>
      <c r="B24" s="14" t="s">
        <v>12</v>
      </c>
      <c r="C24" s="14"/>
      <c r="D24" s="14">
        <v>74393.56</v>
      </c>
      <c r="E24" s="49"/>
    </row>
    <row r="25" spans="1:5" ht="12.75">
      <c r="A25" s="468" t="s">
        <v>127</v>
      </c>
      <c r="B25" s="22" t="s">
        <v>95</v>
      </c>
      <c r="C25" s="14"/>
      <c r="D25" s="22">
        <v>112034.97</v>
      </c>
      <c r="E25" s="49"/>
    </row>
    <row r="26" spans="1:5" ht="12.75">
      <c r="A26" s="22">
        <v>2</v>
      </c>
      <c r="B26" s="22" t="s">
        <v>136</v>
      </c>
      <c r="C26" s="14"/>
      <c r="D26" s="21">
        <f>D23*20.2%</f>
        <v>37658.56306</v>
      </c>
      <c r="E26" s="18"/>
    </row>
    <row r="27" spans="1:5" ht="12.75">
      <c r="A27" s="22">
        <v>3</v>
      </c>
      <c r="B27" s="22" t="s">
        <v>83</v>
      </c>
      <c r="C27" s="14"/>
      <c r="D27" s="21">
        <v>5420</v>
      </c>
      <c r="E27" s="18"/>
    </row>
    <row r="28" spans="1:5" ht="12.75">
      <c r="A28" s="22">
        <v>4</v>
      </c>
      <c r="B28" s="352" t="s">
        <v>15</v>
      </c>
      <c r="C28" s="14"/>
      <c r="D28" s="22">
        <f>1574.39+266.22</f>
        <v>1840.6100000000001</v>
      </c>
      <c r="E28" s="18"/>
    </row>
    <row r="29" spans="1:5" ht="12.75">
      <c r="A29" s="22">
        <v>5</v>
      </c>
      <c r="B29" s="22" t="s">
        <v>143</v>
      </c>
      <c r="C29" s="14"/>
      <c r="D29" s="14">
        <v>4800</v>
      </c>
      <c r="E29" s="18"/>
    </row>
    <row r="30" spans="1:5" ht="12.75">
      <c r="A30" s="358" t="s">
        <v>61</v>
      </c>
      <c r="B30" s="359" t="s">
        <v>129</v>
      </c>
      <c r="C30" s="14"/>
      <c r="D30" s="19">
        <f>D31+D32+D33+D34+D35+D36+D37</f>
        <v>167769.97351</v>
      </c>
      <c r="E30" s="19"/>
    </row>
    <row r="31" spans="1:5" ht="12.75">
      <c r="A31" s="14"/>
      <c r="B31" s="14" t="s">
        <v>17</v>
      </c>
      <c r="C31" s="14"/>
      <c r="D31" s="18">
        <f>D19*4.7%</f>
        <v>27122.02351</v>
      </c>
      <c r="E31" s="14"/>
    </row>
    <row r="32" spans="1:5" ht="12.75">
      <c r="A32" s="14"/>
      <c r="B32" s="14" t="s">
        <v>18</v>
      </c>
      <c r="C32" s="14"/>
      <c r="D32" s="14">
        <v>3202.43</v>
      </c>
      <c r="E32" s="14"/>
    </row>
    <row r="33" spans="1:5" ht="12.75">
      <c r="A33" s="14"/>
      <c r="B33" s="14" t="s">
        <v>19</v>
      </c>
      <c r="C33" s="14"/>
      <c r="D33" s="14">
        <v>7064.34</v>
      </c>
      <c r="E33" s="14"/>
    </row>
    <row r="34" spans="1:5" ht="12.75">
      <c r="A34" s="14"/>
      <c r="B34" s="14" t="s">
        <v>20</v>
      </c>
      <c r="C34" s="14"/>
      <c r="D34" s="18">
        <v>14471.92</v>
      </c>
      <c r="E34" s="18"/>
    </row>
    <row r="35" spans="1:5" ht="12.75">
      <c r="A35" s="14"/>
      <c r="B35" s="352" t="s">
        <v>28</v>
      </c>
      <c r="C35" s="14"/>
      <c r="D35" s="14">
        <v>583.04</v>
      </c>
      <c r="E35" s="14"/>
    </row>
    <row r="36" spans="1:5" ht="12.75">
      <c r="A36" s="14"/>
      <c r="B36" s="22" t="s">
        <v>130</v>
      </c>
      <c r="C36" s="14"/>
      <c r="D36" s="14">
        <f>56730.66*2</f>
        <v>113461.32</v>
      </c>
      <c r="E36" s="14"/>
    </row>
    <row r="37" spans="1:5" ht="12.75">
      <c r="A37" s="14"/>
      <c r="B37" s="22" t="s">
        <v>131</v>
      </c>
      <c r="C37" s="14"/>
      <c r="D37" s="14">
        <v>1864.9</v>
      </c>
      <c r="E37" s="14"/>
    </row>
    <row r="38" spans="1:7" ht="12.75">
      <c r="A38" s="358" t="s">
        <v>62</v>
      </c>
      <c r="B38" s="20" t="s">
        <v>92</v>
      </c>
      <c r="C38" s="14"/>
      <c r="D38" s="19">
        <v>110559.6</v>
      </c>
      <c r="E38" s="19"/>
      <c r="G38" s="382"/>
    </row>
    <row r="39" spans="1:5" ht="12.75">
      <c r="A39" s="14">
        <v>5</v>
      </c>
      <c r="B39" s="20" t="s">
        <v>23</v>
      </c>
      <c r="C39" s="14"/>
      <c r="D39" s="19">
        <f>D22+D30+D38</f>
        <v>514477.27657</v>
      </c>
      <c r="E39" s="14"/>
    </row>
    <row r="40" spans="1:5" ht="12.75">
      <c r="A40" s="14">
        <v>6</v>
      </c>
      <c r="B40" s="14" t="s">
        <v>32</v>
      </c>
      <c r="C40" s="14"/>
      <c r="D40" s="19">
        <f>D19*6%</f>
        <v>34623.8598</v>
      </c>
      <c r="E40" s="14"/>
    </row>
    <row r="41" spans="1:5" ht="12.75">
      <c r="A41" s="14">
        <v>7</v>
      </c>
      <c r="B41" s="20" t="s">
        <v>24</v>
      </c>
      <c r="C41" s="14"/>
      <c r="D41" s="19">
        <f>D39+D40</f>
        <v>549101.13637</v>
      </c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>
        <v>8</v>
      </c>
      <c r="B43" s="20" t="s">
        <v>166</v>
      </c>
      <c r="C43" s="14"/>
      <c r="D43" s="19">
        <f>(D16+D18)-D41+16208.95</f>
        <v>-107313.34636999994</v>
      </c>
      <c r="E43" s="14"/>
    </row>
    <row r="44" spans="1:5" ht="12.75">
      <c r="A44" s="14">
        <v>9</v>
      </c>
      <c r="B44" s="20" t="s">
        <v>132</v>
      </c>
      <c r="C44" s="14"/>
      <c r="D44" s="19">
        <f>D8+D43</f>
        <v>-201736.27636999992</v>
      </c>
      <c r="E44" s="14"/>
    </row>
    <row r="45" spans="1:5" ht="12.75">
      <c r="A45" s="3"/>
      <c r="B45" s="377"/>
      <c r="C45" s="3"/>
      <c r="D45" s="380"/>
      <c r="E45" s="3"/>
    </row>
    <row r="46" spans="1:5" ht="12.75">
      <c r="A46" s="3"/>
      <c r="B46" s="377"/>
      <c r="C46" s="3"/>
      <c r="D46" s="380"/>
      <c r="E46" s="3"/>
    </row>
    <row r="47" spans="1:5" ht="12.75">
      <c r="A47" s="3"/>
      <c r="B47" s="377" t="s">
        <v>74</v>
      </c>
      <c r="C47" s="3"/>
      <c r="D47" s="380">
        <f>D9+D17-16208.95</f>
        <v>111326.95999999999</v>
      </c>
      <c r="E47" s="3"/>
    </row>
    <row r="48" spans="1:5" ht="12.75">
      <c r="A48" s="3"/>
      <c r="B48" s="377" t="s">
        <v>87</v>
      </c>
      <c r="C48" s="3"/>
      <c r="D48" s="380">
        <f>41026.72+3000</f>
        <v>44026.72</v>
      </c>
      <c r="E48" s="3"/>
    </row>
    <row r="49" spans="1:5" ht="12.75">
      <c r="A49" s="3"/>
      <c r="B49" s="377" t="s">
        <v>86</v>
      </c>
      <c r="C49" s="3"/>
      <c r="D49" s="380">
        <f>D47-D48</f>
        <v>67300.23999999999</v>
      </c>
      <c r="E49" s="3"/>
    </row>
    <row r="50" spans="1:5" ht="12.75">
      <c r="A50" s="3"/>
      <c r="B50" s="377"/>
      <c r="C50" s="3"/>
      <c r="D50" s="380"/>
      <c r="E50" s="3"/>
    </row>
    <row r="51" spans="1:5" ht="12.75">
      <c r="A51" s="3"/>
      <c r="B51" s="377"/>
      <c r="C51" s="3"/>
      <c r="D51" s="380"/>
      <c r="E51" s="3"/>
    </row>
    <row r="52" spans="1:5" ht="12.75">
      <c r="A52" s="1"/>
      <c r="B52" s="1" t="s">
        <v>30</v>
      </c>
      <c r="C52" s="1"/>
      <c r="D52" s="1" t="s">
        <v>0</v>
      </c>
      <c r="E52" s="1"/>
    </row>
    <row r="53" spans="1:5" ht="12.75">
      <c r="A53" s="1"/>
      <c r="B53" s="1" t="s">
        <v>31</v>
      </c>
      <c r="C53" s="1"/>
      <c r="D53" s="1" t="s">
        <v>26</v>
      </c>
      <c r="E53" s="1"/>
    </row>
  </sheetData>
  <sheetProtection/>
  <mergeCells count="2">
    <mergeCell ref="D5:E5"/>
    <mergeCell ref="D6:E6"/>
  </mergeCells>
  <printOptions/>
  <pageMargins left="0.7" right="0.7" top="0.75" bottom="0.75" header="0.3" footer="0.3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">
      <selection activeCell="H14" sqref="H14:H17"/>
    </sheetView>
  </sheetViews>
  <sheetFormatPr defaultColWidth="9.00390625" defaultRowHeight="12.75"/>
  <cols>
    <col min="1" max="1" width="3.75390625" style="0" customWidth="1"/>
    <col min="2" max="2" width="39.625" style="0" customWidth="1"/>
    <col min="3" max="3" width="7.125" style="0" customWidth="1"/>
    <col min="4" max="4" width="11.625" style="0" customWidth="1"/>
    <col min="5" max="5" width="10.25390625" style="0" customWidth="1"/>
    <col min="7" max="7" width="15.00390625" style="0" customWidth="1"/>
    <col min="8" max="8" width="12.25390625" style="0" customWidth="1"/>
    <col min="15" max="15" width="38.375" style="0" customWidth="1"/>
    <col min="21" max="21" width="42.625" style="0" customWidth="1"/>
    <col min="23" max="23" width="11.0039062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152</v>
      </c>
    </row>
    <row r="5" ht="12.75">
      <c r="B5" t="s">
        <v>46</v>
      </c>
    </row>
    <row r="6" spans="1:5" ht="15.75">
      <c r="A6" s="326"/>
      <c r="B6" s="330" t="s">
        <v>1</v>
      </c>
      <c r="C6" s="328" t="s">
        <v>3</v>
      </c>
      <c r="D6" s="578" t="s">
        <v>4</v>
      </c>
      <c r="E6" s="579"/>
    </row>
    <row r="7" spans="1:5" ht="15.75">
      <c r="A7" s="322"/>
      <c r="B7" s="320" t="s">
        <v>2</v>
      </c>
      <c r="C7" s="321" t="s">
        <v>33</v>
      </c>
      <c r="D7" s="572" t="s">
        <v>140</v>
      </c>
      <c r="E7" s="573"/>
    </row>
    <row r="8" spans="1:5" ht="12.75">
      <c r="A8" s="326"/>
      <c r="B8" s="295" t="s">
        <v>78</v>
      </c>
      <c r="C8" s="326"/>
      <c r="D8" s="340">
        <v>-7663.33</v>
      </c>
      <c r="E8" s="335"/>
    </row>
    <row r="9" spans="1:5" ht="12.75">
      <c r="A9" s="323"/>
      <c r="B9" s="374" t="s">
        <v>85</v>
      </c>
      <c r="C9" s="323"/>
      <c r="D9" s="324">
        <v>61605.16</v>
      </c>
      <c r="E9" s="325"/>
    </row>
    <row r="10" spans="1:5" ht="12.75">
      <c r="A10" s="326"/>
      <c r="B10" s="327" t="s">
        <v>5</v>
      </c>
      <c r="C10" s="326" t="s">
        <v>34</v>
      </c>
      <c r="D10" s="326">
        <v>3713.1</v>
      </c>
      <c r="E10" s="326"/>
    </row>
    <row r="11" spans="1:5" ht="12.75">
      <c r="A11" s="326"/>
      <c r="B11" s="327" t="s">
        <v>6</v>
      </c>
      <c r="C11" s="326" t="s">
        <v>34</v>
      </c>
      <c r="D11" s="326">
        <v>3054.59</v>
      </c>
      <c r="E11" s="326"/>
    </row>
    <row r="12" spans="1:5" ht="12.75">
      <c r="A12" s="326"/>
      <c r="B12" s="328" t="s">
        <v>27</v>
      </c>
      <c r="C12" s="326" t="s">
        <v>9</v>
      </c>
      <c r="D12" s="329">
        <v>300850.8</v>
      </c>
      <c r="E12" s="326"/>
    </row>
    <row r="13" spans="1:5" ht="12.75">
      <c r="A13" s="326"/>
      <c r="B13" s="326"/>
      <c r="C13" s="326"/>
      <c r="D13" s="326"/>
      <c r="E13" s="326"/>
    </row>
    <row r="14" spans="1:5" ht="15.75">
      <c r="A14" s="326"/>
      <c r="B14" s="330" t="s">
        <v>7</v>
      </c>
      <c r="C14" s="326"/>
      <c r="D14" s="326"/>
      <c r="E14" s="326"/>
    </row>
    <row r="15" spans="1:5" ht="12.75">
      <c r="A15" s="326">
        <v>1</v>
      </c>
      <c r="B15" s="326" t="s">
        <v>8</v>
      </c>
      <c r="C15" s="326" t="s">
        <v>9</v>
      </c>
      <c r="D15" s="326">
        <v>206919.26</v>
      </c>
      <c r="E15" s="326"/>
    </row>
    <row r="16" spans="1:5" ht="12.75">
      <c r="A16" s="326">
        <v>2</v>
      </c>
      <c r="B16" s="326" t="s">
        <v>74</v>
      </c>
      <c r="C16" s="326"/>
      <c r="D16" s="326">
        <v>58379.84</v>
      </c>
      <c r="E16" s="326"/>
    </row>
    <row r="17" spans="1:5" ht="12.75">
      <c r="A17" s="326">
        <v>3</v>
      </c>
      <c r="B17" s="326" t="s">
        <v>82</v>
      </c>
      <c r="C17" s="326"/>
      <c r="D17" s="326">
        <v>6000</v>
      </c>
      <c r="E17" s="326"/>
    </row>
    <row r="18" spans="1:5" ht="15.75">
      <c r="A18" s="326"/>
      <c r="B18" s="330" t="s">
        <v>10</v>
      </c>
      <c r="C18" s="326"/>
      <c r="D18" s="329">
        <f>D15+D16+D17</f>
        <v>271299.1</v>
      </c>
      <c r="E18" s="326"/>
    </row>
    <row r="19" spans="1:5" ht="15.75">
      <c r="A19" s="326"/>
      <c r="B19" s="330"/>
      <c r="C19" s="326"/>
      <c r="D19" s="329"/>
      <c r="E19" s="326"/>
    </row>
    <row r="20" spans="1:5" ht="15.75">
      <c r="A20" s="14"/>
      <c r="B20" s="17" t="s">
        <v>57</v>
      </c>
      <c r="C20" s="14"/>
      <c r="D20" s="20"/>
      <c r="E20" s="49"/>
    </row>
    <row r="21" spans="1:5" ht="12.75">
      <c r="A21" s="358" t="s">
        <v>58</v>
      </c>
      <c r="B21" s="16" t="s">
        <v>59</v>
      </c>
      <c r="C21" s="14"/>
      <c r="D21" s="19">
        <f>D22+D23+D24</f>
        <v>65203.0198</v>
      </c>
      <c r="E21" s="19"/>
    </row>
    <row r="22" spans="1:5" ht="12.75">
      <c r="A22" s="14">
        <v>1</v>
      </c>
      <c r="B22" s="22" t="s">
        <v>11</v>
      </c>
      <c r="C22" s="22" t="s">
        <v>9</v>
      </c>
      <c r="D22" s="22">
        <v>53374.9</v>
      </c>
      <c r="E22" s="21"/>
    </row>
    <row r="23" spans="1:5" ht="12.75">
      <c r="A23" s="14">
        <v>2</v>
      </c>
      <c r="B23" s="22" t="s">
        <v>136</v>
      </c>
      <c r="C23" s="14"/>
      <c r="D23" s="18">
        <f>D22*20.2%</f>
        <v>10781.7298</v>
      </c>
      <c r="E23" s="18"/>
    </row>
    <row r="24" spans="1:5" ht="12.75">
      <c r="A24" s="14">
        <v>3</v>
      </c>
      <c r="B24" s="352" t="s">
        <v>15</v>
      </c>
      <c r="C24" s="14"/>
      <c r="D24" s="14">
        <v>1046.39</v>
      </c>
      <c r="E24" s="18"/>
    </row>
    <row r="25" spans="1:5" ht="12.75">
      <c r="A25" s="358" t="s">
        <v>61</v>
      </c>
      <c r="B25" s="359" t="s">
        <v>60</v>
      </c>
      <c r="C25" s="14"/>
      <c r="D25" s="19">
        <f>D26+D27+D28+D29+D30</f>
        <v>97412.69848</v>
      </c>
      <c r="E25" s="18"/>
    </row>
    <row r="26" spans="1:5" ht="12.75">
      <c r="A26" s="14">
        <v>1</v>
      </c>
      <c r="B26" s="22" t="s">
        <v>144</v>
      </c>
      <c r="C26" s="14"/>
      <c r="D26" s="22">
        <v>74660.24</v>
      </c>
      <c r="E26" s="18"/>
    </row>
    <row r="27" spans="1:5" ht="12.75">
      <c r="A27" s="14">
        <v>2</v>
      </c>
      <c r="B27" s="22" t="s">
        <v>136</v>
      </c>
      <c r="C27" s="14"/>
      <c r="D27" s="21">
        <f>D26*20.2%</f>
        <v>15081.36848</v>
      </c>
      <c r="E27" s="18"/>
    </row>
    <row r="28" spans="1:5" ht="12.75">
      <c r="A28" s="14">
        <v>3</v>
      </c>
      <c r="B28" s="22" t="s">
        <v>15</v>
      </c>
      <c r="C28" s="14"/>
      <c r="D28" s="22">
        <v>615.09</v>
      </c>
      <c r="E28" s="14"/>
    </row>
    <row r="29" spans="1:5" ht="12.75">
      <c r="A29" s="14">
        <v>4</v>
      </c>
      <c r="B29" s="22" t="s">
        <v>81</v>
      </c>
      <c r="C29" s="14"/>
      <c r="D29" s="22">
        <v>2112</v>
      </c>
      <c r="E29" s="14"/>
    </row>
    <row r="30" spans="1:5" ht="12.75">
      <c r="A30" s="14">
        <v>5</v>
      </c>
      <c r="B30" s="22" t="s">
        <v>83</v>
      </c>
      <c r="C30" s="14"/>
      <c r="D30" s="22">
        <v>4944</v>
      </c>
      <c r="E30" s="14"/>
    </row>
    <row r="31" spans="1:5" ht="12.75">
      <c r="A31" s="358" t="s">
        <v>62</v>
      </c>
      <c r="B31" s="20" t="s">
        <v>16</v>
      </c>
      <c r="C31" s="14"/>
      <c r="D31" s="19">
        <f>D32+D33+D34+D35+D36+D37+D38+D39</f>
        <v>40592.87500000001</v>
      </c>
      <c r="E31" s="19"/>
    </row>
    <row r="32" spans="1:5" ht="12.75">
      <c r="A32" s="14"/>
      <c r="B32" s="14" t="s">
        <v>17</v>
      </c>
      <c r="C32" s="14"/>
      <c r="D32" s="18">
        <f>D18*5%</f>
        <v>13564.955</v>
      </c>
      <c r="E32" s="14"/>
    </row>
    <row r="33" spans="1:5" ht="12.75">
      <c r="A33" s="14"/>
      <c r="B33" s="14" t="s">
        <v>18</v>
      </c>
      <c r="C33" s="14"/>
      <c r="D33" s="14">
        <v>3922.05</v>
      </c>
      <c r="E33" s="14"/>
    </row>
    <row r="34" spans="1:5" ht="12.75">
      <c r="A34" s="14"/>
      <c r="B34" s="14" t="s">
        <v>19</v>
      </c>
      <c r="C34" s="14"/>
      <c r="D34" s="14">
        <v>8351.85</v>
      </c>
      <c r="E34" s="14"/>
    </row>
    <row r="35" spans="1:5" ht="12.75">
      <c r="A35" s="14"/>
      <c r="B35" s="14" t="s">
        <v>20</v>
      </c>
      <c r="C35" s="14"/>
      <c r="D35" s="18">
        <v>9644.11</v>
      </c>
      <c r="E35" s="18"/>
    </row>
    <row r="36" spans="1:5" ht="12.75">
      <c r="A36" s="14"/>
      <c r="B36" s="22" t="s">
        <v>141</v>
      </c>
      <c r="C36" s="14"/>
      <c r="D36" s="14">
        <v>200</v>
      </c>
      <c r="E36" s="14"/>
    </row>
    <row r="37" spans="1:5" ht="12.75">
      <c r="A37" s="14"/>
      <c r="B37" s="352" t="s">
        <v>28</v>
      </c>
      <c r="C37" s="14"/>
      <c r="D37" s="14">
        <v>333.6</v>
      </c>
      <c r="E37" s="14"/>
    </row>
    <row r="38" spans="1:5" ht="12.75">
      <c r="A38" s="14"/>
      <c r="B38" s="352" t="s">
        <v>55</v>
      </c>
      <c r="C38" s="14"/>
      <c r="D38" s="14">
        <v>1242.8</v>
      </c>
      <c r="E38" s="14"/>
    </row>
    <row r="39" spans="1:5" ht="12.75">
      <c r="A39" s="14"/>
      <c r="B39" s="14" t="s">
        <v>21</v>
      </c>
      <c r="C39" s="14"/>
      <c r="D39" s="14">
        <v>3333.51</v>
      </c>
      <c r="E39" s="14"/>
    </row>
    <row r="40" spans="1:5" ht="12.75">
      <c r="A40" s="15" t="s">
        <v>64</v>
      </c>
      <c r="B40" s="20" t="s">
        <v>22</v>
      </c>
      <c r="C40" s="14"/>
      <c r="D40" s="19">
        <v>74022.16</v>
      </c>
      <c r="E40" s="19"/>
    </row>
    <row r="41" spans="1:5" ht="12.75">
      <c r="A41" s="15" t="s">
        <v>65</v>
      </c>
      <c r="B41" s="20" t="s">
        <v>23</v>
      </c>
      <c r="C41" s="14"/>
      <c r="D41" s="19">
        <f>D21+D25+D31+D40</f>
        <v>277230.75328</v>
      </c>
      <c r="E41" s="14"/>
    </row>
    <row r="42" spans="1:5" ht="12.75">
      <c r="A42" s="15" t="s">
        <v>66</v>
      </c>
      <c r="B42" s="14" t="s">
        <v>32</v>
      </c>
      <c r="C42" s="14"/>
      <c r="D42" s="19">
        <f>D18*6%</f>
        <v>16277.945999999998</v>
      </c>
      <c r="E42" s="14"/>
    </row>
    <row r="43" spans="1:5" ht="12.75">
      <c r="A43" s="15" t="s">
        <v>67</v>
      </c>
      <c r="B43" s="20" t="s">
        <v>24</v>
      </c>
      <c r="C43" s="14"/>
      <c r="D43" s="19">
        <f>D41+D42</f>
        <v>293508.69928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5" t="s">
        <v>68</v>
      </c>
      <c r="B45" s="20" t="s">
        <v>142</v>
      </c>
      <c r="C45" s="14"/>
      <c r="D45" s="19">
        <f>(D15+D17)-D43+6246.64</f>
        <v>-74342.79927999999</v>
      </c>
      <c r="E45" s="14"/>
    </row>
    <row r="46" spans="1:5" ht="12.75">
      <c r="A46" s="15" t="s">
        <v>69</v>
      </c>
      <c r="B46" s="20" t="s">
        <v>44</v>
      </c>
      <c r="C46" s="14"/>
      <c r="D46" s="19">
        <f>D8+D45</f>
        <v>-82006.12928</v>
      </c>
      <c r="E46" s="14"/>
    </row>
    <row r="47" spans="1:5" ht="12.75">
      <c r="A47" s="3"/>
      <c r="B47" s="377" t="s">
        <v>74</v>
      </c>
      <c r="C47" s="3"/>
      <c r="D47" s="380">
        <f>D16+D9-6246.64</f>
        <v>113738.36</v>
      </c>
      <c r="E47" s="3"/>
    </row>
    <row r="48" spans="1:5" ht="12.75">
      <c r="A48" s="3"/>
      <c r="B48" s="377" t="s">
        <v>87</v>
      </c>
      <c r="C48" s="3"/>
      <c r="D48" s="380">
        <f>1812.8+3000+5735.81</f>
        <v>10548.61</v>
      </c>
      <c r="E48" s="3"/>
    </row>
    <row r="49" spans="1:5" ht="12.75">
      <c r="A49" s="3"/>
      <c r="B49" s="377" t="s">
        <v>86</v>
      </c>
      <c r="C49" s="3"/>
      <c r="D49" s="380">
        <f>D47-D48</f>
        <v>103189.75</v>
      </c>
      <c r="E49" s="3"/>
    </row>
    <row r="50" spans="1:5" ht="12.75">
      <c r="A50" s="3"/>
      <c r="B50" s="377"/>
      <c r="C50" s="3"/>
      <c r="D50" s="380"/>
      <c r="E50" s="3"/>
    </row>
    <row r="51" spans="1:5" ht="12.75">
      <c r="A51" s="1"/>
      <c r="B51" s="1" t="s">
        <v>30</v>
      </c>
      <c r="C51" s="1"/>
      <c r="D51" s="1" t="s">
        <v>0</v>
      </c>
      <c r="E51" s="1"/>
    </row>
    <row r="52" spans="1:5" ht="12.75">
      <c r="A52" s="1"/>
      <c r="B52" s="1" t="s">
        <v>31</v>
      </c>
      <c r="C52" s="1"/>
      <c r="D52" s="1" t="s">
        <v>26</v>
      </c>
      <c r="E52" s="1"/>
    </row>
  </sheetData>
  <sheetProtection/>
  <mergeCells count="2">
    <mergeCell ref="D6:E6"/>
    <mergeCell ref="D7:E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G16" sqref="G16:H23"/>
    </sheetView>
  </sheetViews>
  <sheetFormatPr defaultColWidth="9.00390625" defaultRowHeight="12.75"/>
  <cols>
    <col min="2" max="2" width="38.625" style="0" customWidth="1"/>
    <col min="3" max="3" width="10.25390625" style="0" customWidth="1"/>
    <col min="4" max="4" width="14.00390625" style="0" customWidth="1"/>
    <col min="5" max="5" width="11.375" style="0" customWidth="1"/>
    <col min="7" max="7" width="9.12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153</v>
      </c>
    </row>
    <row r="5" ht="12.75">
      <c r="B5" t="s">
        <v>46</v>
      </c>
    </row>
    <row r="6" spans="1:5" ht="12.75">
      <c r="A6" s="569"/>
      <c r="B6" s="569"/>
      <c r="C6" s="569"/>
      <c r="D6" s="315"/>
      <c r="E6" s="316"/>
    </row>
    <row r="7" spans="1:5" ht="12.75">
      <c r="A7" s="317"/>
      <c r="B7" s="317"/>
      <c r="C7" s="317"/>
      <c r="D7" s="318"/>
      <c r="E7" s="319"/>
    </row>
    <row r="8" spans="1:5" ht="15.75">
      <c r="A8" s="317"/>
      <c r="B8" s="320" t="s">
        <v>1</v>
      </c>
      <c r="C8" s="321" t="s">
        <v>3</v>
      </c>
      <c r="D8" s="570" t="s">
        <v>4</v>
      </c>
      <c r="E8" s="571"/>
    </row>
    <row r="9" spans="1:5" ht="15.75">
      <c r="A9" s="322"/>
      <c r="B9" s="320" t="s">
        <v>2</v>
      </c>
      <c r="C9" s="321" t="s">
        <v>33</v>
      </c>
      <c r="D9" s="572" t="s">
        <v>138</v>
      </c>
      <c r="E9" s="573"/>
    </row>
    <row r="10" spans="1:5" ht="12.75">
      <c r="A10" s="323"/>
      <c r="B10" s="323"/>
      <c r="C10" s="323"/>
      <c r="D10" s="324"/>
      <c r="E10" s="325"/>
    </row>
    <row r="11" spans="1:5" ht="12.75">
      <c r="A11" s="323"/>
      <c r="B11" s="338" t="s">
        <v>70</v>
      </c>
      <c r="C11" s="323"/>
      <c r="D11" s="324">
        <v>225202.98</v>
      </c>
      <c r="E11" s="325"/>
    </row>
    <row r="12" spans="1:5" ht="12.75">
      <c r="A12" s="326"/>
      <c r="B12" s="327" t="s">
        <v>5</v>
      </c>
      <c r="C12" s="326" t="s">
        <v>34</v>
      </c>
      <c r="D12" s="326">
        <v>7687.9</v>
      </c>
      <c r="E12" s="326"/>
    </row>
    <row r="13" spans="1:5" ht="12.75">
      <c r="A13" s="326"/>
      <c r="B13" s="327" t="s">
        <v>6</v>
      </c>
      <c r="C13" s="326" t="s">
        <v>34</v>
      </c>
      <c r="D13" s="326">
        <v>4987.7</v>
      </c>
      <c r="E13" s="326"/>
    </row>
    <row r="14" spans="1:5" ht="12.75">
      <c r="A14" s="326"/>
      <c r="B14" s="328" t="s">
        <v>27</v>
      </c>
      <c r="C14" s="326" t="s">
        <v>9</v>
      </c>
      <c r="D14" s="329">
        <v>400156.31</v>
      </c>
      <c r="E14" s="326"/>
    </row>
    <row r="15" spans="1:5" ht="12.75">
      <c r="A15" s="326"/>
      <c r="B15" s="326"/>
      <c r="C15" s="326"/>
      <c r="D15" s="326"/>
      <c r="E15" s="326"/>
    </row>
    <row r="16" spans="1:5" ht="15.75">
      <c r="A16" s="326"/>
      <c r="B16" s="330" t="s">
        <v>7</v>
      </c>
      <c r="C16" s="326"/>
      <c r="D16" s="326"/>
      <c r="E16" s="326"/>
    </row>
    <row r="17" spans="1:5" ht="12.75">
      <c r="A17" s="326">
        <v>1</v>
      </c>
      <c r="B17" s="326" t="s">
        <v>8</v>
      </c>
      <c r="C17" s="326" t="s">
        <v>9</v>
      </c>
      <c r="D17" s="326">
        <v>427456.54</v>
      </c>
      <c r="E17" s="326"/>
    </row>
    <row r="18" spans="1:5" ht="12.75">
      <c r="A18" s="326">
        <v>3</v>
      </c>
      <c r="B18" s="326" t="s">
        <v>82</v>
      </c>
      <c r="C18" s="326"/>
      <c r="D18" s="326">
        <v>318000</v>
      </c>
      <c r="E18" s="326"/>
    </row>
    <row r="19" spans="1:5" ht="15.75">
      <c r="A19" s="326"/>
      <c r="B19" s="330" t="s">
        <v>10</v>
      </c>
      <c r="C19" s="326"/>
      <c r="D19" s="329">
        <f>SUM(D17:D18)</f>
        <v>745456.54</v>
      </c>
      <c r="E19" s="326"/>
    </row>
    <row r="20" spans="1:5" ht="15.75">
      <c r="A20" s="326"/>
      <c r="B20" s="330"/>
      <c r="C20" s="326"/>
      <c r="D20" s="329"/>
      <c r="E20" s="326"/>
    </row>
    <row r="21" spans="1:5" ht="15.75">
      <c r="A21" s="14"/>
      <c r="B21" s="17" t="s">
        <v>57</v>
      </c>
      <c r="C21" s="14"/>
      <c r="D21" s="20"/>
      <c r="E21" s="326"/>
    </row>
    <row r="22" spans="1:5" ht="12.75">
      <c r="A22" s="358" t="s">
        <v>58</v>
      </c>
      <c r="B22" s="16" t="s">
        <v>59</v>
      </c>
      <c r="C22" s="14"/>
      <c r="D22" s="19">
        <f>D23+D29+D28+D27</f>
        <v>252757.84747999997</v>
      </c>
      <c r="E22" s="326"/>
    </row>
    <row r="23" spans="1:5" ht="12.75">
      <c r="A23" s="14">
        <v>1</v>
      </c>
      <c r="B23" s="22" t="s">
        <v>11</v>
      </c>
      <c r="C23" s="22" t="s">
        <v>9</v>
      </c>
      <c r="D23" s="21">
        <f>D24+D25+D26</f>
        <v>203399.74</v>
      </c>
      <c r="E23" s="326"/>
    </row>
    <row r="24" spans="1:5" ht="12.75">
      <c r="A24" s="14"/>
      <c r="B24" s="14" t="s">
        <v>12</v>
      </c>
      <c r="C24" s="14"/>
      <c r="D24" s="14">
        <v>50085.27</v>
      </c>
      <c r="E24" s="326"/>
    </row>
    <row r="25" spans="1:5" ht="12.75">
      <c r="A25" s="14"/>
      <c r="B25" s="14" t="s">
        <v>13</v>
      </c>
      <c r="C25" s="14"/>
      <c r="D25" s="353">
        <v>73644.65</v>
      </c>
      <c r="E25" s="326"/>
    </row>
    <row r="26" spans="1:5" ht="12.75">
      <c r="A26" s="14"/>
      <c r="B26" s="14" t="s">
        <v>14</v>
      </c>
      <c r="C26" s="14"/>
      <c r="D26" s="14">
        <v>79669.82</v>
      </c>
      <c r="E26" s="326"/>
    </row>
    <row r="27" spans="1:5" ht="12.75">
      <c r="A27" s="14">
        <v>2</v>
      </c>
      <c r="B27" s="22" t="s">
        <v>136</v>
      </c>
      <c r="C27" s="14"/>
      <c r="D27" s="18">
        <f>D23*20.2%</f>
        <v>41086.74748</v>
      </c>
      <c r="E27" s="18"/>
    </row>
    <row r="28" spans="1:5" ht="12.75">
      <c r="A28" s="14">
        <v>3</v>
      </c>
      <c r="B28" s="14" t="s">
        <v>143</v>
      </c>
      <c r="C28" s="14"/>
      <c r="D28" s="14">
        <v>2664.25</v>
      </c>
      <c r="E28" s="18"/>
    </row>
    <row r="29" spans="1:5" ht="12.75">
      <c r="A29" s="14">
        <v>4</v>
      </c>
      <c r="B29" s="352" t="s">
        <v>15</v>
      </c>
      <c r="C29" s="14"/>
      <c r="D29" s="14">
        <v>5607.11</v>
      </c>
      <c r="E29" s="18"/>
    </row>
    <row r="30" spans="1:5" ht="12.75">
      <c r="A30" s="358" t="s">
        <v>61</v>
      </c>
      <c r="B30" s="359" t="s">
        <v>60</v>
      </c>
      <c r="C30" s="14"/>
      <c r="D30" s="19">
        <f>D31+D32+D33+D34+D35</f>
        <v>160198.16082</v>
      </c>
      <c r="E30" s="18"/>
    </row>
    <row r="31" spans="1:5" ht="12.75">
      <c r="A31" s="14">
        <v>1</v>
      </c>
      <c r="B31" s="22" t="s">
        <v>144</v>
      </c>
      <c r="C31" s="14"/>
      <c r="D31" s="22">
        <v>121909.41</v>
      </c>
      <c r="E31" s="18"/>
    </row>
    <row r="32" spans="1:5" ht="12.75">
      <c r="A32" s="14">
        <v>2</v>
      </c>
      <c r="B32" s="22" t="s">
        <v>136</v>
      </c>
      <c r="C32" s="14"/>
      <c r="D32" s="21">
        <f>D31*20.2%</f>
        <v>24625.70082</v>
      </c>
      <c r="E32" s="18"/>
    </row>
    <row r="33" spans="1:5" ht="12.75">
      <c r="A33" s="14">
        <v>3</v>
      </c>
      <c r="B33" s="22" t="s">
        <v>15</v>
      </c>
      <c r="C33" s="14"/>
      <c r="D33" s="22">
        <v>227.05</v>
      </c>
      <c r="E33" s="14"/>
    </row>
    <row r="34" spans="1:5" ht="12.75">
      <c r="A34" s="14">
        <v>4</v>
      </c>
      <c r="B34" s="22" t="s">
        <v>83</v>
      </c>
      <c r="C34" s="14"/>
      <c r="D34" s="22">
        <v>11500</v>
      </c>
      <c r="E34" s="14"/>
    </row>
    <row r="35" spans="1:5" ht="12.75">
      <c r="A35" s="469">
        <v>5</v>
      </c>
      <c r="B35" s="22" t="s">
        <v>91</v>
      </c>
      <c r="C35" s="14"/>
      <c r="D35" s="22">
        <v>1936</v>
      </c>
      <c r="E35" s="14"/>
    </row>
    <row r="36" spans="1:5" ht="12.75">
      <c r="A36" s="358" t="s">
        <v>62</v>
      </c>
      <c r="B36" s="20" t="s">
        <v>16</v>
      </c>
      <c r="C36" s="14"/>
      <c r="D36" s="19">
        <f>D37+D38+D39+D40+D41+D42+D43+D44+D45</f>
        <v>93197.117</v>
      </c>
      <c r="E36" s="19"/>
    </row>
    <row r="37" spans="1:5" ht="12.75">
      <c r="A37" s="14"/>
      <c r="B37" s="14" t="s">
        <v>17</v>
      </c>
      <c r="C37" s="14"/>
      <c r="D37" s="18">
        <f>D19*5%</f>
        <v>37272.827000000005</v>
      </c>
      <c r="E37" s="14"/>
    </row>
    <row r="38" spans="1:5" ht="12.75">
      <c r="A38" s="14"/>
      <c r="B38" s="14" t="s">
        <v>18</v>
      </c>
      <c r="C38" s="14"/>
      <c r="D38" s="14">
        <v>789.36</v>
      </c>
      <c r="E38" s="14"/>
    </row>
    <row r="39" spans="1:5" ht="12.75">
      <c r="A39" s="14"/>
      <c r="B39" s="14" t="s">
        <v>19</v>
      </c>
      <c r="C39" s="14"/>
      <c r="D39" s="14">
        <v>15666.35</v>
      </c>
      <c r="E39" s="14"/>
    </row>
    <row r="40" spans="1:5" ht="12.75">
      <c r="A40" s="14"/>
      <c r="B40" s="14" t="s">
        <v>20</v>
      </c>
      <c r="C40" s="14"/>
      <c r="D40" s="21">
        <v>15747.48</v>
      </c>
      <c r="E40" s="18"/>
    </row>
    <row r="41" spans="1:5" ht="12.75">
      <c r="A41" s="14"/>
      <c r="B41" s="22" t="s">
        <v>141</v>
      </c>
      <c r="C41" s="14"/>
      <c r="D41" s="14">
        <v>623.5</v>
      </c>
      <c r="E41" s="14"/>
    </row>
    <row r="42" spans="1:5" ht="12.75">
      <c r="A42" s="14"/>
      <c r="B42" s="352" t="s">
        <v>28</v>
      </c>
      <c r="C42" s="14"/>
      <c r="D42" s="14">
        <v>625.12</v>
      </c>
      <c r="E42" s="14"/>
    </row>
    <row r="43" spans="1:5" ht="12.75">
      <c r="A43" s="14"/>
      <c r="B43" s="352" t="s">
        <v>55</v>
      </c>
      <c r="C43" s="14"/>
      <c r="D43" s="14">
        <v>2029.3</v>
      </c>
      <c r="E43" s="14"/>
    </row>
    <row r="44" spans="1:5" ht="12.75">
      <c r="A44" s="14"/>
      <c r="B44" s="22" t="s">
        <v>148</v>
      </c>
      <c r="C44" s="14"/>
      <c r="D44" s="14">
        <v>15000</v>
      </c>
      <c r="E44" s="14"/>
    </row>
    <row r="45" spans="1:5" ht="12.75">
      <c r="A45" s="14"/>
      <c r="B45" s="22" t="s">
        <v>21</v>
      </c>
      <c r="C45" s="14"/>
      <c r="D45" s="14">
        <v>5443.18</v>
      </c>
      <c r="E45" s="14"/>
    </row>
    <row r="46" spans="1:5" ht="12.75">
      <c r="A46" s="15" t="s">
        <v>64</v>
      </c>
      <c r="B46" s="20" t="s">
        <v>74</v>
      </c>
      <c r="C46" s="20"/>
      <c r="D46" s="20">
        <v>202066.76</v>
      </c>
      <c r="E46" s="14"/>
    </row>
    <row r="47" spans="1:5" ht="12.75">
      <c r="A47" s="15" t="s">
        <v>65</v>
      </c>
      <c r="B47" s="20" t="s">
        <v>22</v>
      </c>
      <c r="C47" s="14"/>
      <c r="D47" s="19">
        <v>120867.95</v>
      </c>
      <c r="E47" s="19"/>
    </row>
    <row r="48" spans="1:5" ht="12.75">
      <c r="A48" s="15" t="s">
        <v>66</v>
      </c>
      <c r="B48" s="20" t="s">
        <v>23</v>
      </c>
      <c r="C48" s="14"/>
      <c r="D48" s="19">
        <f>D22+D30+D36+D46+D47</f>
        <v>829087.8352999999</v>
      </c>
      <c r="E48" s="14"/>
    </row>
    <row r="49" spans="1:5" ht="12.75">
      <c r="A49" s="15" t="s">
        <v>67</v>
      </c>
      <c r="B49" s="14" t="s">
        <v>32</v>
      </c>
      <c r="C49" s="14"/>
      <c r="D49" s="19">
        <f>D19*6%</f>
        <v>44727.3924</v>
      </c>
      <c r="E49" s="14"/>
    </row>
    <row r="50" spans="1:5" ht="12.75">
      <c r="A50" s="15" t="s">
        <v>68</v>
      </c>
      <c r="B50" s="20" t="s">
        <v>24</v>
      </c>
      <c r="C50" s="14"/>
      <c r="D50" s="19">
        <f>D48+D49</f>
        <v>873815.2276999999</v>
      </c>
      <c r="E50" s="14"/>
    </row>
    <row r="51" spans="1:5" ht="12.75">
      <c r="A51" s="14"/>
      <c r="B51" s="14"/>
      <c r="C51" s="14"/>
      <c r="D51" s="14"/>
      <c r="E51" s="14"/>
    </row>
    <row r="52" spans="1:5" ht="12.75">
      <c r="A52" s="15" t="s">
        <v>69</v>
      </c>
      <c r="B52" s="20" t="s">
        <v>167</v>
      </c>
      <c r="C52" s="14"/>
      <c r="D52" s="19">
        <f>D19-D50</f>
        <v>-128358.6876999999</v>
      </c>
      <c r="E52" s="14"/>
    </row>
    <row r="53" spans="1:5" ht="12.75">
      <c r="A53" s="15" t="s">
        <v>165</v>
      </c>
      <c r="B53" s="20" t="s">
        <v>44</v>
      </c>
      <c r="C53" s="14"/>
      <c r="D53" s="19">
        <f>D11+D52</f>
        <v>96844.29230000012</v>
      </c>
      <c r="E53" s="14"/>
    </row>
    <row r="54" spans="1:4" ht="12.75">
      <c r="A54" s="377"/>
      <c r="B54" s="3"/>
      <c r="C54" s="380"/>
      <c r="D54" s="3"/>
    </row>
    <row r="55" spans="1:5" ht="12.75">
      <c r="A55" s="3"/>
      <c r="B55" s="377"/>
      <c r="C55" s="3"/>
      <c r="D55" s="380"/>
      <c r="E55" s="3"/>
    </row>
    <row r="56" spans="1:5" ht="12.75">
      <c r="A56" s="3"/>
      <c r="B56" s="1" t="s">
        <v>30</v>
      </c>
      <c r="C56" s="1"/>
      <c r="D56" s="1" t="s">
        <v>0</v>
      </c>
      <c r="E56" s="1"/>
    </row>
    <row r="57" spans="1:5" ht="12.75">
      <c r="A57" s="1"/>
      <c r="B57" s="1" t="s">
        <v>31</v>
      </c>
      <c r="C57" s="1"/>
      <c r="D57" s="1" t="s">
        <v>26</v>
      </c>
      <c r="E57" s="1"/>
    </row>
    <row r="58" ht="12.75">
      <c r="A58" s="1"/>
    </row>
  </sheetData>
  <sheetProtection/>
  <mergeCells count="3">
    <mergeCell ref="A6:C6"/>
    <mergeCell ref="D8:E8"/>
    <mergeCell ref="D9:E9"/>
  </mergeCells>
  <printOptions/>
  <pageMargins left="0.7" right="0.7" top="0.75" bottom="0.75" header="0.3" footer="0.3"/>
  <pageSetup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G15" sqref="G15"/>
    </sheetView>
  </sheetViews>
  <sheetFormatPr defaultColWidth="9.00390625" defaultRowHeight="12.75"/>
  <cols>
    <col min="2" max="2" width="39.25390625" style="0" customWidth="1"/>
    <col min="3" max="3" width="10.125" style="0" customWidth="1"/>
    <col min="4" max="4" width="12.875" style="0" customWidth="1"/>
    <col min="5" max="5" width="12.75390625" style="0" customWidth="1"/>
  </cols>
  <sheetData>
    <row r="1" ht="15.75">
      <c r="B1" s="314" t="s">
        <v>25</v>
      </c>
    </row>
    <row r="2" ht="15.75">
      <c r="B2" s="314"/>
    </row>
    <row r="3" ht="12.75">
      <c r="B3" t="s">
        <v>29</v>
      </c>
    </row>
    <row r="4" ht="12.75">
      <c r="B4" t="s">
        <v>154</v>
      </c>
    </row>
    <row r="5" spans="1:4" ht="12.75">
      <c r="A5" s="333"/>
      <c r="B5" s="333"/>
      <c r="C5" s="333"/>
      <c r="D5" s="333"/>
    </row>
    <row r="6" spans="1:5" ht="15.75">
      <c r="A6" s="336"/>
      <c r="B6" s="463" t="s">
        <v>1</v>
      </c>
      <c r="C6" s="464" t="s">
        <v>3</v>
      </c>
      <c r="D6" s="574" t="s">
        <v>4</v>
      </c>
      <c r="E6" s="575"/>
    </row>
    <row r="7" spans="1:5" ht="15.75">
      <c r="A7" s="322"/>
      <c r="B7" s="320" t="s">
        <v>2</v>
      </c>
      <c r="C7" s="321" t="s">
        <v>33</v>
      </c>
      <c r="D7" s="572" t="s">
        <v>138</v>
      </c>
      <c r="E7" s="573"/>
    </row>
    <row r="8" spans="1:5" ht="12.75">
      <c r="A8" s="326"/>
      <c r="B8" s="295" t="s">
        <v>78</v>
      </c>
      <c r="C8" s="326"/>
      <c r="D8" s="340">
        <v>-378455.57</v>
      </c>
      <c r="E8" s="335"/>
    </row>
    <row r="9" spans="1:5" ht="12.75">
      <c r="A9" s="323"/>
      <c r="B9" s="374" t="s">
        <v>85</v>
      </c>
      <c r="C9" s="323"/>
      <c r="D9" s="324">
        <v>80334.48</v>
      </c>
      <c r="E9" s="325"/>
    </row>
    <row r="10" spans="1:5" ht="12.75">
      <c r="A10" s="326"/>
      <c r="B10" s="327" t="s">
        <v>5</v>
      </c>
      <c r="C10" s="326" t="s">
        <v>34</v>
      </c>
      <c r="D10" s="326">
        <v>6018.32</v>
      </c>
      <c r="E10" s="326"/>
    </row>
    <row r="11" spans="1:5" ht="12.75">
      <c r="A11" s="326"/>
      <c r="B11" s="327" t="s">
        <v>6</v>
      </c>
      <c r="C11" s="326" t="s">
        <v>34</v>
      </c>
      <c r="D11" s="326">
        <v>4518.3</v>
      </c>
      <c r="E11" s="326"/>
    </row>
    <row r="12" spans="1:5" ht="12.75">
      <c r="A12" s="326"/>
      <c r="B12" s="328" t="s">
        <v>27</v>
      </c>
      <c r="C12" s="326" t="s">
        <v>9</v>
      </c>
      <c r="D12" s="329">
        <v>526938.04</v>
      </c>
      <c r="E12" s="326"/>
    </row>
    <row r="13" spans="1:5" ht="12.75">
      <c r="A13" s="326"/>
      <c r="B13" s="326"/>
      <c r="C13" s="326"/>
      <c r="D13" s="326"/>
      <c r="E13" s="326"/>
    </row>
    <row r="14" spans="1:5" ht="15.75">
      <c r="A14" s="326"/>
      <c r="B14" s="330" t="s">
        <v>7</v>
      </c>
      <c r="C14" s="326"/>
      <c r="D14" s="326"/>
      <c r="E14" s="326"/>
    </row>
    <row r="15" spans="1:5" ht="12.75">
      <c r="A15" s="326">
        <v>1</v>
      </c>
      <c r="B15" s="326" t="s">
        <v>8</v>
      </c>
      <c r="C15" s="326" t="s">
        <v>9</v>
      </c>
      <c r="D15" s="326">
        <v>354171.45</v>
      </c>
      <c r="E15" s="326"/>
    </row>
    <row r="16" spans="1:5" ht="12.75">
      <c r="A16" s="326">
        <v>2</v>
      </c>
      <c r="B16" s="397" t="s">
        <v>74</v>
      </c>
      <c r="C16" s="326"/>
      <c r="D16" s="326">
        <v>156170.9</v>
      </c>
      <c r="E16" s="326"/>
    </row>
    <row r="17" spans="1:5" ht="12.75">
      <c r="A17" s="326">
        <v>3</v>
      </c>
      <c r="B17" s="22" t="s">
        <v>82</v>
      </c>
      <c r="C17" s="326"/>
      <c r="D17" s="326">
        <v>6000</v>
      </c>
      <c r="E17" s="326"/>
    </row>
    <row r="18" spans="1:5" ht="15.75">
      <c r="A18" s="326"/>
      <c r="B18" s="330" t="s">
        <v>10</v>
      </c>
      <c r="C18" s="326"/>
      <c r="D18" s="329">
        <f>D15+D16+D17</f>
        <v>516342.35</v>
      </c>
      <c r="E18" s="326"/>
    </row>
    <row r="19" spans="1:5" ht="15.75">
      <c r="A19" s="326"/>
      <c r="B19" s="330"/>
      <c r="C19" s="326"/>
      <c r="D19" s="329"/>
      <c r="E19" s="326"/>
    </row>
    <row r="20" spans="1:5" ht="15.75">
      <c r="A20" s="14"/>
      <c r="B20" s="17" t="s">
        <v>57</v>
      </c>
      <c r="C20" s="14"/>
      <c r="D20" s="20"/>
      <c r="E20" s="49"/>
    </row>
    <row r="21" spans="1:5" ht="12.75">
      <c r="A21" s="358" t="s">
        <v>58</v>
      </c>
      <c r="B21" s="16" t="s">
        <v>59</v>
      </c>
      <c r="C21" s="14"/>
      <c r="D21" s="19">
        <f>D22+D28+D27+D26</f>
        <v>240628.70978000003</v>
      </c>
      <c r="E21" s="49"/>
    </row>
    <row r="22" spans="1:5" ht="12.75">
      <c r="A22" s="14">
        <v>1</v>
      </c>
      <c r="B22" s="22" t="s">
        <v>11</v>
      </c>
      <c r="C22" s="22" t="s">
        <v>9</v>
      </c>
      <c r="D22" s="21">
        <f>D23+D24+D25</f>
        <v>191170.89</v>
      </c>
      <c r="E22" s="49"/>
    </row>
    <row r="23" spans="1:5" ht="12.75">
      <c r="A23" s="14"/>
      <c r="B23" s="14" t="s">
        <v>12</v>
      </c>
      <c r="C23" s="14"/>
      <c r="D23" s="14">
        <v>66437.75</v>
      </c>
      <c r="E23" s="49"/>
    </row>
    <row r="24" spans="1:5" ht="12.75">
      <c r="A24" s="14"/>
      <c r="B24" s="14" t="s">
        <v>13</v>
      </c>
      <c r="C24" s="14"/>
      <c r="D24" s="353">
        <v>62920.34</v>
      </c>
      <c r="E24" s="49"/>
    </row>
    <row r="25" spans="1:5" ht="12.75">
      <c r="A25" s="14"/>
      <c r="B25" s="14" t="s">
        <v>14</v>
      </c>
      <c r="C25" s="14"/>
      <c r="D25" s="14">
        <v>61812.8</v>
      </c>
      <c r="E25" s="49"/>
    </row>
    <row r="26" spans="1:5" ht="12.75">
      <c r="A26" s="14">
        <v>2</v>
      </c>
      <c r="B26" s="22" t="s">
        <v>136</v>
      </c>
      <c r="C26" s="14"/>
      <c r="D26" s="18">
        <f>D22*20.2%</f>
        <v>38616.51978</v>
      </c>
      <c r="E26" s="49"/>
    </row>
    <row r="27" spans="1:5" ht="12.75">
      <c r="A27" s="14">
        <v>3</v>
      </c>
      <c r="B27" s="22" t="s">
        <v>143</v>
      </c>
      <c r="C27" s="14"/>
      <c r="D27" s="14">
        <v>5099.42</v>
      </c>
      <c r="E27" s="49"/>
    </row>
    <row r="28" spans="1:5" ht="12.75">
      <c r="A28" s="14">
        <v>4</v>
      </c>
      <c r="B28" s="352" t="s">
        <v>15</v>
      </c>
      <c r="C28" s="14"/>
      <c r="D28" s="14">
        <v>5741.88</v>
      </c>
      <c r="E28" s="49"/>
    </row>
    <row r="29" spans="1:5" ht="12.75">
      <c r="A29" s="358" t="s">
        <v>61</v>
      </c>
      <c r="B29" s="359" t="s">
        <v>60</v>
      </c>
      <c r="C29" s="14"/>
      <c r="D29" s="19">
        <f>D30+D31+D32+D34+D33</f>
        <v>143042.13038</v>
      </c>
      <c r="E29" s="49"/>
    </row>
    <row r="30" spans="1:5" ht="12.75">
      <c r="A30" s="14">
        <v>1</v>
      </c>
      <c r="B30" s="22" t="s">
        <v>95</v>
      </c>
      <c r="C30" s="14"/>
      <c r="D30" s="22">
        <v>110436.19</v>
      </c>
      <c r="E30" s="49"/>
    </row>
    <row r="31" spans="1:5" ht="12.75">
      <c r="A31" s="14">
        <v>2</v>
      </c>
      <c r="B31" s="22" t="s">
        <v>136</v>
      </c>
      <c r="C31" s="14"/>
      <c r="D31" s="21">
        <f>D30*20.2%</f>
        <v>22308.11038</v>
      </c>
      <c r="E31" s="49"/>
    </row>
    <row r="32" spans="1:5" ht="12.75">
      <c r="A32" s="14">
        <v>3</v>
      </c>
      <c r="B32" s="22" t="s">
        <v>15</v>
      </c>
      <c r="C32" s="14"/>
      <c r="D32" s="22">
        <v>237.83</v>
      </c>
      <c r="E32" s="14"/>
    </row>
    <row r="33" spans="1:5" ht="12.75">
      <c r="A33" s="14">
        <v>4</v>
      </c>
      <c r="B33" s="22" t="s">
        <v>91</v>
      </c>
      <c r="C33" s="14"/>
      <c r="D33" s="22">
        <v>1760</v>
      </c>
      <c r="E33" s="14"/>
    </row>
    <row r="34" spans="1:5" ht="12.75">
      <c r="A34" s="14">
        <v>5</v>
      </c>
      <c r="B34" s="22" t="s">
        <v>83</v>
      </c>
      <c r="C34" s="14"/>
      <c r="D34" s="22">
        <v>8300</v>
      </c>
      <c r="E34" s="14"/>
    </row>
    <row r="35" spans="1:5" ht="12.75">
      <c r="A35" s="358" t="s">
        <v>62</v>
      </c>
      <c r="B35" s="20" t="s">
        <v>16</v>
      </c>
      <c r="C35" s="14"/>
      <c r="D35" s="19">
        <f>D36+D37+D38+D39+D40+D41+D42</f>
        <v>60894.0575</v>
      </c>
      <c r="E35" s="19"/>
    </row>
    <row r="36" spans="1:5" ht="12.75">
      <c r="A36" s="14"/>
      <c r="B36" s="14" t="s">
        <v>17</v>
      </c>
      <c r="C36" s="14"/>
      <c r="D36" s="18">
        <f>D18*5%</f>
        <v>25817.1175</v>
      </c>
      <c r="E36" s="14"/>
    </row>
    <row r="37" spans="1:5" ht="12.75">
      <c r="A37" s="14"/>
      <c r="B37" s="14" t="s">
        <v>18</v>
      </c>
      <c r="C37" s="14"/>
      <c r="D37" s="14">
        <v>2570.7</v>
      </c>
      <c r="E37" s="14"/>
    </row>
    <row r="38" spans="1:5" ht="12.75">
      <c r="A38" s="14"/>
      <c r="B38" s="14" t="s">
        <v>19</v>
      </c>
      <c r="C38" s="14"/>
      <c r="D38" s="14">
        <v>10846.67</v>
      </c>
      <c r="E38" s="14"/>
    </row>
    <row r="39" spans="1:5" ht="12.75">
      <c r="A39" s="14"/>
      <c r="B39" s="352" t="s">
        <v>28</v>
      </c>
      <c r="C39" s="14"/>
      <c r="D39" s="14">
        <v>625.12</v>
      </c>
      <c r="E39" s="14"/>
    </row>
    <row r="40" spans="1:5" ht="12.75">
      <c r="A40" s="14"/>
      <c r="B40" s="14" t="s">
        <v>20</v>
      </c>
      <c r="C40" s="14"/>
      <c r="D40" s="18">
        <v>14265.38</v>
      </c>
      <c r="E40" s="18"/>
    </row>
    <row r="41" spans="1:5" ht="12.75">
      <c r="A41" s="14"/>
      <c r="B41" s="352" t="s">
        <v>55</v>
      </c>
      <c r="C41" s="14"/>
      <c r="D41" s="14">
        <v>1838.2</v>
      </c>
      <c r="E41" s="14"/>
    </row>
    <row r="42" spans="1:5" ht="12.75">
      <c r="A42" s="14"/>
      <c r="B42" s="14" t="s">
        <v>21</v>
      </c>
      <c r="C42" s="14"/>
      <c r="D42" s="22">
        <v>4930.87</v>
      </c>
      <c r="E42" s="14"/>
    </row>
    <row r="43" spans="1:5" ht="12.75">
      <c r="A43" s="15" t="s">
        <v>64</v>
      </c>
      <c r="B43" s="20" t="s">
        <v>92</v>
      </c>
      <c r="C43" s="14"/>
      <c r="D43" s="19">
        <v>109492.28</v>
      </c>
      <c r="E43" s="19"/>
    </row>
    <row r="44" spans="1:5" ht="12.75">
      <c r="A44" s="15" t="s">
        <v>65</v>
      </c>
      <c r="B44" s="20" t="s">
        <v>23</v>
      </c>
      <c r="C44" s="14"/>
      <c r="D44" s="19">
        <f>D21+D29+D35+D43</f>
        <v>554057.17766</v>
      </c>
      <c r="E44" s="14"/>
    </row>
    <row r="45" spans="1:5" ht="12.75">
      <c r="A45" s="15" t="s">
        <v>66</v>
      </c>
      <c r="B45" s="14" t="s">
        <v>32</v>
      </c>
      <c r="C45" s="14"/>
      <c r="D45" s="19">
        <f>D18*6%</f>
        <v>30980.540999999997</v>
      </c>
      <c r="E45" s="14"/>
    </row>
    <row r="46" spans="1:5" ht="12.75">
      <c r="A46" s="15" t="s">
        <v>67</v>
      </c>
      <c r="B46" s="20" t="s">
        <v>24</v>
      </c>
      <c r="C46" s="14"/>
      <c r="D46" s="19">
        <f>D44+D45</f>
        <v>585037.71866</v>
      </c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475" t="s">
        <v>68</v>
      </c>
      <c r="B48" s="20" t="s">
        <v>142</v>
      </c>
      <c r="C48" s="14"/>
      <c r="D48" s="19">
        <f>(D15+D17)-D46+16710.29</f>
        <v>-208155.97866</v>
      </c>
      <c r="E48" s="14"/>
    </row>
    <row r="49" spans="1:5" ht="12.75">
      <c r="A49" s="475" t="s">
        <v>69</v>
      </c>
      <c r="B49" s="20" t="s">
        <v>44</v>
      </c>
      <c r="C49" s="14"/>
      <c r="D49" s="19">
        <f>D8+D48</f>
        <v>-586611.54866</v>
      </c>
      <c r="E49" s="14"/>
    </row>
    <row r="50" spans="1:5" ht="12.75">
      <c r="A50" s="3"/>
      <c r="B50" s="377"/>
      <c r="C50" s="3"/>
      <c r="D50" s="380"/>
      <c r="E50" s="3"/>
    </row>
    <row r="51" spans="1:5" ht="12.75">
      <c r="A51" s="3"/>
      <c r="B51" s="377" t="s">
        <v>74</v>
      </c>
      <c r="C51" s="3"/>
      <c r="D51" s="380">
        <f>D9+D16-16710.29</f>
        <v>219795.09</v>
      </c>
      <c r="E51" s="3"/>
    </row>
    <row r="52" spans="1:5" ht="12.75">
      <c r="A52" s="3"/>
      <c r="B52" s="377" t="s">
        <v>87</v>
      </c>
      <c r="C52" s="3"/>
      <c r="D52" s="380">
        <v>1311.68</v>
      </c>
      <c r="E52" s="3"/>
    </row>
    <row r="53" spans="1:5" ht="12.75">
      <c r="A53" s="3"/>
      <c r="B53" s="377" t="s">
        <v>86</v>
      </c>
      <c r="C53" s="3"/>
      <c r="D53" s="380">
        <f>D51-D52</f>
        <v>218483.41</v>
      </c>
      <c r="E53" s="3"/>
    </row>
    <row r="54" spans="1:5" ht="12.75">
      <c r="A54" s="1"/>
      <c r="B54" s="1" t="s">
        <v>30</v>
      </c>
      <c r="C54" s="1"/>
      <c r="D54" s="1" t="s">
        <v>0</v>
      </c>
      <c r="E54" s="1"/>
    </row>
    <row r="55" spans="1:5" ht="12.75">
      <c r="A55" s="1"/>
      <c r="B55" s="1" t="s">
        <v>31</v>
      </c>
      <c r="C55" s="1"/>
      <c r="D55" s="1" t="s">
        <v>26</v>
      </c>
      <c r="E55" s="1"/>
    </row>
  </sheetData>
  <sheetProtection/>
  <mergeCells count="2"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G16" sqref="G16:H24"/>
    </sheetView>
  </sheetViews>
  <sheetFormatPr defaultColWidth="9.00390625" defaultRowHeight="12.75"/>
  <cols>
    <col min="1" max="1" width="6.00390625" style="0" customWidth="1"/>
    <col min="2" max="2" width="44.875" style="0" customWidth="1"/>
    <col min="3" max="3" width="8.625" style="0" customWidth="1"/>
    <col min="4" max="4" width="11.875" style="0" customWidth="1"/>
    <col min="5" max="5" width="11.125" style="0" customWidth="1"/>
    <col min="7" max="7" width="12.25390625" style="0" customWidth="1"/>
    <col min="8" max="8" width="14.375" style="0" customWidth="1"/>
    <col min="10" max="10" width="10.00390625" style="0" customWidth="1"/>
    <col min="13" max="13" width="4.25390625" style="0" customWidth="1"/>
    <col min="15" max="15" width="41.75390625" style="0" customWidth="1"/>
    <col min="16" max="16" width="7.875" style="0" customWidth="1"/>
    <col min="17" max="17" width="9.875" style="0" customWidth="1"/>
    <col min="21" max="21" width="40.25390625" style="0" customWidth="1"/>
    <col min="23" max="23" width="10.625" style="0" customWidth="1"/>
    <col min="24" max="24" width="10.37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A4" t="s">
        <v>214</v>
      </c>
    </row>
    <row r="5" ht="12.75">
      <c r="B5" t="s">
        <v>46</v>
      </c>
    </row>
    <row r="6" spans="1:5" ht="12.75">
      <c r="A6" s="336"/>
      <c r="B6" s="336"/>
      <c r="C6" s="336"/>
      <c r="D6" s="318"/>
      <c r="E6" s="337"/>
    </row>
    <row r="7" spans="1:5" ht="15.75">
      <c r="A7" s="317"/>
      <c r="B7" s="320" t="s">
        <v>1</v>
      </c>
      <c r="C7" s="321" t="s">
        <v>3</v>
      </c>
      <c r="D7" s="570" t="s">
        <v>4</v>
      </c>
      <c r="E7" s="571"/>
    </row>
    <row r="8" spans="1:5" ht="15.75">
      <c r="A8" s="322"/>
      <c r="B8" s="320" t="s">
        <v>2</v>
      </c>
      <c r="C8" s="321" t="s">
        <v>33</v>
      </c>
      <c r="D8" s="572" t="s">
        <v>138</v>
      </c>
      <c r="E8" s="573"/>
    </row>
    <row r="9" spans="1:5" ht="12.75">
      <c r="A9" s="323"/>
      <c r="B9" s="323"/>
      <c r="C9" s="323"/>
      <c r="D9" s="324"/>
      <c r="E9" s="325"/>
    </row>
    <row r="10" spans="1:5" ht="12.75">
      <c r="A10" s="323"/>
      <c r="B10" s="374" t="s">
        <v>78</v>
      </c>
      <c r="C10" s="323"/>
      <c r="D10" s="324">
        <v>-120699.96</v>
      </c>
      <c r="E10" s="325"/>
    </row>
    <row r="11" spans="1:5" ht="12.75">
      <c r="A11" s="323"/>
      <c r="B11" s="374" t="s">
        <v>85</v>
      </c>
      <c r="C11" s="323"/>
      <c r="D11" s="324">
        <v>117142.31</v>
      </c>
      <c r="E11" s="325"/>
    </row>
    <row r="12" spans="1:5" ht="12.75">
      <c r="A12" s="326"/>
      <c r="B12" s="327" t="s">
        <v>5</v>
      </c>
      <c r="C12" s="326" t="s">
        <v>34</v>
      </c>
      <c r="D12" s="326">
        <v>7399.64</v>
      </c>
      <c r="E12" s="326"/>
    </row>
    <row r="13" spans="1:5" ht="12.75">
      <c r="A13" s="326"/>
      <c r="B13" s="327" t="s">
        <v>6</v>
      </c>
      <c r="C13" s="326" t="s">
        <v>34</v>
      </c>
      <c r="D13" s="326">
        <v>5164</v>
      </c>
      <c r="E13" s="326"/>
    </row>
    <row r="14" spans="1:5" ht="12.75">
      <c r="A14" s="326"/>
      <c r="B14" s="328" t="s">
        <v>27</v>
      </c>
      <c r="C14" s="326" t="s">
        <v>9</v>
      </c>
      <c r="D14" s="326">
        <v>780606.46</v>
      </c>
      <c r="E14" s="326"/>
    </row>
    <row r="15" spans="1:5" ht="12.75">
      <c r="A15" s="326"/>
      <c r="B15" s="326"/>
      <c r="C15" s="326"/>
      <c r="D15" s="326"/>
      <c r="E15" s="326"/>
    </row>
    <row r="16" spans="1:5" ht="15.75">
      <c r="A16" s="326"/>
      <c r="B16" s="330" t="s">
        <v>7</v>
      </c>
      <c r="C16" s="326"/>
      <c r="D16" s="326"/>
      <c r="E16" s="326"/>
    </row>
    <row r="17" spans="1:5" ht="12.75">
      <c r="A17" s="326">
        <v>1</v>
      </c>
      <c r="B17" s="326" t="s">
        <v>8</v>
      </c>
      <c r="C17" s="326" t="s">
        <v>9</v>
      </c>
      <c r="D17" s="324">
        <v>570543.73</v>
      </c>
      <c r="E17" s="326"/>
    </row>
    <row r="18" spans="1:5" ht="12.75">
      <c r="A18" s="326">
        <v>2</v>
      </c>
      <c r="B18" s="326" t="s">
        <v>74</v>
      </c>
      <c r="C18" s="326"/>
      <c r="D18" s="332">
        <v>172016.8</v>
      </c>
      <c r="E18" s="326"/>
    </row>
    <row r="19" spans="1:5" ht="15.75">
      <c r="A19" s="326"/>
      <c r="B19" s="330" t="s">
        <v>10</v>
      </c>
      <c r="C19" s="326"/>
      <c r="D19" s="331">
        <f>D17+D18</f>
        <v>742560.53</v>
      </c>
      <c r="E19" s="326"/>
    </row>
    <row r="20" spans="1:5" ht="15.75">
      <c r="A20" s="326"/>
      <c r="B20" s="330"/>
      <c r="C20" s="326"/>
      <c r="D20" s="329"/>
      <c r="E20" s="326"/>
    </row>
    <row r="21" spans="1:5" ht="15.75">
      <c r="A21" s="14"/>
      <c r="B21" s="17" t="s">
        <v>57</v>
      </c>
      <c r="C21" s="14"/>
      <c r="D21" s="20"/>
      <c r="E21" s="326"/>
    </row>
    <row r="22" spans="1:5" ht="12.75">
      <c r="A22" s="358" t="s">
        <v>58</v>
      </c>
      <c r="B22" s="16" t="s">
        <v>59</v>
      </c>
      <c r="C22" s="14"/>
      <c r="D22" s="19">
        <f>D23+D27+D28+D29+D30</f>
        <v>237093.2032</v>
      </c>
      <c r="E22" s="326"/>
    </row>
    <row r="23" spans="1:5" ht="12.75">
      <c r="A23" s="14">
        <v>1</v>
      </c>
      <c r="B23" s="22" t="s">
        <v>11</v>
      </c>
      <c r="C23" s="22" t="s">
        <v>9</v>
      </c>
      <c r="D23" s="21">
        <f>D24+D25+D26</f>
        <v>185411.6</v>
      </c>
      <c r="E23" s="326"/>
    </row>
    <row r="24" spans="1:5" ht="12.75">
      <c r="A24" s="468" t="s">
        <v>126</v>
      </c>
      <c r="B24" s="14" t="s">
        <v>12</v>
      </c>
      <c r="C24" s="14"/>
      <c r="D24" s="14">
        <v>56208.75</v>
      </c>
      <c r="E24" s="326"/>
    </row>
    <row r="25" spans="1:5" ht="12.75">
      <c r="A25" s="468" t="s">
        <v>127</v>
      </c>
      <c r="B25" s="14" t="s">
        <v>13</v>
      </c>
      <c r="C25" s="14"/>
      <c r="D25" s="353">
        <v>67331.45</v>
      </c>
      <c r="E25" s="326"/>
    </row>
    <row r="26" spans="1:5" ht="12.75">
      <c r="A26" s="468" t="s">
        <v>128</v>
      </c>
      <c r="B26" s="14" t="s">
        <v>14</v>
      </c>
      <c r="C26" s="14"/>
      <c r="D26" s="14">
        <v>61871.4</v>
      </c>
      <c r="E26" s="326"/>
    </row>
    <row r="27" spans="1:5" ht="12.75">
      <c r="A27" s="14">
        <v>2</v>
      </c>
      <c r="B27" s="22" t="s">
        <v>136</v>
      </c>
      <c r="C27" s="14"/>
      <c r="D27" s="18">
        <f>D23*20.2%</f>
        <v>37453.1432</v>
      </c>
      <c r="E27" s="326"/>
    </row>
    <row r="28" spans="1:5" ht="12.75">
      <c r="A28" s="14">
        <v>3</v>
      </c>
      <c r="B28" s="22" t="s">
        <v>161</v>
      </c>
      <c r="C28" s="14"/>
      <c r="D28" s="14">
        <v>4903.75</v>
      </c>
      <c r="E28" s="326"/>
    </row>
    <row r="29" spans="1:5" ht="12.75">
      <c r="A29" s="14">
        <v>4</v>
      </c>
      <c r="B29" s="22" t="s">
        <v>143</v>
      </c>
      <c r="C29" s="14"/>
      <c r="D29" s="14">
        <v>2609.1</v>
      </c>
      <c r="E29" s="326"/>
    </row>
    <row r="30" spans="1:5" ht="12.75">
      <c r="A30" s="14">
        <v>5</v>
      </c>
      <c r="B30" s="352" t="s">
        <v>15</v>
      </c>
      <c r="C30" s="14"/>
      <c r="D30" s="14">
        <v>6715.61</v>
      </c>
      <c r="E30" s="326"/>
    </row>
    <row r="31" spans="1:5" ht="12.75">
      <c r="A31" s="358" t="s">
        <v>61</v>
      </c>
      <c r="B31" s="359" t="s">
        <v>60</v>
      </c>
      <c r="C31" s="14"/>
      <c r="D31" s="19">
        <f>D32+D33+D34+D35</f>
        <v>163409.53882000002</v>
      </c>
      <c r="E31" s="326"/>
    </row>
    <row r="32" spans="1:5" ht="12.75">
      <c r="A32" s="14">
        <v>1</v>
      </c>
      <c r="B32" s="22" t="s">
        <v>95</v>
      </c>
      <c r="C32" s="14"/>
      <c r="D32" s="22">
        <v>126218.41</v>
      </c>
      <c r="E32" s="326"/>
    </row>
    <row r="33" spans="1:5" ht="12.75">
      <c r="A33" s="14">
        <v>2</v>
      </c>
      <c r="B33" s="22" t="s">
        <v>136</v>
      </c>
      <c r="C33" s="14"/>
      <c r="D33" s="21">
        <f>D32*20.2%</f>
        <v>25496.11882</v>
      </c>
      <c r="E33" s="326"/>
    </row>
    <row r="34" spans="1:5" ht="12.75">
      <c r="A34" s="469">
        <v>3</v>
      </c>
      <c r="B34" s="22" t="s">
        <v>15</v>
      </c>
      <c r="C34" s="14"/>
      <c r="D34" s="22">
        <v>195.01</v>
      </c>
      <c r="E34" s="326"/>
    </row>
    <row r="35" spans="1:5" ht="12.75">
      <c r="A35" s="469">
        <v>4</v>
      </c>
      <c r="B35" s="22" t="s">
        <v>83</v>
      </c>
      <c r="C35" s="14"/>
      <c r="D35" s="22">
        <v>11500</v>
      </c>
      <c r="E35" s="326"/>
    </row>
    <row r="36" spans="1:5" ht="12.75">
      <c r="A36" s="358" t="s">
        <v>62</v>
      </c>
      <c r="B36" s="20" t="s">
        <v>16</v>
      </c>
      <c r="C36" s="14"/>
      <c r="D36" s="19">
        <f>D37+D38+D39+D40+D41+D42+D43</f>
        <v>78685.9865</v>
      </c>
      <c r="E36" s="326"/>
    </row>
    <row r="37" spans="1:5" ht="12.75">
      <c r="A37" s="14"/>
      <c r="B37" s="14" t="s">
        <v>17</v>
      </c>
      <c r="C37" s="14"/>
      <c r="D37" s="18">
        <f>D19*5%</f>
        <v>37128.0265</v>
      </c>
      <c r="E37" s="326"/>
    </row>
    <row r="38" spans="1:5" ht="12.75">
      <c r="A38" s="14"/>
      <c r="B38" s="14" t="s">
        <v>18</v>
      </c>
      <c r="C38" s="14"/>
      <c r="D38" s="18">
        <v>2732.07</v>
      </c>
      <c r="E38" s="14"/>
    </row>
    <row r="39" spans="1:5" ht="12.75">
      <c r="A39" s="14"/>
      <c r="B39" s="14" t="s">
        <v>19</v>
      </c>
      <c r="C39" s="14"/>
      <c r="D39" s="14">
        <v>14378.83</v>
      </c>
      <c r="E39" s="14"/>
    </row>
    <row r="40" spans="1:5" ht="12.75">
      <c r="A40" s="14"/>
      <c r="B40" s="352" t="s">
        <v>28</v>
      </c>
      <c r="C40" s="14"/>
      <c r="D40" s="14">
        <v>406.48</v>
      </c>
      <c r="E40" s="14"/>
    </row>
    <row r="41" spans="1:5" ht="12.75">
      <c r="A41" s="14"/>
      <c r="B41" s="14" t="s">
        <v>20</v>
      </c>
      <c r="C41" s="14"/>
      <c r="D41" s="18">
        <v>16304.05</v>
      </c>
      <c r="E41" s="18"/>
    </row>
    <row r="42" spans="1:5" ht="12.75">
      <c r="A42" s="14"/>
      <c r="B42" s="352" t="s">
        <v>55</v>
      </c>
      <c r="C42" s="14"/>
      <c r="D42" s="14">
        <v>2101</v>
      </c>
      <c r="E42" s="14"/>
    </row>
    <row r="43" spans="1:5" ht="12.75">
      <c r="A43" s="14"/>
      <c r="B43" s="14" t="s">
        <v>21</v>
      </c>
      <c r="C43" s="14"/>
      <c r="D43" s="14">
        <v>5635.53</v>
      </c>
      <c r="E43" s="14"/>
    </row>
    <row r="44" spans="1:5" ht="12.75">
      <c r="A44" s="15" t="s">
        <v>64</v>
      </c>
      <c r="B44" s="20" t="s">
        <v>92</v>
      </c>
      <c r="C44" s="14"/>
      <c r="D44" s="19">
        <v>125139.68</v>
      </c>
      <c r="E44" s="19"/>
    </row>
    <row r="45" spans="1:5" ht="12.75">
      <c r="A45" s="15" t="s">
        <v>65</v>
      </c>
      <c r="B45" s="20" t="s">
        <v>23</v>
      </c>
      <c r="C45" s="14"/>
      <c r="D45" s="19">
        <f>D22+E22+D31+E31+D36+E36+D44+E44</f>
        <v>604328.40852</v>
      </c>
      <c r="E45" s="14"/>
    </row>
    <row r="46" spans="1:5" ht="12.75">
      <c r="A46" s="15" t="s">
        <v>66</v>
      </c>
      <c r="B46" s="14" t="s">
        <v>32</v>
      </c>
      <c r="C46" s="14"/>
      <c r="D46" s="19">
        <f>D19*6%</f>
        <v>44553.6318</v>
      </c>
      <c r="E46" s="14"/>
    </row>
    <row r="47" spans="1:5" ht="12.75">
      <c r="A47" s="15" t="s">
        <v>67</v>
      </c>
      <c r="B47" s="20" t="s">
        <v>24</v>
      </c>
      <c r="C47" s="14"/>
      <c r="D47" s="19">
        <f>D45+D46</f>
        <v>648882.04032</v>
      </c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5" t="s">
        <v>68</v>
      </c>
      <c r="B49" s="20" t="s">
        <v>142</v>
      </c>
      <c r="C49" s="14"/>
      <c r="D49" s="19">
        <f>D17-D47+18405.8</f>
        <v>-59932.510320000045</v>
      </c>
      <c r="E49" s="14"/>
    </row>
    <row r="50" spans="1:5" ht="12.75">
      <c r="A50" s="15" t="s">
        <v>69</v>
      </c>
      <c r="B50" s="20" t="s">
        <v>44</v>
      </c>
      <c r="C50" s="14"/>
      <c r="D50" s="19">
        <f>D10+D49</f>
        <v>-180632.47032000005</v>
      </c>
      <c r="E50" s="14"/>
    </row>
    <row r="51" spans="1:5" ht="12.75">
      <c r="A51" s="3"/>
      <c r="B51" s="377"/>
      <c r="C51" s="3"/>
      <c r="D51" s="380"/>
      <c r="E51" s="3"/>
    </row>
    <row r="52" spans="1:5" ht="12.75">
      <c r="A52" s="3"/>
      <c r="B52" s="377" t="s">
        <v>74</v>
      </c>
      <c r="C52" s="3"/>
      <c r="D52" s="380">
        <f>(D11+D18)-18405.8</f>
        <v>270753.31</v>
      </c>
      <c r="E52" s="3"/>
    </row>
    <row r="53" spans="1:5" ht="12.75">
      <c r="A53" s="3"/>
      <c r="B53" s="377" t="s">
        <v>87</v>
      </c>
      <c r="C53" s="3"/>
      <c r="D53" s="380">
        <v>20515.92</v>
      </c>
      <c r="E53" s="3"/>
    </row>
    <row r="54" spans="1:5" ht="12.75">
      <c r="A54" s="3"/>
      <c r="B54" s="377" t="s">
        <v>86</v>
      </c>
      <c r="C54" s="3"/>
      <c r="D54" s="380">
        <f>D52-D53</f>
        <v>250237.39</v>
      </c>
      <c r="E54" s="3"/>
    </row>
    <row r="55" spans="2:5" ht="12.75">
      <c r="B55" s="377"/>
      <c r="C55" s="3"/>
      <c r="D55" s="380"/>
      <c r="E55" s="3"/>
    </row>
    <row r="56" spans="2:4" ht="12.75">
      <c r="B56" t="s">
        <v>30</v>
      </c>
      <c r="D56" t="s">
        <v>0</v>
      </c>
    </row>
    <row r="57" spans="2:4" ht="12.75">
      <c r="B57" t="s">
        <v>31</v>
      </c>
      <c r="D57" t="s">
        <v>26</v>
      </c>
    </row>
  </sheetData>
  <sheetProtection/>
  <mergeCells count="2">
    <mergeCell ref="D7:E7"/>
    <mergeCell ref="D8:E8"/>
  </mergeCells>
  <printOptions/>
  <pageMargins left="0.7" right="0.7" top="0.75" bottom="0.75" header="0.3" footer="0.3"/>
  <pageSetup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F54" sqref="F54"/>
    </sheetView>
  </sheetViews>
  <sheetFormatPr defaultColWidth="9.00390625" defaultRowHeight="12.75"/>
  <cols>
    <col min="1" max="1" width="6.00390625" style="0" customWidth="1"/>
    <col min="2" max="2" width="44.875" style="0" customWidth="1"/>
    <col min="3" max="3" width="8.625" style="0" customWidth="1"/>
    <col min="4" max="4" width="11.875" style="0" customWidth="1"/>
    <col min="5" max="5" width="11.125" style="0" customWidth="1"/>
    <col min="7" max="7" width="12.25390625" style="0" customWidth="1"/>
    <col min="8" max="8" width="14.375" style="0" customWidth="1"/>
    <col min="10" max="10" width="10.00390625" style="0" customWidth="1"/>
    <col min="13" max="13" width="4.25390625" style="0" customWidth="1"/>
    <col min="15" max="15" width="41.75390625" style="0" customWidth="1"/>
    <col min="16" max="16" width="7.875" style="0" customWidth="1"/>
    <col min="17" max="17" width="9.875" style="0" customWidth="1"/>
    <col min="21" max="21" width="40.25390625" style="0" customWidth="1"/>
    <col min="23" max="23" width="10.625" style="0" customWidth="1"/>
    <col min="24" max="24" width="10.37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A4" t="s">
        <v>155</v>
      </c>
    </row>
    <row r="5" ht="12.75">
      <c r="B5" t="s">
        <v>46</v>
      </c>
    </row>
    <row r="6" spans="1:5" ht="12.75">
      <c r="A6" s="336"/>
      <c r="B6" s="336"/>
      <c r="C6" s="336"/>
      <c r="D6" s="318"/>
      <c r="E6" s="337"/>
    </row>
    <row r="7" spans="1:5" ht="15.75">
      <c r="A7" s="317"/>
      <c r="B7" s="320" t="s">
        <v>1</v>
      </c>
      <c r="C7" s="321" t="s">
        <v>3</v>
      </c>
      <c r="D7" s="570" t="s">
        <v>4</v>
      </c>
      <c r="E7" s="571"/>
    </row>
    <row r="8" spans="1:5" ht="15.75">
      <c r="A8" s="322"/>
      <c r="B8" s="320" t="s">
        <v>2</v>
      </c>
      <c r="C8" s="321" t="s">
        <v>33</v>
      </c>
      <c r="D8" s="572" t="s">
        <v>138</v>
      </c>
      <c r="E8" s="573"/>
    </row>
    <row r="9" spans="1:5" ht="12.75">
      <c r="A9" s="323"/>
      <c r="B9" s="323"/>
      <c r="C9" s="323"/>
      <c r="D9" s="324"/>
      <c r="E9" s="325"/>
    </row>
    <row r="10" spans="1:5" ht="12.75">
      <c r="A10" s="323"/>
      <c r="B10" s="374" t="s">
        <v>78</v>
      </c>
      <c r="C10" s="323"/>
      <c r="D10" s="324">
        <v>-17966.7</v>
      </c>
      <c r="E10" s="325"/>
    </row>
    <row r="11" spans="1:5" ht="12.75">
      <c r="A11" s="323"/>
      <c r="B11" s="374" t="s">
        <v>85</v>
      </c>
      <c r="C11" s="323"/>
      <c r="D11" s="324">
        <v>198059.82</v>
      </c>
      <c r="E11" s="325"/>
    </row>
    <row r="12" spans="1:5" ht="12.75">
      <c r="A12" s="326"/>
      <c r="B12" s="327" t="s">
        <v>5</v>
      </c>
      <c r="C12" s="326" t="s">
        <v>34</v>
      </c>
      <c r="D12" s="326">
        <v>6804.5</v>
      </c>
      <c r="E12" s="326"/>
    </row>
    <row r="13" spans="1:5" ht="12.75">
      <c r="A13" s="326"/>
      <c r="B13" s="327" t="s">
        <v>6</v>
      </c>
      <c r="C13" s="326" t="s">
        <v>34</v>
      </c>
      <c r="D13" s="326">
        <v>5184.7</v>
      </c>
      <c r="E13" s="326"/>
    </row>
    <row r="14" spans="1:5" ht="12.75">
      <c r="A14" s="326"/>
      <c r="B14" s="328" t="s">
        <v>27</v>
      </c>
      <c r="C14" s="326" t="s">
        <v>9</v>
      </c>
      <c r="D14" s="326">
        <v>896281.69</v>
      </c>
      <c r="E14" s="326"/>
    </row>
    <row r="15" spans="1:5" ht="12.75">
      <c r="A15" s="326"/>
      <c r="B15" s="326"/>
      <c r="C15" s="326"/>
      <c r="D15" s="326"/>
      <c r="E15" s="326"/>
    </row>
    <row r="16" spans="1:5" ht="15.75">
      <c r="A16" s="326"/>
      <c r="B16" s="330" t="s">
        <v>7</v>
      </c>
      <c r="C16" s="326"/>
      <c r="D16" s="326"/>
      <c r="E16" s="326"/>
    </row>
    <row r="17" spans="1:5" ht="12.75">
      <c r="A17" s="326">
        <v>1</v>
      </c>
      <c r="B17" s="326" t="s">
        <v>8</v>
      </c>
      <c r="C17" s="326" t="s">
        <v>9</v>
      </c>
      <c r="D17" s="324">
        <v>689376.4</v>
      </c>
      <c r="E17" s="326"/>
    </row>
    <row r="18" spans="1:5" ht="12.75">
      <c r="A18" s="326">
        <v>2</v>
      </c>
      <c r="B18" s="326" t="s">
        <v>74</v>
      </c>
      <c r="C18" s="326"/>
      <c r="D18" s="332">
        <v>174491.72</v>
      </c>
      <c r="E18" s="326"/>
    </row>
    <row r="19" spans="1:5" ht="12.75">
      <c r="A19" s="326">
        <v>3</v>
      </c>
      <c r="B19" s="326" t="s">
        <v>82</v>
      </c>
      <c r="C19" s="326"/>
      <c r="D19" s="332">
        <v>12000</v>
      </c>
      <c r="E19" s="326"/>
    </row>
    <row r="20" spans="1:5" ht="15.75">
      <c r="A20" s="326"/>
      <c r="B20" s="330" t="s">
        <v>10</v>
      </c>
      <c r="C20" s="326"/>
      <c r="D20" s="331">
        <f>D17+D18+D19</f>
        <v>875868.12</v>
      </c>
      <c r="E20" s="326"/>
    </row>
    <row r="21" spans="1:5" ht="15.75">
      <c r="A21" s="326"/>
      <c r="B21" s="330"/>
      <c r="C21" s="326"/>
      <c r="D21" s="329"/>
      <c r="E21" s="326"/>
    </row>
    <row r="22" spans="1:5" ht="15.75">
      <c r="A22" s="14"/>
      <c r="B22" s="17" t="s">
        <v>57</v>
      </c>
      <c r="C22" s="14"/>
      <c r="D22" s="20"/>
      <c r="E22" s="326"/>
    </row>
    <row r="23" spans="1:5" ht="12.75">
      <c r="A23" s="358" t="s">
        <v>58</v>
      </c>
      <c r="B23" s="16" t="s">
        <v>59</v>
      </c>
      <c r="C23" s="14"/>
      <c r="D23" s="19">
        <f>D24+D25+D29+D26+D28+D27</f>
        <v>130958.53472</v>
      </c>
      <c r="E23" s="326"/>
    </row>
    <row r="24" spans="1:5" ht="12.75">
      <c r="A24" s="14">
        <v>1</v>
      </c>
      <c r="B24" s="22" t="s">
        <v>11</v>
      </c>
      <c r="C24" s="22" t="s">
        <v>9</v>
      </c>
      <c r="D24" s="22">
        <v>94416.36</v>
      </c>
      <c r="E24" s="326"/>
    </row>
    <row r="25" spans="1:5" ht="12.75">
      <c r="A25" s="14">
        <v>2</v>
      </c>
      <c r="B25" s="22" t="s">
        <v>136</v>
      </c>
      <c r="C25" s="14"/>
      <c r="D25" s="18">
        <f>D24*20.2%</f>
        <v>19072.10472</v>
      </c>
      <c r="E25" s="326"/>
    </row>
    <row r="26" spans="1:5" ht="12.75">
      <c r="A26" s="14">
        <v>3</v>
      </c>
      <c r="B26" s="22" t="s">
        <v>156</v>
      </c>
      <c r="C26" s="14"/>
      <c r="D26" s="353">
        <v>125</v>
      </c>
      <c r="E26" s="326"/>
    </row>
    <row r="27" spans="1:5" ht="12.75">
      <c r="A27" s="14">
        <v>4</v>
      </c>
      <c r="B27" s="22" t="s">
        <v>157</v>
      </c>
      <c r="C27" s="14"/>
      <c r="D27" s="353">
        <v>8146.07</v>
      </c>
      <c r="E27" s="326"/>
    </row>
    <row r="28" spans="1:5" ht="12.75">
      <c r="A28" s="14">
        <v>5</v>
      </c>
      <c r="B28" s="22" t="s">
        <v>143</v>
      </c>
      <c r="C28" s="14"/>
      <c r="D28" s="14">
        <v>9199</v>
      </c>
      <c r="E28" s="326"/>
    </row>
    <row r="29" spans="1:5" ht="12.75">
      <c r="A29" s="14">
        <v>6</v>
      </c>
      <c r="B29" s="352" t="s">
        <v>15</v>
      </c>
      <c r="C29" s="14"/>
      <c r="D29" s="14">
        <v>0</v>
      </c>
      <c r="E29" s="326"/>
    </row>
    <row r="30" spans="1:5" ht="12.75">
      <c r="A30" s="358" t="s">
        <v>61</v>
      </c>
      <c r="B30" s="359" t="s">
        <v>60</v>
      </c>
      <c r="C30" s="14"/>
      <c r="D30" s="19">
        <f>D31+D32+D33+D34</f>
        <v>162605.36072</v>
      </c>
      <c r="E30" s="326"/>
    </row>
    <row r="31" spans="1:5" ht="12.75">
      <c r="A31" s="14">
        <v>1</v>
      </c>
      <c r="B31" s="22" t="s">
        <v>95</v>
      </c>
      <c r="C31" s="14"/>
      <c r="D31" s="22">
        <v>126724.36</v>
      </c>
      <c r="E31" s="326"/>
    </row>
    <row r="32" spans="1:5" ht="12.75">
      <c r="A32" s="14">
        <v>2</v>
      </c>
      <c r="B32" s="22" t="s">
        <v>136</v>
      </c>
      <c r="C32" s="14"/>
      <c r="D32" s="21">
        <f>D31*20.2%</f>
        <v>25598.32072</v>
      </c>
      <c r="E32" s="326"/>
    </row>
    <row r="33" spans="1:5" ht="12.75">
      <c r="A33" s="469">
        <v>3</v>
      </c>
      <c r="B33" s="22" t="s">
        <v>15</v>
      </c>
      <c r="C33" s="14"/>
      <c r="D33" s="22">
        <v>82.68</v>
      </c>
      <c r="E33" s="326"/>
    </row>
    <row r="34" spans="1:5" ht="12.75">
      <c r="A34" s="469">
        <v>4</v>
      </c>
      <c r="B34" s="22" t="s">
        <v>83</v>
      </c>
      <c r="C34" s="14"/>
      <c r="D34" s="22">
        <v>10200</v>
      </c>
      <c r="E34" s="326"/>
    </row>
    <row r="35" spans="1:5" ht="12.75">
      <c r="A35" s="358" t="s">
        <v>62</v>
      </c>
      <c r="B35" s="20" t="s">
        <v>16</v>
      </c>
      <c r="C35" s="14"/>
      <c r="D35" s="19">
        <f>D36+D37+D38+D39+D40+D41+D42+D43+D44</f>
        <v>146252.08164</v>
      </c>
      <c r="E35" s="326"/>
    </row>
    <row r="36" spans="1:5" ht="12.75">
      <c r="A36" s="14"/>
      <c r="B36" s="14" t="s">
        <v>17</v>
      </c>
      <c r="C36" s="14"/>
      <c r="D36" s="18">
        <f>D20*4.7%</f>
        <v>41165.80164</v>
      </c>
      <c r="E36" s="326"/>
    </row>
    <row r="37" spans="1:5" ht="12.75">
      <c r="A37" s="14"/>
      <c r="B37" s="14" t="s">
        <v>18</v>
      </c>
      <c r="C37" s="14"/>
      <c r="D37" s="18">
        <v>5983.67</v>
      </c>
      <c r="E37" s="14"/>
    </row>
    <row r="38" spans="1:5" ht="12.75">
      <c r="A38" s="14"/>
      <c r="B38" s="14" t="s">
        <v>19</v>
      </c>
      <c r="C38" s="14"/>
      <c r="D38" s="14">
        <v>8351.85</v>
      </c>
      <c r="E38" s="14"/>
    </row>
    <row r="39" spans="1:5" ht="12.75">
      <c r="A39" s="14"/>
      <c r="B39" s="352" t="s">
        <v>28</v>
      </c>
      <c r="C39" s="14"/>
      <c r="D39" s="14">
        <v>333.6</v>
      </c>
      <c r="E39" s="14"/>
    </row>
    <row r="40" spans="1:5" ht="12.75">
      <c r="A40" s="14"/>
      <c r="B40" s="14" t="s">
        <v>20</v>
      </c>
      <c r="C40" s="14"/>
      <c r="D40" s="18">
        <v>16369.4</v>
      </c>
      <c r="E40" s="18"/>
    </row>
    <row r="41" spans="1:5" ht="12.75">
      <c r="A41" s="14"/>
      <c r="B41" s="22" t="s">
        <v>148</v>
      </c>
      <c r="C41" s="14"/>
      <c r="D41" s="18">
        <v>15000</v>
      </c>
      <c r="E41" s="18"/>
    </row>
    <row r="42" spans="1:5" ht="12.75">
      <c r="A42" s="14"/>
      <c r="B42" s="22" t="s">
        <v>141</v>
      </c>
      <c r="C42" s="14"/>
      <c r="D42" s="18">
        <v>208</v>
      </c>
      <c r="E42" s="18"/>
    </row>
    <row r="43" spans="1:7" ht="12.75">
      <c r="A43" s="14"/>
      <c r="B43" s="352" t="s">
        <v>55</v>
      </c>
      <c r="C43" s="14"/>
      <c r="D43" s="14">
        <v>2109.1</v>
      </c>
      <c r="E43" s="14"/>
      <c r="G43" s="382"/>
    </row>
    <row r="44" spans="1:5" ht="12.75">
      <c r="A44" s="14"/>
      <c r="B44" s="22" t="s">
        <v>90</v>
      </c>
      <c r="C44" s="14"/>
      <c r="D44" s="18">
        <v>56730.66</v>
      </c>
      <c r="E44" s="14"/>
    </row>
    <row r="45" spans="1:5" ht="12.75">
      <c r="A45" s="15" t="s">
        <v>64</v>
      </c>
      <c r="B45" s="20" t="s">
        <v>92</v>
      </c>
      <c r="C45" s="14"/>
      <c r="D45" s="19">
        <v>145586.51</v>
      </c>
      <c r="E45" s="19"/>
    </row>
    <row r="46" spans="1:5" ht="12.75">
      <c r="A46" s="15" t="s">
        <v>65</v>
      </c>
      <c r="B46" s="20" t="s">
        <v>23</v>
      </c>
      <c r="C46" s="14"/>
      <c r="D46" s="19">
        <f>D23+D30+D35+D45</f>
        <v>585402.48708</v>
      </c>
      <c r="E46" s="14"/>
    </row>
    <row r="47" spans="1:5" ht="12.75">
      <c r="A47" s="15" t="s">
        <v>66</v>
      </c>
      <c r="B47" s="14" t="s">
        <v>32</v>
      </c>
      <c r="C47" s="14"/>
      <c r="D47" s="19">
        <f>D20*6%</f>
        <v>52552.087199999994</v>
      </c>
      <c r="E47" s="14"/>
    </row>
    <row r="48" spans="1:5" ht="12.75">
      <c r="A48" s="15" t="s">
        <v>67</v>
      </c>
      <c r="B48" s="20" t="s">
        <v>24</v>
      </c>
      <c r="C48" s="14"/>
      <c r="D48" s="19">
        <f>D46+D47</f>
        <v>637954.57428</v>
      </c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15" t="s">
        <v>68</v>
      </c>
      <c r="B50" s="20" t="s">
        <v>142</v>
      </c>
      <c r="C50" s="14"/>
      <c r="D50" s="19">
        <v>71376.44</v>
      </c>
      <c r="E50" s="14"/>
    </row>
    <row r="51" spans="1:5" ht="12.75">
      <c r="A51" s="15" t="s">
        <v>69</v>
      </c>
      <c r="B51" s="20" t="s">
        <v>44</v>
      </c>
      <c r="C51" s="14"/>
      <c r="D51" s="19">
        <f>D10+D50</f>
        <v>53409.740000000005</v>
      </c>
      <c r="E51" s="14"/>
    </row>
    <row r="52" spans="1:5" ht="12.75">
      <c r="A52" s="3"/>
      <c r="B52" s="377"/>
      <c r="C52" s="3"/>
      <c r="D52" s="380"/>
      <c r="E52" s="3"/>
    </row>
    <row r="53" spans="1:5" ht="12.75">
      <c r="A53" s="3"/>
      <c r="B53" s="377"/>
      <c r="C53" s="3"/>
      <c r="D53" s="380"/>
      <c r="E53" s="3"/>
    </row>
    <row r="54" spans="1:5" ht="12.75">
      <c r="A54" s="3"/>
      <c r="B54" s="377"/>
      <c r="C54" s="3"/>
      <c r="D54" s="380"/>
      <c r="E54" s="3"/>
    </row>
    <row r="55" spans="1:5" ht="12.75">
      <c r="A55" s="3"/>
      <c r="B55" s="377" t="s">
        <v>74</v>
      </c>
      <c r="C55" s="3"/>
      <c r="D55" s="380">
        <v>364596.93</v>
      </c>
      <c r="E55" s="3"/>
    </row>
    <row r="56" spans="1:5" ht="12.75">
      <c r="A56" s="3"/>
      <c r="B56" s="377" t="s">
        <v>87</v>
      </c>
      <c r="C56" s="3"/>
      <c r="D56" s="380">
        <f>266905.87+10500</f>
        <v>277405.87</v>
      </c>
      <c r="E56" s="3"/>
    </row>
    <row r="57" spans="1:5" ht="12.75">
      <c r="A57" s="3"/>
      <c r="B57" s="377" t="s">
        <v>86</v>
      </c>
      <c r="C57" s="3"/>
      <c r="D57" s="380">
        <f>D55-D56</f>
        <v>87191.06</v>
      </c>
      <c r="E57" s="3"/>
    </row>
    <row r="58" spans="2:5" ht="12.75">
      <c r="B58" s="377"/>
      <c r="C58" s="3"/>
      <c r="D58" s="380"/>
      <c r="E58" s="3"/>
    </row>
    <row r="59" spans="2:4" ht="12.75">
      <c r="B59" t="s">
        <v>30</v>
      </c>
      <c r="D59" t="s">
        <v>0</v>
      </c>
    </row>
    <row r="60" spans="2:4" ht="12.75">
      <c r="B60" t="s">
        <v>31</v>
      </c>
      <c r="D60" t="s">
        <v>26</v>
      </c>
    </row>
  </sheetData>
  <sheetProtection/>
  <mergeCells count="2">
    <mergeCell ref="D8:E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zoomScalePageLayoutView="0" workbookViewId="0" topLeftCell="A1">
      <selection activeCell="G33" sqref="G33:H46"/>
    </sheetView>
  </sheetViews>
  <sheetFormatPr defaultColWidth="9.00390625" defaultRowHeight="12.75"/>
  <cols>
    <col min="1" max="1" width="6.625" style="0" customWidth="1"/>
    <col min="2" max="2" width="40.25390625" style="0" customWidth="1"/>
    <col min="3" max="3" width="8.625" style="0" customWidth="1"/>
    <col min="4" max="4" width="11.875" style="0" customWidth="1"/>
    <col min="5" max="5" width="11.125" style="0" customWidth="1"/>
    <col min="7" max="7" width="17.625" style="0" customWidth="1"/>
    <col min="8" max="8" width="16.625" style="0" customWidth="1"/>
    <col min="10" max="10" width="10.00390625" style="0" customWidth="1"/>
    <col min="13" max="13" width="4.25390625" style="0" customWidth="1"/>
    <col min="15" max="15" width="41.75390625" style="0" customWidth="1"/>
    <col min="16" max="16" width="7.875" style="0" customWidth="1"/>
    <col min="17" max="17" width="9.875" style="0" customWidth="1"/>
    <col min="21" max="21" width="40.25390625" style="0" customWidth="1"/>
    <col min="23" max="23" width="10.625" style="0" customWidth="1"/>
    <col min="24" max="24" width="10.37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158</v>
      </c>
    </row>
    <row r="5" ht="12.75">
      <c r="B5" t="s">
        <v>48</v>
      </c>
    </row>
    <row r="6" spans="1:5" ht="12.75">
      <c r="A6" s="569"/>
      <c r="B6" s="569"/>
      <c r="C6" s="569"/>
      <c r="D6" s="315"/>
      <c r="E6" s="316"/>
    </row>
    <row r="7" spans="1:5" ht="12.75">
      <c r="A7" s="317"/>
      <c r="B7" s="317"/>
      <c r="C7" s="317"/>
      <c r="D7" s="351"/>
      <c r="E7" s="319"/>
    </row>
    <row r="8" spans="1:5" ht="15.75">
      <c r="A8" s="317"/>
      <c r="B8" s="320" t="s">
        <v>1</v>
      </c>
      <c r="C8" s="321" t="s">
        <v>3</v>
      </c>
      <c r="D8" s="570" t="s">
        <v>4</v>
      </c>
      <c r="E8" s="571"/>
    </row>
    <row r="9" spans="1:5" ht="15.75">
      <c r="A9" s="322"/>
      <c r="B9" s="320" t="s">
        <v>2</v>
      </c>
      <c r="C9" s="321" t="s">
        <v>33</v>
      </c>
      <c r="D9" s="572" t="s">
        <v>106</v>
      </c>
      <c r="E9" s="573"/>
    </row>
    <row r="10" spans="1:5" ht="12.75">
      <c r="A10" s="323"/>
      <c r="B10" s="323"/>
      <c r="C10" s="323"/>
      <c r="D10" s="324"/>
      <c r="E10" s="325"/>
    </row>
    <row r="11" spans="1:5" ht="12.75">
      <c r="A11" s="323"/>
      <c r="B11" s="338" t="s">
        <v>70</v>
      </c>
      <c r="C11" s="323"/>
      <c r="D11" s="324">
        <v>114243.68</v>
      </c>
      <c r="E11" s="325"/>
    </row>
    <row r="12" spans="1:5" ht="12.75">
      <c r="A12" s="326"/>
      <c r="B12" s="327" t="s">
        <v>5</v>
      </c>
      <c r="C12" s="326" t="s">
        <v>34</v>
      </c>
      <c r="D12" s="326">
        <v>5925.2</v>
      </c>
      <c r="E12" s="326"/>
    </row>
    <row r="13" spans="1:5" ht="12.75">
      <c r="A13" s="326"/>
      <c r="B13" s="327" t="s">
        <v>6</v>
      </c>
      <c r="C13" s="326" t="s">
        <v>34</v>
      </c>
      <c r="D13" s="326">
        <v>4452.3</v>
      </c>
      <c r="E13" s="326"/>
    </row>
    <row r="14" spans="1:5" ht="12.75">
      <c r="A14" s="326"/>
      <c r="B14" s="328" t="s">
        <v>27</v>
      </c>
      <c r="C14" s="326" t="s">
        <v>9</v>
      </c>
      <c r="D14" s="326">
        <v>487136.83</v>
      </c>
      <c r="E14" s="326"/>
    </row>
    <row r="15" spans="1:5" ht="12.75">
      <c r="A15" s="326"/>
      <c r="B15" s="326"/>
      <c r="C15" s="326"/>
      <c r="D15" s="326"/>
      <c r="E15" s="326"/>
    </row>
    <row r="16" spans="1:5" ht="15.75">
      <c r="A16" s="326"/>
      <c r="B16" s="330" t="s">
        <v>7</v>
      </c>
      <c r="C16" s="326"/>
      <c r="D16" s="326"/>
      <c r="E16" s="326"/>
    </row>
    <row r="17" spans="1:5" ht="12.75">
      <c r="A17" s="326">
        <v>1</v>
      </c>
      <c r="B17" s="326" t="s">
        <v>8</v>
      </c>
      <c r="C17" s="326" t="s">
        <v>9</v>
      </c>
      <c r="D17" s="326">
        <v>278578.69</v>
      </c>
      <c r="E17" s="326"/>
    </row>
    <row r="18" spans="1:5" ht="12.75">
      <c r="A18" s="326">
        <v>2</v>
      </c>
      <c r="B18" s="326" t="s">
        <v>74</v>
      </c>
      <c r="C18" s="326"/>
      <c r="D18" s="326">
        <v>172587.73</v>
      </c>
      <c r="E18" s="326"/>
    </row>
    <row r="19" spans="1:5" ht="12.75">
      <c r="A19" s="326">
        <v>3</v>
      </c>
      <c r="B19" s="326" t="s">
        <v>82</v>
      </c>
      <c r="C19" s="326"/>
      <c r="D19" s="326">
        <v>6000</v>
      </c>
      <c r="E19" s="326"/>
    </row>
    <row r="20" spans="1:5" ht="15.75">
      <c r="A20" s="326"/>
      <c r="B20" s="330" t="s">
        <v>10</v>
      </c>
      <c r="C20" s="326"/>
      <c r="D20" s="329">
        <f>D17+D19+D18</f>
        <v>457166.42000000004</v>
      </c>
      <c r="E20" s="326"/>
    </row>
    <row r="21" spans="1:5" ht="15.75">
      <c r="A21" s="326"/>
      <c r="B21" s="330"/>
      <c r="C21" s="326"/>
      <c r="D21" s="329"/>
      <c r="E21" s="326"/>
    </row>
    <row r="22" spans="1:5" ht="15.75">
      <c r="A22" s="14"/>
      <c r="B22" s="17" t="s">
        <v>57</v>
      </c>
      <c r="C22" s="14"/>
      <c r="D22" s="20"/>
      <c r="E22" s="326"/>
    </row>
    <row r="23" spans="1:5" ht="12.75">
      <c r="A23" s="358" t="s">
        <v>58</v>
      </c>
      <c r="B23" s="16" t="s">
        <v>59</v>
      </c>
      <c r="C23" s="14"/>
      <c r="D23" s="19">
        <f>D24+D25+D26+D28+D27</f>
        <v>65188.44444</v>
      </c>
      <c r="E23" s="326"/>
    </row>
    <row r="24" spans="1:5" ht="12.75">
      <c r="A24" s="14">
        <v>1</v>
      </c>
      <c r="B24" s="22" t="s">
        <v>11</v>
      </c>
      <c r="C24" s="22" t="s">
        <v>9</v>
      </c>
      <c r="D24" s="22">
        <v>47130.22</v>
      </c>
      <c r="E24" s="326"/>
    </row>
    <row r="25" spans="1:5" ht="12.75">
      <c r="A25" s="14">
        <v>2</v>
      </c>
      <c r="B25" s="22" t="s">
        <v>136</v>
      </c>
      <c r="C25" s="14"/>
      <c r="D25" s="18">
        <f>D24*20.2%</f>
        <v>9520.30444</v>
      </c>
      <c r="E25" s="326"/>
    </row>
    <row r="26" spans="1:5" ht="12.75">
      <c r="A26" s="14">
        <v>3</v>
      </c>
      <c r="B26" s="22" t="s">
        <v>143</v>
      </c>
      <c r="C26" s="14"/>
      <c r="D26" s="353">
        <v>1352.28</v>
      </c>
      <c r="E26" s="326"/>
    </row>
    <row r="27" spans="1:5" ht="12.75">
      <c r="A27" s="14">
        <v>4</v>
      </c>
      <c r="B27" s="22" t="s">
        <v>157</v>
      </c>
      <c r="C27" s="14"/>
      <c r="D27" s="14">
        <v>5211.19</v>
      </c>
      <c r="E27" s="326"/>
    </row>
    <row r="28" spans="1:5" ht="12.75">
      <c r="A28" s="14">
        <v>5</v>
      </c>
      <c r="B28" s="352" t="s">
        <v>15</v>
      </c>
      <c r="C28" s="14"/>
      <c r="D28" s="14">
        <v>1974.45</v>
      </c>
      <c r="E28" s="326"/>
    </row>
    <row r="29" spans="1:5" ht="12.75">
      <c r="A29" s="358" t="s">
        <v>61</v>
      </c>
      <c r="B29" s="359" t="s">
        <v>60</v>
      </c>
      <c r="C29" s="14"/>
      <c r="D29" s="19">
        <f>D30+D31+D32+D34+D33</f>
        <v>137930.0761</v>
      </c>
      <c r="E29" s="326"/>
    </row>
    <row r="30" spans="1:5" ht="12.75">
      <c r="A30" s="14">
        <v>1</v>
      </c>
      <c r="B30" s="22" t="s">
        <v>95</v>
      </c>
      <c r="C30" s="14"/>
      <c r="D30" s="22">
        <v>108823.05</v>
      </c>
      <c r="E30" s="326"/>
    </row>
    <row r="31" spans="1:5" ht="12.75">
      <c r="A31" s="14"/>
      <c r="B31" s="22" t="s">
        <v>136</v>
      </c>
      <c r="C31" s="14"/>
      <c r="D31" s="21">
        <f>D30*20.2%</f>
        <v>21982.2561</v>
      </c>
      <c r="E31" s="326"/>
    </row>
    <row r="32" spans="1:5" ht="12.75">
      <c r="A32" s="14">
        <v>2</v>
      </c>
      <c r="B32" s="22" t="s">
        <v>15</v>
      </c>
      <c r="C32" s="14"/>
      <c r="D32" s="22">
        <v>876.77</v>
      </c>
      <c r="E32" s="14"/>
    </row>
    <row r="33" spans="1:5" ht="12.75">
      <c r="A33" s="14"/>
      <c r="B33" s="22" t="s">
        <v>91</v>
      </c>
      <c r="C33" s="14"/>
      <c r="D33" s="22">
        <v>528</v>
      </c>
      <c r="E33" s="14"/>
    </row>
    <row r="34" spans="1:5" ht="12.75">
      <c r="A34" s="14">
        <v>3</v>
      </c>
      <c r="B34" s="22" t="s">
        <v>83</v>
      </c>
      <c r="C34" s="14"/>
      <c r="D34" s="22">
        <v>5720</v>
      </c>
      <c r="E34" s="14"/>
    </row>
    <row r="35" spans="1:5" ht="12.75">
      <c r="A35" s="358" t="s">
        <v>62</v>
      </c>
      <c r="B35" s="20" t="s">
        <v>16</v>
      </c>
      <c r="C35" s="14"/>
      <c r="D35" s="19">
        <f>D36+D37+D38+D39+D40+D41+D42+D43</f>
        <v>75797.661</v>
      </c>
      <c r="E35" s="19"/>
    </row>
    <row r="36" spans="1:5" ht="12.75">
      <c r="A36" s="14"/>
      <c r="B36" s="14" t="s">
        <v>17</v>
      </c>
      <c r="C36" s="14"/>
      <c r="D36" s="18">
        <f>D20*5%</f>
        <v>22858.321000000004</v>
      </c>
      <c r="E36" s="14"/>
    </row>
    <row r="37" spans="1:5" ht="12.75">
      <c r="A37" s="14"/>
      <c r="B37" s="14" t="s">
        <v>18</v>
      </c>
      <c r="C37" s="14"/>
      <c r="D37" s="22">
        <v>2499.64</v>
      </c>
      <c r="E37" s="14"/>
    </row>
    <row r="38" spans="1:5" ht="12.75">
      <c r="A38" s="14"/>
      <c r="B38" s="14" t="s">
        <v>19</v>
      </c>
      <c r="C38" s="14"/>
      <c r="D38" s="22">
        <v>14378.83</v>
      </c>
      <c r="E38" s="14"/>
    </row>
    <row r="39" spans="1:5" ht="12.75">
      <c r="A39" s="14"/>
      <c r="B39" s="14" t="s">
        <v>20</v>
      </c>
      <c r="C39" s="14"/>
      <c r="D39" s="18">
        <v>14057.03</v>
      </c>
      <c r="E39" s="18"/>
    </row>
    <row r="40" spans="1:5" ht="12.75">
      <c r="A40" s="14"/>
      <c r="B40" s="22" t="s">
        <v>148</v>
      </c>
      <c r="C40" s="14"/>
      <c r="D40" s="18">
        <v>15000</v>
      </c>
      <c r="E40" s="18"/>
    </row>
    <row r="41" spans="1:5" ht="12.75">
      <c r="A41" s="14"/>
      <c r="B41" s="352" t="s">
        <v>28</v>
      </c>
      <c r="C41" s="14"/>
      <c r="D41" s="18">
        <v>333.6</v>
      </c>
      <c r="E41" s="14"/>
    </row>
    <row r="42" spans="1:5" ht="12.75">
      <c r="A42" s="14"/>
      <c r="B42" s="352" t="s">
        <v>55</v>
      </c>
      <c r="C42" s="14"/>
      <c r="D42" s="18">
        <v>1811.4</v>
      </c>
      <c r="E42" s="14"/>
    </row>
    <row r="43" spans="1:5" ht="12.75">
      <c r="A43" s="14"/>
      <c r="B43" s="22" t="s">
        <v>21</v>
      </c>
      <c r="C43" s="14"/>
      <c r="D43" s="18">
        <v>4858.84</v>
      </c>
      <c r="E43" s="14"/>
    </row>
    <row r="44" spans="1:5" ht="12.75">
      <c r="A44" s="15" t="s">
        <v>64</v>
      </c>
      <c r="B44" s="20" t="s">
        <v>92</v>
      </c>
      <c r="C44" s="14"/>
      <c r="D44" s="19">
        <v>109719.94</v>
      </c>
      <c r="E44" s="19"/>
    </row>
    <row r="45" spans="1:5" ht="12.75">
      <c r="A45" s="15" t="s">
        <v>65</v>
      </c>
      <c r="B45" s="20" t="s">
        <v>23</v>
      </c>
      <c r="C45" s="14"/>
      <c r="D45" s="19">
        <f>D23+E23+D29+E29+D35+E35+D44+E44</f>
        <v>388636.12154</v>
      </c>
      <c r="E45" s="14"/>
    </row>
    <row r="46" spans="1:5" ht="12.75">
      <c r="A46" s="15" t="s">
        <v>66</v>
      </c>
      <c r="B46" s="14" t="s">
        <v>32</v>
      </c>
      <c r="C46" s="14"/>
      <c r="D46" s="19">
        <f>D20*6%</f>
        <v>27429.985200000003</v>
      </c>
      <c r="E46" s="14"/>
    </row>
    <row r="47" spans="1:5" ht="12.75">
      <c r="A47" s="15" t="s">
        <v>67</v>
      </c>
      <c r="B47" s="20" t="s">
        <v>24</v>
      </c>
      <c r="C47" s="14"/>
      <c r="D47" s="19">
        <f>D45+D46</f>
        <v>416066.10674</v>
      </c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475" t="s">
        <v>68</v>
      </c>
      <c r="B49" s="20" t="s">
        <v>142</v>
      </c>
      <c r="C49" s="14"/>
      <c r="D49" s="19">
        <f>D20-D47</f>
        <v>41100.313260000024</v>
      </c>
      <c r="E49" s="14"/>
    </row>
    <row r="50" spans="1:5" ht="12.75">
      <c r="A50" s="475" t="s">
        <v>69</v>
      </c>
      <c r="B50" s="20" t="s">
        <v>44</v>
      </c>
      <c r="C50" s="14"/>
      <c r="D50" s="19">
        <f>D11+D49</f>
        <v>155343.99326000002</v>
      </c>
      <c r="E50" s="14"/>
    </row>
    <row r="51" spans="1:5" ht="12.75">
      <c r="A51" s="3"/>
      <c r="B51" s="377"/>
      <c r="C51" s="3"/>
      <c r="D51" s="380"/>
      <c r="E51" s="3"/>
    </row>
    <row r="52" spans="1:5" ht="12.75">
      <c r="A52" s="3"/>
      <c r="B52" s="377"/>
      <c r="C52" s="3"/>
      <c r="D52" s="380"/>
      <c r="E52" s="3"/>
    </row>
    <row r="53" spans="1:5" ht="12.75">
      <c r="A53" s="3"/>
      <c r="B53" t="s">
        <v>30</v>
      </c>
      <c r="D53" t="s">
        <v>0</v>
      </c>
      <c r="E53" s="3"/>
    </row>
    <row r="54" spans="1:5" ht="12.75">
      <c r="A54" s="1"/>
      <c r="B54" s="1" t="s">
        <v>31</v>
      </c>
      <c r="C54" s="1"/>
      <c r="D54" s="1" t="s">
        <v>26</v>
      </c>
      <c r="E54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5.75390625" style="0" customWidth="1"/>
    <col min="2" max="2" width="42.625" style="0" customWidth="1"/>
    <col min="3" max="3" width="6.75390625" style="0" customWidth="1"/>
    <col min="4" max="4" width="10.00390625" style="0" customWidth="1"/>
    <col min="5" max="5" width="10.625" style="0" customWidth="1"/>
    <col min="7" max="7" width="11.75390625" style="0" customWidth="1"/>
    <col min="8" max="8" width="15.625" style="0" customWidth="1"/>
    <col min="10" max="10" width="11.00390625" style="0" customWidth="1"/>
    <col min="13" max="13" width="6.375" style="0" customWidth="1"/>
    <col min="14" max="14" width="37.125" style="0" customWidth="1"/>
    <col min="16" max="16" width="10.875" style="0" customWidth="1"/>
    <col min="17" max="17" width="13.00390625" style="0" customWidth="1"/>
    <col min="19" max="19" width="5.375" style="0" customWidth="1"/>
    <col min="20" max="20" width="41.625" style="0" customWidth="1"/>
    <col min="22" max="22" width="11.00390625" style="0" customWidth="1"/>
  </cols>
  <sheetData>
    <row r="1" spans="1:5" ht="15.75">
      <c r="A1" s="37"/>
      <c r="B1" s="38" t="s">
        <v>25</v>
      </c>
      <c r="C1" s="37"/>
      <c r="D1" s="37"/>
      <c r="E1" s="37"/>
    </row>
    <row r="2" spans="1:5" ht="12.75">
      <c r="A2" s="37"/>
      <c r="B2" s="37"/>
      <c r="C2" s="37"/>
      <c r="D2" s="37"/>
      <c r="E2" s="37"/>
    </row>
    <row r="3" spans="1:5" ht="12.75">
      <c r="A3" s="37"/>
      <c r="B3" s="37" t="s">
        <v>29</v>
      </c>
      <c r="C3" s="37"/>
      <c r="D3" s="37"/>
      <c r="E3" s="37"/>
    </row>
    <row r="4" spans="1:5" ht="12.75">
      <c r="A4" s="37"/>
      <c r="B4" s="381" t="s">
        <v>182</v>
      </c>
      <c r="C4" s="37"/>
      <c r="D4" s="37"/>
      <c r="E4" s="37"/>
    </row>
    <row r="5" spans="1:5" ht="12.75">
      <c r="A5" s="37"/>
      <c r="B5" s="37" t="s">
        <v>40</v>
      </c>
      <c r="C5" s="37"/>
      <c r="D5" s="37"/>
      <c r="E5" s="37"/>
    </row>
    <row r="6" spans="1:5" ht="12.75">
      <c r="A6" s="490"/>
      <c r="B6" s="490"/>
      <c r="C6" s="490"/>
      <c r="D6" s="343"/>
      <c r="E6" s="39"/>
    </row>
    <row r="7" spans="1:5" ht="12.75">
      <c r="A7" s="348"/>
      <c r="B7" s="348"/>
      <c r="C7" s="348"/>
      <c r="D7" s="41"/>
      <c r="E7" s="42"/>
    </row>
    <row r="8" spans="1:5" ht="15.75">
      <c r="A8" s="40"/>
      <c r="B8" s="43" t="s">
        <v>1</v>
      </c>
      <c r="C8" s="44" t="s">
        <v>3</v>
      </c>
      <c r="D8" s="491" t="s">
        <v>4</v>
      </c>
      <c r="E8" s="492"/>
    </row>
    <row r="9" spans="1:5" ht="15.75">
      <c r="A9" s="45"/>
      <c r="B9" s="43" t="s">
        <v>2</v>
      </c>
      <c r="C9" s="44" t="s">
        <v>33</v>
      </c>
      <c r="D9" s="493" t="s">
        <v>183</v>
      </c>
      <c r="E9" s="494"/>
    </row>
    <row r="10" spans="1:5" ht="12.75">
      <c r="A10" s="46"/>
      <c r="B10" s="46"/>
      <c r="C10" s="46"/>
      <c r="D10" s="47"/>
      <c r="E10" s="48"/>
    </row>
    <row r="11" spans="1:5" ht="12.75">
      <c r="A11" s="46"/>
      <c r="B11" s="362" t="s">
        <v>70</v>
      </c>
      <c r="C11" s="46"/>
      <c r="D11" s="47">
        <v>-84105.54</v>
      </c>
      <c r="E11" s="48"/>
    </row>
    <row r="12" spans="1:5" ht="12.75">
      <c r="A12" s="49"/>
      <c r="B12" s="50" t="s">
        <v>5</v>
      </c>
      <c r="C12" s="49" t="s">
        <v>34</v>
      </c>
      <c r="D12" s="49">
        <v>5182.7</v>
      </c>
      <c r="E12" s="49"/>
    </row>
    <row r="13" spans="1:5" ht="12.75">
      <c r="A13" s="49"/>
      <c r="B13" s="50" t="s">
        <v>6</v>
      </c>
      <c r="C13" s="49" t="s">
        <v>34</v>
      </c>
      <c r="D13" s="49">
        <v>4325</v>
      </c>
      <c r="E13" s="49"/>
    </row>
    <row r="14" spans="1:5" ht="12.75">
      <c r="A14" s="49"/>
      <c r="B14" s="51" t="s">
        <v>27</v>
      </c>
      <c r="C14" s="49" t="s">
        <v>9</v>
      </c>
      <c r="D14" s="49">
        <v>326420.35</v>
      </c>
      <c r="E14" s="49"/>
    </row>
    <row r="15" spans="1:5" ht="12.75">
      <c r="A15" s="49"/>
      <c r="B15" s="49"/>
      <c r="C15" s="49"/>
      <c r="D15" s="49"/>
      <c r="E15" s="49"/>
    </row>
    <row r="16" spans="1:5" ht="15.75">
      <c r="A16" s="49"/>
      <c r="B16" s="52" t="s">
        <v>7</v>
      </c>
      <c r="C16" s="49"/>
      <c r="D16" s="49"/>
      <c r="E16" s="49"/>
    </row>
    <row r="17" spans="1:5" ht="12.75">
      <c r="A17" s="49">
        <v>1</v>
      </c>
      <c r="B17" s="49" t="s">
        <v>8</v>
      </c>
      <c r="C17" s="49" t="s">
        <v>9</v>
      </c>
      <c r="D17" s="49">
        <v>323425.78</v>
      </c>
      <c r="E17" s="49"/>
    </row>
    <row r="18" spans="1:5" ht="12.75">
      <c r="A18" s="49">
        <v>3</v>
      </c>
      <c r="B18" s="49" t="s">
        <v>82</v>
      </c>
      <c r="C18" s="49"/>
      <c r="D18" s="49">
        <v>11383.23</v>
      </c>
      <c r="E18" s="49"/>
    </row>
    <row r="19" spans="1:7" ht="15.75">
      <c r="A19" s="49"/>
      <c r="B19" s="52" t="s">
        <v>10</v>
      </c>
      <c r="C19" s="49"/>
      <c r="D19" s="53">
        <f>D17+D18</f>
        <v>334809.01</v>
      </c>
      <c r="E19" s="49"/>
      <c r="G19" s="382"/>
    </row>
    <row r="20" spans="1:5" ht="15.75">
      <c r="A20" s="49"/>
      <c r="B20" s="52"/>
      <c r="C20" s="49"/>
      <c r="D20" s="53"/>
      <c r="E20" s="49"/>
    </row>
    <row r="21" spans="1:5" ht="15.75">
      <c r="A21" s="14"/>
      <c r="B21" s="17" t="s">
        <v>57</v>
      </c>
      <c r="C21" s="14"/>
      <c r="D21" s="20"/>
      <c r="E21" s="49"/>
    </row>
    <row r="22" spans="1:5" ht="12.75">
      <c r="A22" s="358" t="s">
        <v>58</v>
      </c>
      <c r="B22" s="16" t="s">
        <v>59</v>
      </c>
      <c r="C22" s="14"/>
      <c r="D22" s="19">
        <f>D23+D25+D26+D25</f>
        <v>63583.549999999996</v>
      </c>
      <c r="E22" s="49"/>
    </row>
    <row r="23" spans="1:5" ht="12.75">
      <c r="A23" s="14">
        <v>1</v>
      </c>
      <c r="B23" s="22" t="s">
        <v>11</v>
      </c>
      <c r="C23" s="22" t="s">
        <v>9</v>
      </c>
      <c r="D23" s="21">
        <v>53488.32</v>
      </c>
      <c r="E23" s="49"/>
    </row>
    <row r="24" spans="1:5" ht="12.75">
      <c r="A24" s="14">
        <v>2</v>
      </c>
      <c r="B24" s="22" t="s">
        <v>136</v>
      </c>
      <c r="C24" s="14"/>
      <c r="D24" s="18">
        <f>D23*20.2%</f>
        <v>10804.64064</v>
      </c>
      <c r="E24" s="49"/>
    </row>
    <row r="25" spans="1:5" ht="12.75">
      <c r="A25" s="14">
        <v>3</v>
      </c>
      <c r="B25" s="22" t="s">
        <v>143</v>
      </c>
      <c r="C25" s="14"/>
      <c r="D25" s="14">
        <v>2549.71</v>
      </c>
      <c r="E25" s="49"/>
    </row>
    <row r="26" spans="1:5" ht="12.75">
      <c r="A26" s="14">
        <v>4</v>
      </c>
      <c r="B26" s="352" t="s">
        <v>15</v>
      </c>
      <c r="C26" s="14"/>
      <c r="D26" s="14">
        <v>4995.81</v>
      </c>
      <c r="E26" s="49"/>
    </row>
    <row r="27" spans="1:5" ht="12.75">
      <c r="A27" s="358" t="s">
        <v>61</v>
      </c>
      <c r="B27" s="359" t="s">
        <v>60</v>
      </c>
      <c r="C27" s="14"/>
      <c r="D27" s="19">
        <f>D28+D29+D30+D31</f>
        <v>143121.37916</v>
      </c>
      <c r="E27" s="49"/>
    </row>
    <row r="28" spans="1:5" ht="12.75">
      <c r="A28" s="14">
        <v>1</v>
      </c>
      <c r="B28" s="22" t="s">
        <v>144</v>
      </c>
      <c r="C28" s="14"/>
      <c r="D28" s="22">
        <v>105711.58</v>
      </c>
      <c r="E28" s="49"/>
    </row>
    <row r="29" spans="1:5" ht="12.75">
      <c r="A29" s="14">
        <v>2</v>
      </c>
      <c r="B29" s="22" t="s">
        <v>136</v>
      </c>
      <c r="C29" s="14"/>
      <c r="D29" s="21">
        <f>D28*20.2%</f>
        <v>21353.739159999997</v>
      </c>
      <c r="E29" s="49"/>
    </row>
    <row r="30" spans="1:5" ht="12.75">
      <c r="A30" s="14">
        <v>3</v>
      </c>
      <c r="B30" s="22" t="s">
        <v>15</v>
      </c>
      <c r="C30" s="14"/>
      <c r="D30" s="22">
        <v>8295.06</v>
      </c>
      <c r="E30" s="14"/>
    </row>
    <row r="31" spans="1:5" ht="12.75">
      <c r="A31" s="14">
        <v>4</v>
      </c>
      <c r="B31" s="22" t="s">
        <v>83</v>
      </c>
      <c r="C31" s="14"/>
      <c r="D31" s="22">
        <v>7761</v>
      </c>
      <c r="E31" s="14"/>
    </row>
    <row r="32" spans="1:5" ht="12.75">
      <c r="A32" s="358" t="s">
        <v>62</v>
      </c>
      <c r="B32" s="20" t="s">
        <v>16</v>
      </c>
      <c r="C32" s="14"/>
      <c r="D32" s="19">
        <f>D33+D34+D35+D36+D37+D38+D39+D40</f>
        <v>54835.8605</v>
      </c>
      <c r="E32" s="19"/>
    </row>
    <row r="33" spans="1:5" ht="12.75">
      <c r="A33" s="14"/>
      <c r="B33" s="14" t="s">
        <v>17</v>
      </c>
      <c r="C33" s="14"/>
      <c r="D33" s="18">
        <f>D19*5%</f>
        <v>16740.450500000003</v>
      </c>
      <c r="E33" s="14"/>
    </row>
    <row r="34" spans="1:5" ht="12.75">
      <c r="A34" s="14"/>
      <c r="B34" s="14" t="s">
        <v>18</v>
      </c>
      <c r="C34" s="14"/>
      <c r="D34" s="14">
        <v>2732.62</v>
      </c>
      <c r="E34" s="14"/>
    </row>
    <row r="35" spans="1:5" ht="12.75">
      <c r="A35" s="14"/>
      <c r="B35" s="14" t="s">
        <v>19</v>
      </c>
      <c r="C35" s="14"/>
      <c r="D35" s="14">
        <v>14378.83</v>
      </c>
      <c r="E35" s="14"/>
    </row>
    <row r="36" spans="1:5" ht="12.75">
      <c r="A36" s="14"/>
      <c r="B36" s="14" t="s">
        <v>20</v>
      </c>
      <c r="C36" s="14"/>
      <c r="D36" s="18">
        <v>13655.11</v>
      </c>
      <c r="E36" s="18"/>
    </row>
    <row r="37" spans="1:5" ht="12.75">
      <c r="A37" s="14"/>
      <c r="B37" s="22" t="s">
        <v>141</v>
      </c>
      <c r="C37" s="14"/>
      <c r="D37" s="14">
        <v>516</v>
      </c>
      <c r="E37" s="14"/>
    </row>
    <row r="38" spans="1:5" ht="12.75">
      <c r="A38" s="14"/>
      <c r="B38" s="22" t="s">
        <v>28</v>
      </c>
      <c r="C38" s="14"/>
      <c r="D38" s="14">
        <v>333.33</v>
      </c>
      <c r="E38" s="14"/>
    </row>
    <row r="39" spans="1:5" ht="12.75">
      <c r="A39" s="14"/>
      <c r="B39" s="352" t="s">
        <v>55</v>
      </c>
      <c r="C39" s="14"/>
      <c r="D39" s="14">
        <v>1759.6</v>
      </c>
      <c r="E39" s="14"/>
    </row>
    <row r="40" spans="1:5" ht="12.75">
      <c r="A40" s="14"/>
      <c r="B40" s="14" t="s">
        <v>21</v>
      </c>
      <c r="C40" s="14"/>
      <c r="D40" s="14">
        <v>4719.92</v>
      </c>
      <c r="E40" s="14"/>
    </row>
    <row r="41" spans="1:5" ht="12.75">
      <c r="A41" s="475" t="s">
        <v>64</v>
      </c>
      <c r="B41" s="20" t="s">
        <v>74</v>
      </c>
      <c r="C41" s="14"/>
      <c r="D41" s="20">
        <f>12671.14+10907.75</f>
        <v>23578.89</v>
      </c>
      <c r="E41" s="14"/>
    </row>
    <row r="42" spans="1:5" ht="12.75">
      <c r="A42" s="475" t="s">
        <v>65</v>
      </c>
      <c r="B42" s="20" t="s">
        <v>92</v>
      </c>
      <c r="C42" s="14"/>
      <c r="D42" s="19">
        <v>104808.1</v>
      </c>
      <c r="E42" s="19"/>
    </row>
    <row r="43" spans="1:5" ht="12.75">
      <c r="A43" s="475" t="s">
        <v>66</v>
      </c>
      <c r="B43" s="20" t="s">
        <v>23</v>
      </c>
      <c r="C43" s="14"/>
      <c r="D43" s="19">
        <f>D22+D27+D32+D41+D42</f>
        <v>389927.77966</v>
      </c>
      <c r="E43" s="14"/>
    </row>
    <row r="44" spans="1:5" ht="12.75">
      <c r="A44" s="475" t="s">
        <v>67</v>
      </c>
      <c r="B44" s="14" t="s">
        <v>32</v>
      </c>
      <c r="C44" s="14"/>
      <c r="D44" s="19">
        <f>D19*6%</f>
        <v>20088.5406</v>
      </c>
      <c r="E44" s="14"/>
    </row>
    <row r="45" spans="1:5" ht="12.75">
      <c r="A45" s="475" t="s">
        <v>68</v>
      </c>
      <c r="B45" s="20" t="s">
        <v>24</v>
      </c>
      <c r="C45" s="14"/>
      <c r="D45" s="19">
        <f>D43+D44</f>
        <v>410016.32026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475" t="s">
        <v>69</v>
      </c>
      <c r="B47" s="20" t="s">
        <v>142</v>
      </c>
      <c r="C47" s="14"/>
      <c r="D47" s="19">
        <f>D19-D45</f>
        <v>-75207.31026</v>
      </c>
      <c r="E47" s="14"/>
    </row>
    <row r="48" spans="1:5" ht="12.75">
      <c r="A48" s="475" t="s">
        <v>165</v>
      </c>
      <c r="B48" s="20" t="s">
        <v>44</v>
      </c>
      <c r="C48" s="14"/>
      <c r="D48" s="19">
        <f>D11+D47</f>
        <v>-159312.85025999998</v>
      </c>
      <c r="E48" s="14"/>
    </row>
    <row r="49" spans="1:5" ht="12.75">
      <c r="A49" s="3"/>
      <c r="B49" s="377"/>
      <c r="C49" s="3"/>
      <c r="D49" s="380"/>
      <c r="E49" s="3"/>
    </row>
    <row r="50" spans="1:5" ht="12.75">
      <c r="A50" s="3"/>
      <c r="B50" s="1" t="s">
        <v>30</v>
      </c>
      <c r="C50" s="1"/>
      <c r="D50" s="1" t="s">
        <v>0</v>
      </c>
      <c r="E50" s="1"/>
    </row>
    <row r="51" spans="1:5" ht="12.75">
      <c r="A51" s="1"/>
      <c r="B51" s="1" t="s">
        <v>31</v>
      </c>
      <c r="C51" s="1"/>
      <c r="D51" s="1" t="s">
        <v>26</v>
      </c>
      <c r="E51" s="1"/>
    </row>
    <row r="52" spans="1:5" ht="12.75">
      <c r="A52" s="1"/>
      <c r="B52" s="1"/>
      <c r="C52" s="1"/>
      <c r="D52" s="1"/>
      <c r="E52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F43" sqref="F43:G50"/>
    </sheetView>
  </sheetViews>
  <sheetFormatPr defaultColWidth="9.00390625" defaultRowHeight="12.75"/>
  <cols>
    <col min="1" max="1" width="7.25390625" style="0" customWidth="1"/>
    <col min="2" max="2" width="39.25390625" style="0" customWidth="1"/>
    <col min="4" max="4" width="12.625" style="0" customWidth="1"/>
    <col min="5" max="5" width="12.00390625" style="0" customWidth="1"/>
    <col min="7" max="8" width="13.625" style="0" customWidth="1"/>
    <col min="10" max="10" width="10.625" style="0" customWidth="1"/>
    <col min="15" max="15" width="36.75390625" style="0" customWidth="1"/>
    <col min="21" max="21" width="41.375" style="0" customWidth="1"/>
    <col min="23" max="23" width="11.00390625" style="0" customWidth="1"/>
    <col min="24" max="24" width="10.00390625" style="0" customWidth="1"/>
  </cols>
  <sheetData>
    <row r="1" spans="1:5" ht="15.75">
      <c r="A1" s="1"/>
      <c r="B1" s="2" t="s">
        <v>25</v>
      </c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 t="s">
        <v>29</v>
      </c>
      <c r="C3" s="1"/>
      <c r="D3" s="1"/>
      <c r="E3" s="1"/>
    </row>
    <row r="4" spans="1:5" ht="12.75">
      <c r="A4" s="1"/>
      <c r="B4" s="342" t="s">
        <v>213</v>
      </c>
      <c r="C4" s="1"/>
      <c r="D4" s="1"/>
      <c r="E4" s="1"/>
    </row>
    <row r="5" spans="1:5" ht="12.75">
      <c r="A5" s="479"/>
      <c r="B5" s="479"/>
      <c r="C5" s="479"/>
      <c r="D5" s="4"/>
      <c r="E5" s="5"/>
    </row>
    <row r="6" spans="1:5" ht="12.75">
      <c r="A6" s="344"/>
      <c r="B6" s="344"/>
      <c r="C6" s="344"/>
      <c r="D6" s="3"/>
      <c r="E6" s="7"/>
    </row>
    <row r="7" spans="1:5" ht="15.75">
      <c r="A7" s="6"/>
      <c r="B7" s="8" t="s">
        <v>1</v>
      </c>
      <c r="C7" s="9" t="s">
        <v>3</v>
      </c>
      <c r="D7" s="484" t="s">
        <v>4</v>
      </c>
      <c r="E7" s="485"/>
    </row>
    <row r="8" spans="1:5" ht="15.75">
      <c r="A8" s="10"/>
      <c r="B8" s="8" t="s">
        <v>2</v>
      </c>
      <c r="C8" s="9" t="s">
        <v>33</v>
      </c>
      <c r="D8" s="482" t="s">
        <v>174</v>
      </c>
      <c r="E8" s="483"/>
    </row>
    <row r="9" spans="1:5" ht="12.75">
      <c r="A9" s="14"/>
      <c r="B9" s="295" t="s">
        <v>78</v>
      </c>
      <c r="C9" s="14"/>
      <c r="D9" s="14">
        <v>-32544.41</v>
      </c>
      <c r="E9" s="14"/>
    </row>
    <row r="10" spans="1:5" ht="12.75">
      <c r="A10" s="11"/>
      <c r="B10" s="374" t="s">
        <v>85</v>
      </c>
      <c r="C10" s="11"/>
      <c r="D10" s="14">
        <v>54292.86</v>
      </c>
      <c r="E10" s="13"/>
    </row>
    <row r="11" spans="1:5" ht="12.75">
      <c r="A11" s="14"/>
      <c r="B11" s="15" t="s">
        <v>5</v>
      </c>
      <c r="C11" s="14" t="s">
        <v>34</v>
      </c>
      <c r="D11" s="14">
        <v>3706.7</v>
      </c>
      <c r="E11" s="14"/>
    </row>
    <row r="12" spans="1:5" ht="12.75">
      <c r="A12" s="14"/>
      <c r="B12" s="15" t="s">
        <v>6</v>
      </c>
      <c r="C12" s="14" t="s">
        <v>34</v>
      </c>
      <c r="D12" s="14">
        <v>2593.82</v>
      </c>
      <c r="E12" s="14"/>
    </row>
    <row r="13" spans="1:5" ht="12.75">
      <c r="A13" s="14"/>
      <c r="B13" s="16" t="s">
        <v>27</v>
      </c>
      <c r="C13" s="14" t="s">
        <v>9</v>
      </c>
      <c r="D13" s="20">
        <v>301598.15</v>
      </c>
      <c r="E13" s="14"/>
    </row>
    <row r="14" spans="1:5" ht="12.75">
      <c r="A14" s="14"/>
      <c r="B14" s="14"/>
      <c r="C14" s="14"/>
      <c r="D14" s="14"/>
      <c r="E14" s="14"/>
    </row>
    <row r="15" spans="1:5" ht="15.75">
      <c r="A15" s="14"/>
      <c r="B15" s="17" t="s">
        <v>7</v>
      </c>
      <c r="C15" s="14"/>
      <c r="D15" s="14"/>
      <c r="E15" s="14"/>
    </row>
    <row r="16" spans="1:5" ht="12.75">
      <c r="A16" s="14">
        <v>1</v>
      </c>
      <c r="B16" s="14" t="s">
        <v>8</v>
      </c>
      <c r="C16" s="14" t="s">
        <v>9</v>
      </c>
      <c r="D16" s="22">
        <v>211747.62</v>
      </c>
      <c r="E16" s="14"/>
    </row>
    <row r="17" spans="1:5" ht="12.75">
      <c r="A17" s="14">
        <v>2</v>
      </c>
      <c r="B17" s="22" t="s">
        <v>74</v>
      </c>
      <c r="C17" s="14"/>
      <c r="D17" s="22">
        <v>93617.6</v>
      </c>
      <c r="E17" s="14"/>
    </row>
    <row r="18" spans="1:5" ht="15.75">
      <c r="A18" s="14"/>
      <c r="B18" s="17" t="s">
        <v>10</v>
      </c>
      <c r="C18" s="14"/>
      <c r="D18" s="19">
        <f>D16+D17</f>
        <v>305365.22</v>
      </c>
      <c r="E18" s="14"/>
    </row>
    <row r="19" spans="1:5" ht="15.75">
      <c r="A19" s="14"/>
      <c r="B19" s="17"/>
      <c r="C19" s="14"/>
      <c r="D19" s="19"/>
      <c r="E19" s="14"/>
    </row>
    <row r="20" spans="1:5" ht="15.75">
      <c r="A20" s="14"/>
      <c r="B20" s="17" t="s">
        <v>57</v>
      </c>
      <c r="C20" s="14"/>
      <c r="D20" s="20"/>
      <c r="E20" s="14"/>
    </row>
    <row r="21" spans="1:5" ht="12.75">
      <c r="A21" s="358" t="s">
        <v>58</v>
      </c>
      <c r="B21" s="16" t="s">
        <v>59</v>
      </c>
      <c r="C21" s="14"/>
      <c r="D21" s="19">
        <f>D22+D26+D27+D29+D28</f>
        <v>125644.90959999998</v>
      </c>
      <c r="E21" s="14"/>
    </row>
    <row r="22" spans="1:5" ht="12.75">
      <c r="A22" s="14">
        <v>1</v>
      </c>
      <c r="B22" s="22" t="s">
        <v>11</v>
      </c>
      <c r="C22" s="22" t="s">
        <v>9</v>
      </c>
      <c r="D22" s="21">
        <f>D23+D24+D25</f>
        <v>95089.8</v>
      </c>
      <c r="E22" s="14"/>
    </row>
    <row r="23" spans="1:5" ht="12.75">
      <c r="A23" s="468" t="s">
        <v>126</v>
      </c>
      <c r="B23" s="14" t="s">
        <v>12</v>
      </c>
      <c r="C23" s="14"/>
      <c r="D23" s="14">
        <v>31278.67</v>
      </c>
      <c r="E23" s="14"/>
    </row>
    <row r="24" spans="1:5" ht="12.75">
      <c r="A24" s="468" t="s">
        <v>127</v>
      </c>
      <c r="B24" s="14" t="s">
        <v>13</v>
      </c>
      <c r="C24" s="14"/>
      <c r="D24" s="353">
        <v>29470.69</v>
      </c>
      <c r="E24" s="14"/>
    </row>
    <row r="25" spans="1:5" ht="12.75">
      <c r="A25" s="468" t="s">
        <v>128</v>
      </c>
      <c r="B25" s="14" t="s">
        <v>14</v>
      </c>
      <c r="C25" s="14"/>
      <c r="D25" s="14">
        <v>34340.44</v>
      </c>
      <c r="E25" s="14"/>
    </row>
    <row r="26" spans="1:5" ht="12.75">
      <c r="A26" s="14">
        <v>2</v>
      </c>
      <c r="B26" s="22" t="s">
        <v>136</v>
      </c>
      <c r="C26" s="14"/>
      <c r="D26" s="18">
        <f>D22*20.2%</f>
        <v>19208.1396</v>
      </c>
      <c r="E26" s="14"/>
    </row>
    <row r="27" spans="1:5" ht="12.75">
      <c r="A27" s="14">
        <v>3</v>
      </c>
      <c r="B27" s="22" t="s">
        <v>143</v>
      </c>
      <c r="C27" s="14"/>
      <c r="D27" s="18">
        <v>1527.28</v>
      </c>
      <c r="E27" s="14"/>
    </row>
    <row r="28" spans="1:5" ht="12.75">
      <c r="A28" s="14">
        <v>4</v>
      </c>
      <c r="B28" s="14" t="s">
        <v>157</v>
      </c>
      <c r="C28" s="14"/>
      <c r="D28" s="14">
        <v>3866.62</v>
      </c>
      <c r="E28" s="14"/>
    </row>
    <row r="29" spans="1:5" ht="12.75">
      <c r="A29" s="14">
        <v>5</v>
      </c>
      <c r="B29" s="352" t="s">
        <v>15</v>
      </c>
      <c r="C29" s="14"/>
      <c r="D29" s="14">
        <v>5953.07</v>
      </c>
      <c r="E29" s="14"/>
    </row>
    <row r="30" spans="1:5" ht="12.75">
      <c r="A30" s="358" t="s">
        <v>61</v>
      </c>
      <c r="B30" s="359" t="s">
        <v>60</v>
      </c>
      <c r="C30" s="14"/>
      <c r="D30" s="19">
        <f>D31+D32+D33+D34</f>
        <v>83204.52822000001</v>
      </c>
      <c r="E30" s="14"/>
    </row>
    <row r="31" spans="1:5" ht="12.75">
      <c r="A31" s="14">
        <v>1</v>
      </c>
      <c r="B31" s="22" t="s">
        <v>144</v>
      </c>
      <c r="C31" s="14"/>
      <c r="D31" s="22">
        <v>63398.11</v>
      </c>
      <c r="E31" s="14"/>
    </row>
    <row r="32" spans="1:5" ht="12.75">
      <c r="A32" s="14">
        <v>2</v>
      </c>
      <c r="B32" s="22" t="s">
        <v>136</v>
      </c>
      <c r="C32" s="14"/>
      <c r="D32" s="21">
        <f>D31*20.2%</f>
        <v>12806.41822</v>
      </c>
      <c r="E32" s="18"/>
    </row>
    <row r="33" spans="1:5" ht="12.75">
      <c r="A33" s="14">
        <v>3</v>
      </c>
      <c r="B33" s="22" t="s">
        <v>15</v>
      </c>
      <c r="C33" s="14"/>
      <c r="D33" s="22">
        <v>1579</v>
      </c>
      <c r="E33" s="14"/>
    </row>
    <row r="34" spans="1:5" ht="12.75">
      <c r="A34" s="14">
        <v>4</v>
      </c>
      <c r="B34" s="22" t="s">
        <v>83</v>
      </c>
      <c r="C34" s="14"/>
      <c r="D34" s="22">
        <v>5421</v>
      </c>
      <c r="E34" s="14"/>
    </row>
    <row r="35" spans="1:5" ht="12.75">
      <c r="A35" s="358" t="s">
        <v>62</v>
      </c>
      <c r="B35" s="20" t="s">
        <v>16</v>
      </c>
      <c r="C35" s="14"/>
      <c r="D35" s="19">
        <f>D36+D37+D38+D39+D40+D41+D42</f>
        <v>33190.24534</v>
      </c>
      <c r="E35" s="14"/>
    </row>
    <row r="36" spans="1:5" ht="12.75">
      <c r="A36" s="14">
        <v>1</v>
      </c>
      <c r="B36" s="14" t="s">
        <v>17</v>
      </c>
      <c r="C36" s="14"/>
      <c r="D36" s="18">
        <f>D18*4.7%</f>
        <v>14352.16534</v>
      </c>
      <c r="E36" s="14"/>
    </row>
    <row r="37" spans="1:5" ht="12.75">
      <c r="A37" s="14">
        <v>2</v>
      </c>
      <c r="B37" s="14" t="s">
        <v>18</v>
      </c>
      <c r="C37" s="14"/>
      <c r="D37" s="14">
        <v>5451.02</v>
      </c>
      <c r="E37" s="14"/>
    </row>
    <row r="38" spans="1:5" ht="12.75">
      <c r="A38" s="14"/>
      <c r="B38" s="14" t="s">
        <v>19</v>
      </c>
      <c r="C38" s="14"/>
      <c r="D38" s="14">
        <v>978.16</v>
      </c>
      <c r="E38" s="14"/>
    </row>
    <row r="39" spans="1:5" ht="12.75">
      <c r="A39" s="14">
        <v>3</v>
      </c>
      <c r="B39" s="352" t="s">
        <v>21</v>
      </c>
      <c r="C39" s="14"/>
      <c r="D39" s="14">
        <v>2830.66</v>
      </c>
      <c r="E39" s="14"/>
    </row>
    <row r="40" spans="1:5" ht="12.75">
      <c r="A40" s="14">
        <v>4</v>
      </c>
      <c r="B40" s="14" t="s">
        <v>20</v>
      </c>
      <c r="C40" s="14"/>
      <c r="D40" s="14">
        <v>8189.34</v>
      </c>
      <c r="E40" s="14"/>
    </row>
    <row r="41" spans="1:5" ht="12.75">
      <c r="A41" s="14">
        <v>5</v>
      </c>
      <c r="B41" s="326" t="s">
        <v>28</v>
      </c>
      <c r="C41" s="14"/>
      <c r="D41" s="14">
        <v>333.6</v>
      </c>
      <c r="E41" s="14"/>
    </row>
    <row r="42" spans="1:5" ht="12.75">
      <c r="A42" s="14">
        <v>6</v>
      </c>
      <c r="B42" s="352" t="s">
        <v>55</v>
      </c>
      <c r="C42" s="14"/>
      <c r="D42" s="14">
        <v>1055.3</v>
      </c>
      <c r="E42" s="14"/>
    </row>
    <row r="43" spans="1:5" ht="12.75">
      <c r="A43" s="358" t="s">
        <v>64</v>
      </c>
      <c r="B43" s="20" t="s">
        <v>92</v>
      </c>
      <c r="C43" s="14"/>
      <c r="D43" s="19">
        <v>62856.27</v>
      </c>
      <c r="E43" s="19"/>
    </row>
    <row r="44" spans="1:5" ht="12.75">
      <c r="A44" s="358" t="s">
        <v>65</v>
      </c>
      <c r="B44" s="20" t="s">
        <v>23</v>
      </c>
      <c r="C44" s="14"/>
      <c r="D44" s="19">
        <f>D21+E21+D30+E30+D35+D43+E43</f>
        <v>304895.95316</v>
      </c>
      <c r="E44" s="14"/>
    </row>
    <row r="45" spans="1:5" ht="12.75">
      <c r="A45" s="358" t="s">
        <v>66</v>
      </c>
      <c r="B45" s="352" t="s">
        <v>32</v>
      </c>
      <c r="C45" s="14"/>
      <c r="D45" s="21">
        <f>D18*6%</f>
        <v>18321.9132</v>
      </c>
      <c r="E45" s="14"/>
    </row>
    <row r="46" spans="1:5" ht="12.75">
      <c r="A46" s="358" t="s">
        <v>67</v>
      </c>
      <c r="B46" s="20" t="s">
        <v>63</v>
      </c>
      <c r="C46" s="14"/>
      <c r="D46" s="19">
        <f>D44+D45</f>
        <v>323217.86636</v>
      </c>
      <c r="E46" s="14"/>
    </row>
    <row r="47" spans="1:5" ht="12.75">
      <c r="A47" s="15"/>
      <c r="B47" s="20"/>
      <c r="C47" s="14"/>
      <c r="D47" s="19"/>
      <c r="E47" s="14"/>
    </row>
    <row r="48" spans="1:5" ht="12.75">
      <c r="A48" s="358" t="s">
        <v>68</v>
      </c>
      <c r="B48" s="20" t="s">
        <v>142</v>
      </c>
      <c r="C48" s="14"/>
      <c r="D48" s="19">
        <f>D16-D46+10017.08</f>
        <v>-101453.16635999999</v>
      </c>
      <c r="E48" s="14"/>
    </row>
    <row r="49" spans="1:5" ht="12.75">
      <c r="A49" s="358" t="s">
        <v>69</v>
      </c>
      <c r="B49" s="20" t="s">
        <v>45</v>
      </c>
      <c r="C49" s="14"/>
      <c r="D49" s="19">
        <f>D9+D48</f>
        <v>-133997.57635999998</v>
      </c>
      <c r="E49" s="14"/>
    </row>
    <row r="50" spans="1:5" ht="12.75">
      <c r="A50" s="414"/>
      <c r="B50" s="377"/>
      <c r="C50" s="3"/>
      <c r="D50" s="380"/>
      <c r="E50" s="3"/>
    </row>
    <row r="51" spans="1:5" ht="12.75">
      <c r="A51" s="414"/>
      <c r="B51" s="377" t="s">
        <v>74</v>
      </c>
      <c r="C51" s="3"/>
      <c r="D51" s="380">
        <f>D10+D17-10017.08</f>
        <v>137893.38000000003</v>
      </c>
      <c r="E51" s="3"/>
    </row>
    <row r="52" spans="1:5" ht="12.75">
      <c r="A52" s="414"/>
      <c r="B52" s="377" t="s">
        <v>87</v>
      </c>
      <c r="C52" s="3"/>
      <c r="D52" s="380">
        <v>113356.75</v>
      </c>
      <c r="E52" s="3"/>
    </row>
    <row r="53" spans="1:5" ht="12.75">
      <c r="A53" s="414"/>
      <c r="B53" s="377" t="s">
        <v>86</v>
      </c>
      <c r="C53" s="3"/>
      <c r="D53" s="380">
        <f>D51-D52</f>
        <v>24536.630000000034</v>
      </c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1" t="s">
        <v>30</v>
      </c>
      <c r="C55" s="1"/>
      <c r="D55" s="1" t="s">
        <v>0</v>
      </c>
      <c r="E55" s="1"/>
    </row>
    <row r="56" spans="1:5" ht="12.75">
      <c r="A56" s="3"/>
      <c r="B56" s="1" t="s">
        <v>31</v>
      </c>
      <c r="C56" s="1"/>
      <c r="D56" s="1" t="s">
        <v>26</v>
      </c>
      <c r="E56" s="1"/>
    </row>
  </sheetData>
  <sheetProtection/>
  <mergeCells count="3">
    <mergeCell ref="A5:C5"/>
    <mergeCell ref="D7:E7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2" max="2" width="40.875" style="0" customWidth="1"/>
    <col min="3" max="3" width="8.125" style="0" customWidth="1"/>
    <col min="4" max="4" width="10.625" style="0" customWidth="1"/>
    <col min="7" max="7" width="15.75390625" style="0" customWidth="1"/>
    <col min="8" max="8" width="13.125" style="0" customWidth="1"/>
    <col min="10" max="10" width="10.625" style="0" customWidth="1"/>
    <col min="11" max="11" width="10.875" style="0" customWidth="1"/>
    <col min="14" max="14" width="6.00390625" style="0" customWidth="1"/>
    <col min="16" max="16" width="37.125" style="0" customWidth="1"/>
    <col min="18" max="18" width="11.25390625" style="0" customWidth="1"/>
    <col min="19" max="19" width="10.75390625" style="0" customWidth="1"/>
    <col min="21" max="21" width="7.25390625" style="0" customWidth="1"/>
    <col min="22" max="22" width="41.375" style="0" customWidth="1"/>
    <col min="24" max="24" width="11.00390625" style="0" customWidth="1"/>
    <col min="25" max="25" width="10.875" style="0" customWidth="1"/>
  </cols>
  <sheetData>
    <row r="1" spans="2:9" ht="15.75">
      <c r="B1" s="314" t="s">
        <v>25</v>
      </c>
      <c r="I1" t="s">
        <v>51</v>
      </c>
    </row>
    <row r="3" ht="12.75">
      <c r="B3" t="s">
        <v>29</v>
      </c>
    </row>
    <row r="4" ht="12.75">
      <c r="B4" t="s">
        <v>159</v>
      </c>
    </row>
    <row r="5" ht="12.75">
      <c r="B5" t="s">
        <v>51</v>
      </c>
    </row>
    <row r="6" spans="1:5" ht="12.75">
      <c r="A6" s="336"/>
      <c r="B6" s="336"/>
      <c r="C6" s="336"/>
      <c r="D6" s="318"/>
      <c r="E6" s="337"/>
    </row>
    <row r="7" spans="1:5" ht="15.75">
      <c r="A7" s="317"/>
      <c r="B7" s="320" t="s">
        <v>1</v>
      </c>
      <c r="C7" s="321" t="s">
        <v>3</v>
      </c>
      <c r="D7" s="570" t="s">
        <v>4</v>
      </c>
      <c r="E7" s="571"/>
    </row>
    <row r="8" spans="1:5" ht="15.75">
      <c r="A8" s="322"/>
      <c r="B8" s="320" t="s">
        <v>2</v>
      </c>
      <c r="C8" s="321" t="s">
        <v>33</v>
      </c>
      <c r="D8" s="572" t="s">
        <v>140</v>
      </c>
      <c r="E8" s="573"/>
    </row>
    <row r="9" spans="1:5" ht="12.75">
      <c r="A9" s="323"/>
      <c r="B9" s="323"/>
      <c r="C9" s="323"/>
      <c r="D9" s="324"/>
      <c r="E9" s="325"/>
    </row>
    <row r="10" spans="1:5" ht="12.75">
      <c r="A10" s="323"/>
      <c r="B10" s="338" t="s">
        <v>70</v>
      </c>
      <c r="C10" s="323"/>
      <c r="D10" s="324">
        <v>172983.15</v>
      </c>
      <c r="E10" s="325"/>
    </row>
    <row r="11" spans="1:5" ht="12.75">
      <c r="A11" s="326"/>
      <c r="B11" s="327" t="s">
        <v>5</v>
      </c>
      <c r="C11" s="326" t="s">
        <v>34</v>
      </c>
      <c r="D11" s="332">
        <v>5523.2</v>
      </c>
      <c r="E11" s="326"/>
    </row>
    <row r="12" spans="1:5" ht="12.75">
      <c r="A12" s="326"/>
      <c r="B12" s="327" t="s">
        <v>6</v>
      </c>
      <c r="C12" s="326" t="s">
        <v>34</v>
      </c>
      <c r="D12" s="326">
        <v>4451.02</v>
      </c>
      <c r="E12" s="326"/>
    </row>
    <row r="13" spans="1:5" ht="12.75">
      <c r="A13" s="326"/>
      <c r="B13" s="328" t="s">
        <v>27</v>
      </c>
      <c r="C13" s="326" t="s">
        <v>9</v>
      </c>
      <c r="D13" s="326">
        <v>322001.04</v>
      </c>
      <c r="E13" s="326"/>
    </row>
    <row r="14" spans="1:5" ht="12.75">
      <c r="A14" s="326"/>
      <c r="B14" s="326"/>
      <c r="C14" s="326"/>
      <c r="D14" s="326"/>
      <c r="E14" s="326"/>
    </row>
    <row r="15" spans="1:5" ht="15.75">
      <c r="A15" s="326"/>
      <c r="B15" s="330" t="s">
        <v>7</v>
      </c>
      <c r="C15" s="326"/>
      <c r="D15" s="326"/>
      <c r="E15" s="326"/>
    </row>
    <row r="16" spans="1:5" ht="12.75">
      <c r="A16" s="326">
        <v>1</v>
      </c>
      <c r="B16" s="326" t="s">
        <v>8</v>
      </c>
      <c r="C16" s="326" t="s">
        <v>9</v>
      </c>
      <c r="D16" s="332">
        <v>338047.01</v>
      </c>
      <c r="E16" s="326"/>
    </row>
    <row r="17" spans="1:5" ht="12.75">
      <c r="A17" s="326">
        <v>2</v>
      </c>
      <c r="B17" s="326" t="s">
        <v>168</v>
      </c>
      <c r="C17" s="326"/>
      <c r="D17" s="332">
        <v>110000</v>
      </c>
      <c r="E17" s="326"/>
    </row>
    <row r="18" spans="1:5" ht="15.75">
      <c r="A18" s="326"/>
      <c r="B18" s="330" t="s">
        <v>10</v>
      </c>
      <c r="C18" s="326"/>
      <c r="D18" s="331">
        <f>D16+D17</f>
        <v>448047.01</v>
      </c>
      <c r="E18" s="326"/>
    </row>
    <row r="19" spans="1:5" ht="15.75">
      <c r="A19" s="326"/>
      <c r="B19" s="330"/>
      <c r="C19" s="326"/>
      <c r="D19" s="329"/>
      <c r="E19" s="326"/>
    </row>
    <row r="20" spans="1:5" ht="15.75">
      <c r="A20" s="14"/>
      <c r="B20" s="17" t="s">
        <v>57</v>
      </c>
      <c r="C20" s="14"/>
      <c r="D20" s="20"/>
      <c r="E20" s="326"/>
    </row>
    <row r="21" spans="1:5" ht="12.75">
      <c r="A21" s="358" t="s">
        <v>58</v>
      </c>
      <c r="B21" s="16" t="s">
        <v>59</v>
      </c>
      <c r="C21" s="14"/>
      <c r="D21" s="19">
        <f>D22+D23+D26+D24+D25</f>
        <v>131297.95257999998</v>
      </c>
      <c r="E21" s="326"/>
    </row>
    <row r="22" spans="1:5" ht="12.75">
      <c r="A22" s="14">
        <v>1</v>
      </c>
      <c r="B22" s="22" t="s">
        <v>11</v>
      </c>
      <c r="C22" s="22" t="s">
        <v>9</v>
      </c>
      <c r="D22" s="22">
        <v>96922.29</v>
      </c>
      <c r="E22" s="326"/>
    </row>
    <row r="23" spans="1:5" ht="12.75">
      <c r="A23" s="14">
        <v>2</v>
      </c>
      <c r="B23" s="22" t="s">
        <v>136</v>
      </c>
      <c r="C23" s="14"/>
      <c r="D23" s="18">
        <f>D22*20.2%</f>
        <v>19578.302579999996</v>
      </c>
      <c r="E23" s="326"/>
    </row>
    <row r="24" spans="1:5" ht="12.75">
      <c r="A24" s="14">
        <v>3</v>
      </c>
      <c r="B24" s="22" t="s">
        <v>143</v>
      </c>
      <c r="C24" s="14"/>
      <c r="D24" s="14">
        <v>7669.28</v>
      </c>
      <c r="E24" s="326"/>
    </row>
    <row r="25" spans="1:5" ht="12.75">
      <c r="A25" s="14">
        <v>4</v>
      </c>
      <c r="B25" s="22" t="s">
        <v>101</v>
      </c>
      <c r="C25" s="14"/>
      <c r="D25" s="14">
        <v>4199.91</v>
      </c>
      <c r="E25" s="326"/>
    </row>
    <row r="26" spans="1:5" ht="12.75">
      <c r="A26" s="14">
        <v>5</v>
      </c>
      <c r="B26" s="352" t="s">
        <v>15</v>
      </c>
      <c r="C26" s="14"/>
      <c r="D26" s="14">
        <v>2928.17</v>
      </c>
      <c r="E26" s="326"/>
    </row>
    <row r="27" spans="1:5" ht="12.75">
      <c r="A27" s="358" t="s">
        <v>61</v>
      </c>
      <c r="B27" s="359" t="s">
        <v>60</v>
      </c>
      <c r="C27" s="14"/>
      <c r="D27" s="19">
        <f>D28+D29+D30+D31</f>
        <v>141417.34552</v>
      </c>
      <c r="E27" s="326"/>
    </row>
    <row r="28" spans="1:5" ht="12.75">
      <c r="A28" s="14">
        <v>1</v>
      </c>
      <c r="B28" s="22" t="s">
        <v>95</v>
      </c>
      <c r="C28" s="14"/>
      <c r="D28" s="22">
        <v>108791.76</v>
      </c>
      <c r="E28" s="326"/>
    </row>
    <row r="29" spans="1:5" ht="12.75">
      <c r="A29" s="14">
        <v>2</v>
      </c>
      <c r="B29" s="22" t="s">
        <v>136</v>
      </c>
      <c r="C29" s="14"/>
      <c r="D29" s="21">
        <f>D28*20.2%</f>
        <v>21975.93552</v>
      </c>
      <c r="E29" s="326"/>
    </row>
    <row r="30" spans="1:5" ht="12.75">
      <c r="A30" s="14">
        <v>3</v>
      </c>
      <c r="B30" s="22" t="s">
        <v>15</v>
      </c>
      <c r="C30" s="14"/>
      <c r="D30" s="22">
        <v>4929.65</v>
      </c>
      <c r="E30" s="14"/>
    </row>
    <row r="31" spans="1:5" ht="12.75">
      <c r="A31" s="14">
        <v>4</v>
      </c>
      <c r="B31" s="22" t="s">
        <v>83</v>
      </c>
      <c r="C31" s="14"/>
      <c r="D31" s="22">
        <v>5720</v>
      </c>
      <c r="E31" s="14"/>
    </row>
    <row r="32" spans="1:5" ht="12.75">
      <c r="A32" s="358" t="s">
        <v>62</v>
      </c>
      <c r="B32" s="20" t="s">
        <v>16</v>
      </c>
      <c r="C32" s="14"/>
      <c r="D32" s="19">
        <f>D33+D34+D35+D36+D37+D38+D39+D40+D41+D43</f>
        <v>160961.4205</v>
      </c>
      <c r="E32" s="19"/>
    </row>
    <row r="33" spans="1:5" ht="12.75">
      <c r="A33" s="14"/>
      <c r="B33" s="14" t="s">
        <v>17</v>
      </c>
      <c r="C33" s="14"/>
      <c r="D33" s="18">
        <f>D18*5%</f>
        <v>22402.3505</v>
      </c>
      <c r="E33" s="14"/>
    </row>
    <row r="34" spans="1:5" ht="12.75">
      <c r="A34" s="14"/>
      <c r="B34" s="14" t="s">
        <v>18</v>
      </c>
      <c r="C34" s="14"/>
      <c r="D34" s="14">
        <v>2500.52</v>
      </c>
      <c r="E34" s="14"/>
    </row>
    <row r="35" spans="1:5" ht="12.75">
      <c r="A35" s="14"/>
      <c r="B35" s="14" t="s">
        <v>19</v>
      </c>
      <c r="C35" s="14"/>
      <c r="D35" s="14">
        <v>15666.35</v>
      </c>
      <c r="E35" s="14"/>
    </row>
    <row r="36" spans="1:5" ht="12.75">
      <c r="A36" s="14"/>
      <c r="B36" s="14" t="s">
        <v>20</v>
      </c>
      <c r="C36" s="14"/>
      <c r="D36" s="18">
        <v>14052.99</v>
      </c>
      <c r="E36" s="18"/>
    </row>
    <row r="37" spans="1:5" ht="12.75">
      <c r="A37" s="22"/>
      <c r="B37" s="22" t="s">
        <v>90</v>
      </c>
      <c r="C37" s="14"/>
      <c r="D37" s="14">
        <v>56730.66</v>
      </c>
      <c r="E37" s="14"/>
    </row>
    <row r="38" spans="1:5" ht="12.75">
      <c r="A38" s="352"/>
      <c r="B38" s="352" t="s">
        <v>55</v>
      </c>
      <c r="C38" s="14"/>
      <c r="D38" s="14">
        <v>1810.9</v>
      </c>
      <c r="E38" s="14"/>
    </row>
    <row r="39" spans="1:5" ht="12.75">
      <c r="A39" s="14"/>
      <c r="B39" s="22" t="s">
        <v>21</v>
      </c>
      <c r="C39" s="14"/>
      <c r="D39" s="14">
        <v>4857.45</v>
      </c>
      <c r="E39" s="14"/>
    </row>
    <row r="40" spans="1:5" ht="12.75">
      <c r="A40" s="14"/>
      <c r="B40" s="22" t="s">
        <v>141</v>
      </c>
      <c r="C40" s="14"/>
      <c r="D40" s="14">
        <v>693</v>
      </c>
      <c r="E40" s="14"/>
    </row>
    <row r="41" spans="1:5" ht="12.75">
      <c r="A41" s="14"/>
      <c r="B41" s="22" t="s">
        <v>148</v>
      </c>
      <c r="C41" s="14"/>
      <c r="D41" s="14">
        <v>15000</v>
      </c>
      <c r="E41" s="14"/>
    </row>
    <row r="42" spans="1:5" ht="12.75">
      <c r="A42" s="14"/>
      <c r="B42" s="352" t="s">
        <v>28</v>
      </c>
      <c r="C42" s="14"/>
      <c r="D42" s="14">
        <v>11655.94</v>
      </c>
      <c r="E42" s="14"/>
    </row>
    <row r="43" spans="1:5" ht="12.75">
      <c r="A43" s="15" t="s">
        <v>64</v>
      </c>
      <c r="B43" s="20" t="s">
        <v>74</v>
      </c>
      <c r="C43" s="20"/>
      <c r="D43" s="20">
        <f>24247.2+3000</f>
        <v>27247.2</v>
      </c>
      <c r="E43" s="14"/>
    </row>
    <row r="44" spans="1:5" ht="12.75">
      <c r="A44" s="15" t="s">
        <v>65</v>
      </c>
      <c r="B44" s="20" t="s">
        <v>92</v>
      </c>
      <c r="C44" s="14"/>
      <c r="D44" s="19">
        <v>107861.99</v>
      </c>
      <c r="E44" s="19"/>
    </row>
    <row r="45" spans="1:5" ht="12.75">
      <c r="A45" s="15" t="s">
        <v>66</v>
      </c>
      <c r="B45" s="20" t="s">
        <v>23</v>
      </c>
      <c r="C45" s="14"/>
      <c r="D45" s="19">
        <f>D21+D27+D32+D43+D44</f>
        <v>568785.9086000001</v>
      </c>
      <c r="E45" s="14"/>
    </row>
    <row r="46" spans="1:5" ht="12.75">
      <c r="A46" s="15" t="s">
        <v>67</v>
      </c>
      <c r="B46" s="14" t="s">
        <v>32</v>
      </c>
      <c r="C46" s="14"/>
      <c r="D46" s="19">
        <f>D18*6%</f>
        <v>26882.8206</v>
      </c>
      <c r="E46" s="14"/>
    </row>
    <row r="47" spans="1:5" ht="12.75">
      <c r="A47" s="15" t="s">
        <v>68</v>
      </c>
      <c r="B47" s="20" t="s">
        <v>24</v>
      </c>
      <c r="C47" s="14"/>
      <c r="D47" s="19">
        <f>D45+D46</f>
        <v>595668.7292000001</v>
      </c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5" t="s">
        <v>69</v>
      </c>
      <c r="B49" s="20" t="s">
        <v>142</v>
      </c>
      <c r="C49" s="14"/>
      <c r="D49" s="19">
        <f>D18-D47</f>
        <v>-147621.71920000005</v>
      </c>
      <c r="E49" s="14"/>
    </row>
    <row r="50" spans="1:5" ht="12.75">
      <c r="A50" s="15" t="s">
        <v>165</v>
      </c>
      <c r="B50" s="20" t="s">
        <v>44</v>
      </c>
      <c r="C50" s="14"/>
      <c r="D50" s="19">
        <f>D10+D49</f>
        <v>25361.430799999944</v>
      </c>
      <c r="E50" s="14"/>
    </row>
    <row r="51" spans="1:5" ht="12.75">
      <c r="A51" s="1"/>
      <c r="B51" s="377"/>
      <c r="C51" s="3"/>
      <c r="D51" s="380"/>
      <c r="E51" s="1"/>
    </row>
    <row r="52" spans="2:4" ht="12.75">
      <c r="B52" s="377"/>
      <c r="C52" s="3"/>
      <c r="D52" s="380"/>
    </row>
    <row r="53" spans="2:4" ht="12.75">
      <c r="B53" t="s">
        <v>30</v>
      </c>
      <c r="D53" t="s">
        <v>0</v>
      </c>
    </row>
    <row r="54" spans="2:4" ht="12.75">
      <c r="B54" s="1" t="s">
        <v>31</v>
      </c>
      <c r="C54" s="1"/>
      <c r="D54" s="1" t="s">
        <v>26</v>
      </c>
    </row>
  </sheetData>
  <sheetProtection/>
  <mergeCells count="2">
    <mergeCell ref="D7:E7"/>
    <mergeCell ref="D8:E8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6" max="53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C1">
      <selection activeCell="G44" sqref="G44"/>
    </sheetView>
  </sheetViews>
  <sheetFormatPr defaultColWidth="9.00390625" defaultRowHeight="12.75"/>
  <cols>
    <col min="1" max="1" width="5.125" style="0" customWidth="1"/>
    <col min="2" max="2" width="41.125" style="0" customWidth="1"/>
    <col min="3" max="3" width="8.625" style="0" customWidth="1"/>
    <col min="4" max="4" width="11.875" style="0" customWidth="1"/>
    <col min="5" max="5" width="11.125" style="0" customWidth="1"/>
    <col min="7" max="7" width="11.875" style="0" customWidth="1"/>
    <col min="8" max="8" width="15.125" style="0" customWidth="1"/>
    <col min="10" max="10" width="10.00390625" style="0" customWidth="1"/>
    <col min="13" max="13" width="4.25390625" style="0" customWidth="1"/>
    <col min="15" max="15" width="41.75390625" style="0" customWidth="1"/>
    <col min="16" max="16" width="7.875" style="0" customWidth="1"/>
    <col min="17" max="17" width="9.875" style="0" customWidth="1"/>
    <col min="21" max="21" width="40.25390625" style="0" customWidth="1"/>
    <col min="23" max="23" width="10.625" style="0" customWidth="1"/>
    <col min="24" max="24" width="10.37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160</v>
      </c>
    </row>
    <row r="5" ht="12.75">
      <c r="B5" t="s">
        <v>38</v>
      </c>
    </row>
    <row r="6" spans="1:5" ht="12.75">
      <c r="A6" s="336"/>
      <c r="B6" s="336"/>
      <c r="C6" s="336"/>
      <c r="D6" s="318"/>
      <c r="E6" s="337"/>
    </row>
    <row r="7" spans="1:5" ht="15.75">
      <c r="A7" s="317"/>
      <c r="B7" s="320" t="s">
        <v>1</v>
      </c>
      <c r="C7" s="321" t="s">
        <v>3</v>
      </c>
      <c r="D7" s="570" t="s">
        <v>4</v>
      </c>
      <c r="E7" s="571"/>
    </row>
    <row r="8" spans="1:5" ht="15.75">
      <c r="A8" s="322"/>
      <c r="B8" s="320" t="s">
        <v>2</v>
      </c>
      <c r="C8" s="321" t="s">
        <v>33</v>
      </c>
      <c r="D8" s="572" t="s">
        <v>138</v>
      </c>
      <c r="E8" s="573"/>
    </row>
    <row r="9" spans="1:5" ht="12.75">
      <c r="A9" s="323"/>
      <c r="B9" s="323"/>
      <c r="C9" s="323"/>
      <c r="D9" s="324"/>
      <c r="E9" s="325"/>
    </row>
    <row r="10" spans="1:5" ht="12.75">
      <c r="A10" s="323"/>
      <c r="B10" s="338" t="s">
        <v>70</v>
      </c>
      <c r="C10" s="323"/>
      <c r="D10" s="324">
        <v>54825.27</v>
      </c>
      <c r="E10" s="325"/>
    </row>
    <row r="11" spans="1:5" ht="12.75">
      <c r="A11" s="326"/>
      <c r="B11" s="327" t="s">
        <v>5</v>
      </c>
      <c r="C11" s="326" t="s">
        <v>34</v>
      </c>
      <c r="D11" s="326">
        <v>5531</v>
      </c>
      <c r="E11" s="326"/>
    </row>
    <row r="12" spans="1:5" ht="12.75">
      <c r="A12" s="326"/>
      <c r="B12" s="327" t="s">
        <v>6</v>
      </c>
      <c r="C12" s="326" t="s">
        <v>34</v>
      </c>
      <c r="D12" s="326">
        <v>4431.24</v>
      </c>
      <c r="E12" s="326"/>
    </row>
    <row r="13" spans="1:5" ht="12.75">
      <c r="A13" s="326"/>
      <c r="B13" s="328" t="s">
        <v>27</v>
      </c>
      <c r="C13" s="326" t="s">
        <v>9</v>
      </c>
      <c r="D13" s="326">
        <v>338406.21</v>
      </c>
      <c r="E13" s="326"/>
    </row>
    <row r="14" spans="1:5" ht="12.75">
      <c r="A14" s="326"/>
      <c r="B14" s="326"/>
      <c r="C14" s="326"/>
      <c r="D14" s="326"/>
      <c r="E14" s="326"/>
    </row>
    <row r="15" spans="1:5" ht="15.75">
      <c r="A15" s="326"/>
      <c r="B15" s="330" t="s">
        <v>7</v>
      </c>
      <c r="C15" s="326"/>
      <c r="D15" s="326"/>
      <c r="E15" s="326"/>
    </row>
    <row r="16" spans="1:5" ht="12.75">
      <c r="A16" s="326">
        <v>1</v>
      </c>
      <c r="B16" s="326" t="s">
        <v>8</v>
      </c>
      <c r="C16" s="326" t="s">
        <v>9</v>
      </c>
      <c r="D16" s="332">
        <v>327474.5</v>
      </c>
      <c r="E16" s="326"/>
    </row>
    <row r="17" spans="1:5" ht="12.75">
      <c r="A17" s="326">
        <v>2</v>
      </c>
      <c r="B17" s="326" t="s">
        <v>82</v>
      </c>
      <c r="C17" s="326"/>
      <c r="D17" s="326">
        <v>6000</v>
      </c>
      <c r="E17" s="326"/>
    </row>
    <row r="18" spans="1:5" ht="15.75">
      <c r="A18" s="326"/>
      <c r="B18" s="330" t="s">
        <v>10</v>
      </c>
      <c r="C18" s="326"/>
      <c r="D18" s="331">
        <f>D16+D17</f>
        <v>333474.5</v>
      </c>
      <c r="E18" s="326"/>
    </row>
    <row r="19" spans="1:5" ht="15.75">
      <c r="A19" s="326"/>
      <c r="B19" s="330"/>
      <c r="C19" s="326"/>
      <c r="D19" s="329"/>
      <c r="E19" s="326"/>
    </row>
    <row r="20" spans="1:5" ht="15.75">
      <c r="A20" s="14"/>
      <c r="B20" s="17" t="s">
        <v>57</v>
      </c>
      <c r="C20" s="14"/>
      <c r="D20" s="20"/>
      <c r="E20" s="326"/>
    </row>
    <row r="21" spans="1:5" ht="12.75">
      <c r="A21" s="358" t="s">
        <v>58</v>
      </c>
      <c r="B21" s="16" t="s">
        <v>59</v>
      </c>
      <c r="C21" s="14"/>
      <c r="D21" s="19">
        <f>D22+D23+D26+D25+D24</f>
        <v>89950.63306</v>
      </c>
      <c r="E21" s="326"/>
    </row>
    <row r="22" spans="1:5" ht="12.75">
      <c r="A22" s="14">
        <v>1</v>
      </c>
      <c r="B22" s="22" t="s">
        <v>11</v>
      </c>
      <c r="C22" s="22" t="s">
        <v>9</v>
      </c>
      <c r="D22" s="22">
        <v>65368.53</v>
      </c>
      <c r="E22" s="326"/>
    </row>
    <row r="23" spans="1:5" ht="12.75">
      <c r="A23" s="14">
        <v>2</v>
      </c>
      <c r="B23" s="22" t="s">
        <v>136</v>
      </c>
      <c r="C23" s="14"/>
      <c r="D23" s="18">
        <f>D22*20.2%</f>
        <v>13204.44306</v>
      </c>
      <c r="E23" s="326"/>
    </row>
    <row r="24" spans="1:5" ht="12.75">
      <c r="A24" s="14">
        <v>3</v>
      </c>
      <c r="B24" s="22" t="s">
        <v>143</v>
      </c>
      <c r="C24" s="14"/>
      <c r="D24" s="14">
        <v>5099.42</v>
      </c>
      <c r="E24" s="326"/>
    </row>
    <row r="25" spans="1:5" ht="12.75">
      <c r="A25" s="14">
        <v>4</v>
      </c>
      <c r="B25" s="22" t="s">
        <v>157</v>
      </c>
      <c r="C25" s="14"/>
      <c r="D25" s="14">
        <v>3275.4</v>
      </c>
      <c r="E25" s="326"/>
    </row>
    <row r="26" spans="1:5" ht="12.75">
      <c r="A26" s="14">
        <v>5</v>
      </c>
      <c r="B26" s="352" t="s">
        <v>15</v>
      </c>
      <c r="C26" s="14"/>
      <c r="D26" s="14">
        <v>3002.84</v>
      </c>
      <c r="E26" s="326"/>
    </row>
    <row r="27" spans="1:5" ht="12.75">
      <c r="A27" s="358" t="s">
        <v>61</v>
      </c>
      <c r="B27" s="359" t="s">
        <v>60</v>
      </c>
      <c r="C27" s="14"/>
      <c r="D27" s="19">
        <f>D28+D29+D30+D31+D32</f>
        <v>138872.5966</v>
      </c>
      <c r="E27" s="326"/>
    </row>
    <row r="28" spans="1:5" ht="12.75">
      <c r="A28" s="14">
        <v>1</v>
      </c>
      <c r="B28" s="22" t="s">
        <v>95</v>
      </c>
      <c r="C28" s="14"/>
      <c r="D28" s="22">
        <v>108308.3</v>
      </c>
      <c r="E28" s="326"/>
    </row>
    <row r="29" spans="1:5" ht="12.75">
      <c r="A29" s="22">
        <v>2</v>
      </c>
      <c r="B29" s="22" t="s">
        <v>136</v>
      </c>
      <c r="C29" s="22"/>
      <c r="D29" s="21">
        <f>D28*20.2%</f>
        <v>21878.276599999997</v>
      </c>
      <c r="E29" s="22"/>
    </row>
    <row r="30" spans="1:5" ht="12.75">
      <c r="A30" s="14">
        <v>3</v>
      </c>
      <c r="B30" s="22" t="s">
        <v>15</v>
      </c>
      <c r="C30" s="14"/>
      <c r="D30" s="22">
        <v>1382.02</v>
      </c>
      <c r="E30" s="14"/>
    </row>
    <row r="31" spans="1:5" ht="12.75">
      <c r="A31" s="14">
        <v>4</v>
      </c>
      <c r="B31" s="22" t="s">
        <v>91</v>
      </c>
      <c r="C31" s="14"/>
      <c r="D31" s="22">
        <v>1584</v>
      </c>
      <c r="E31" s="14"/>
    </row>
    <row r="32" spans="1:5" ht="12.75">
      <c r="A32" s="14">
        <v>5</v>
      </c>
      <c r="B32" s="22" t="s">
        <v>83</v>
      </c>
      <c r="C32" s="14"/>
      <c r="D32" s="22">
        <v>5720</v>
      </c>
      <c r="E32" s="14"/>
    </row>
    <row r="33" spans="1:5" ht="12.75">
      <c r="A33" s="358" t="s">
        <v>62</v>
      </c>
      <c r="B33" s="20" t="s">
        <v>16</v>
      </c>
      <c r="C33" s="14"/>
      <c r="D33" s="19">
        <f>D34+D35+D36+D37+D38+D39+D40+D41+D42</f>
        <v>76243.845</v>
      </c>
      <c r="E33" s="19"/>
    </row>
    <row r="34" spans="1:5" ht="12.75">
      <c r="A34" s="14"/>
      <c r="B34" s="14" t="s">
        <v>17</v>
      </c>
      <c r="C34" s="14"/>
      <c r="D34" s="18">
        <f>D18*5%</f>
        <v>16673.725000000002</v>
      </c>
      <c r="E34" s="14"/>
    </row>
    <row r="35" spans="1:5" ht="12.75">
      <c r="A35" s="14"/>
      <c r="B35" s="14" t="s">
        <v>18</v>
      </c>
      <c r="C35" s="14"/>
      <c r="D35" s="14">
        <v>5016.77</v>
      </c>
      <c r="E35" s="14"/>
    </row>
    <row r="36" spans="1:5" ht="12.75">
      <c r="A36" s="14"/>
      <c r="B36" s="14" t="s">
        <v>20</v>
      </c>
      <c r="C36" s="14"/>
      <c r="D36" s="18">
        <v>13990.54</v>
      </c>
      <c r="E36" s="18"/>
    </row>
    <row r="37" spans="1:5" ht="12.75">
      <c r="A37" s="14"/>
      <c r="B37" s="22" t="s">
        <v>19</v>
      </c>
      <c r="C37" s="14"/>
      <c r="D37" s="14">
        <v>14378.83</v>
      </c>
      <c r="E37" s="14"/>
    </row>
    <row r="38" spans="1:5" ht="12.75">
      <c r="A38" s="14"/>
      <c r="B38" s="352" t="s">
        <v>28</v>
      </c>
      <c r="C38" s="14"/>
      <c r="D38" s="14">
        <v>333.6</v>
      </c>
      <c r="E38" s="14"/>
    </row>
    <row r="39" spans="1:5" ht="12.75">
      <c r="A39" s="14"/>
      <c r="B39" s="352" t="s">
        <v>55</v>
      </c>
      <c r="C39" s="14"/>
      <c r="D39" s="14">
        <v>1802.9</v>
      </c>
      <c r="E39" s="14"/>
    </row>
    <row r="40" spans="1:5" ht="12.75">
      <c r="A40" s="14"/>
      <c r="B40" s="22" t="s">
        <v>148</v>
      </c>
      <c r="C40" s="14"/>
      <c r="D40" s="14">
        <v>15000</v>
      </c>
      <c r="E40" s="14"/>
    </row>
    <row r="41" spans="1:5" ht="12.75">
      <c r="A41" s="14"/>
      <c r="B41" s="352" t="s">
        <v>54</v>
      </c>
      <c r="C41" s="14"/>
      <c r="D41" s="14">
        <v>4211.62</v>
      </c>
      <c r="E41" s="14"/>
    </row>
    <row r="42" spans="1:5" ht="12.75">
      <c r="A42" s="14"/>
      <c r="B42" s="22" t="s">
        <v>21</v>
      </c>
      <c r="C42" s="14"/>
      <c r="D42" s="14">
        <v>4835.86</v>
      </c>
      <c r="E42" s="14"/>
    </row>
    <row r="43" spans="1:5" ht="12.75">
      <c r="A43" s="15" t="s">
        <v>64</v>
      </c>
      <c r="B43" s="20" t="s">
        <v>74</v>
      </c>
      <c r="C43" s="20"/>
      <c r="D43" s="20">
        <v>28375.15</v>
      </c>
      <c r="E43" s="14"/>
    </row>
    <row r="44" spans="1:5" ht="12.75">
      <c r="A44" s="15" t="s">
        <v>65</v>
      </c>
      <c r="B44" s="20" t="s">
        <v>212</v>
      </c>
      <c r="C44" s="14"/>
      <c r="D44" s="19">
        <v>107382.64</v>
      </c>
      <c r="E44" s="18"/>
    </row>
    <row r="45" spans="1:5" ht="12.75">
      <c r="A45" s="15" t="s">
        <v>66</v>
      </c>
      <c r="B45" s="20" t="s">
        <v>23</v>
      </c>
      <c r="C45" s="14"/>
      <c r="D45" s="19">
        <f>D21+D27+D33+D43+D44</f>
        <v>440824.86466</v>
      </c>
      <c r="E45" s="14"/>
    </row>
    <row r="46" spans="1:5" ht="12.75">
      <c r="A46" s="15" t="s">
        <v>67</v>
      </c>
      <c r="B46" s="14" t="s">
        <v>32</v>
      </c>
      <c r="C46" s="14"/>
      <c r="D46" s="19">
        <f>D18*6%</f>
        <v>20008.469999999998</v>
      </c>
      <c r="E46" s="14"/>
    </row>
    <row r="47" spans="1:5" ht="12.75">
      <c r="A47" s="15" t="s">
        <v>68</v>
      </c>
      <c r="B47" s="20" t="s">
        <v>24</v>
      </c>
      <c r="C47" s="14"/>
      <c r="D47" s="19">
        <f>D45+D46</f>
        <v>460833.33466</v>
      </c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5" t="s">
        <v>69</v>
      </c>
      <c r="B49" s="20" t="s">
        <v>142</v>
      </c>
      <c r="C49" s="14"/>
      <c r="D49" s="19">
        <f>D18-D47</f>
        <v>-127358.83466</v>
      </c>
      <c r="E49" s="14"/>
    </row>
    <row r="50" spans="1:5" ht="12.75">
      <c r="A50" s="15" t="s">
        <v>165</v>
      </c>
      <c r="B50" s="20" t="s">
        <v>44</v>
      </c>
      <c r="C50" s="14"/>
      <c r="D50" s="19">
        <f>D10+D49</f>
        <v>-72533.56466</v>
      </c>
      <c r="E50" s="14"/>
    </row>
    <row r="51" spans="1:5" ht="12.75">
      <c r="A51" s="3"/>
      <c r="B51" s="377"/>
      <c r="C51" s="3"/>
      <c r="D51" s="380"/>
      <c r="E51" s="3"/>
    </row>
    <row r="52" spans="1:5" ht="12.75">
      <c r="A52" s="3"/>
      <c r="B52" s="377"/>
      <c r="C52" s="3"/>
      <c r="D52" s="380"/>
      <c r="E52" s="3"/>
    </row>
    <row r="53" spans="1:5" ht="12.75">
      <c r="A53" s="3"/>
      <c r="B53" t="s">
        <v>30</v>
      </c>
      <c r="D53" t="s">
        <v>0</v>
      </c>
      <c r="E53" s="3"/>
    </row>
    <row r="54" spans="1:5" ht="12.75">
      <c r="A54" s="1"/>
      <c r="B54" s="1" t="s">
        <v>31</v>
      </c>
      <c r="C54" s="1"/>
      <c r="D54" s="1" t="s">
        <v>26</v>
      </c>
      <c r="E54" s="1"/>
    </row>
  </sheetData>
  <sheetProtection/>
  <mergeCells count="2">
    <mergeCell ref="D8:E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5.25390625" style="0" customWidth="1"/>
    <col min="2" max="2" width="42.375" style="0" customWidth="1"/>
    <col min="3" max="3" width="8.625" style="0" customWidth="1"/>
    <col min="4" max="4" width="11.875" style="0" customWidth="1"/>
    <col min="5" max="5" width="11.125" style="0" customWidth="1"/>
    <col min="7" max="7" width="10.00390625" style="0" customWidth="1"/>
    <col min="8" max="8" width="13.125" style="0" customWidth="1"/>
    <col min="10" max="10" width="10.00390625" style="0" customWidth="1"/>
    <col min="13" max="13" width="4.25390625" style="0" customWidth="1"/>
    <col min="15" max="15" width="41.75390625" style="0" customWidth="1"/>
    <col min="16" max="16" width="7.875" style="0" customWidth="1"/>
    <col min="17" max="17" width="9.875" style="0" customWidth="1"/>
    <col min="21" max="21" width="40.25390625" style="0" customWidth="1"/>
    <col min="23" max="23" width="10.625" style="0" customWidth="1"/>
    <col min="24" max="24" width="10.37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219</v>
      </c>
    </row>
    <row r="5" ht="12.75">
      <c r="B5" t="s">
        <v>52</v>
      </c>
    </row>
    <row r="6" spans="1:5" ht="12.75">
      <c r="A6" s="336"/>
      <c r="B6" s="336"/>
      <c r="C6" s="336"/>
      <c r="D6" s="318"/>
      <c r="E6" s="337"/>
    </row>
    <row r="7" spans="1:5" ht="15.75">
      <c r="A7" s="317"/>
      <c r="B7" s="320" t="s">
        <v>1</v>
      </c>
      <c r="C7" s="321" t="s">
        <v>53</v>
      </c>
      <c r="D7" s="570" t="s">
        <v>4</v>
      </c>
      <c r="E7" s="571"/>
    </row>
    <row r="8" spans="1:5" ht="15.75">
      <c r="A8" s="322"/>
      <c r="B8" s="320" t="s">
        <v>2</v>
      </c>
      <c r="C8" s="321" t="s">
        <v>33</v>
      </c>
      <c r="D8" s="572" t="s">
        <v>138</v>
      </c>
      <c r="E8" s="573"/>
    </row>
    <row r="9" spans="1:5" ht="12.75">
      <c r="A9" s="323"/>
      <c r="B9" s="323"/>
      <c r="C9" s="323"/>
      <c r="D9" s="324"/>
      <c r="E9" s="325"/>
    </row>
    <row r="10" spans="1:5" ht="12.75">
      <c r="A10" s="323"/>
      <c r="B10" s="338" t="s">
        <v>70</v>
      </c>
      <c r="C10" s="323"/>
      <c r="D10" s="324">
        <v>38221.8</v>
      </c>
      <c r="E10" s="325"/>
    </row>
    <row r="11" spans="1:5" ht="12.75">
      <c r="A11" s="326"/>
      <c r="B11" s="327" t="s">
        <v>5</v>
      </c>
      <c r="C11" s="326" t="s">
        <v>34</v>
      </c>
      <c r="D11" s="326">
        <v>5597.1</v>
      </c>
      <c r="E11" s="326"/>
    </row>
    <row r="12" spans="1:5" ht="12.75">
      <c r="A12" s="326"/>
      <c r="B12" s="327" t="s">
        <v>6</v>
      </c>
      <c r="C12" s="326" t="s">
        <v>34</v>
      </c>
      <c r="D12" s="326">
        <v>4207.8</v>
      </c>
      <c r="E12" s="326"/>
    </row>
    <row r="13" spans="1:5" ht="12.75">
      <c r="A13" s="326"/>
      <c r="B13" s="328" t="s">
        <v>27</v>
      </c>
      <c r="C13" s="326" t="s">
        <v>9</v>
      </c>
      <c r="D13" s="326">
        <v>323352.69</v>
      </c>
      <c r="E13" s="326"/>
    </row>
    <row r="14" spans="1:5" ht="12.75">
      <c r="A14" s="326"/>
      <c r="B14" s="326"/>
      <c r="C14" s="326"/>
      <c r="D14" s="326"/>
      <c r="E14" s="326"/>
    </row>
    <row r="15" spans="1:5" ht="15.75">
      <c r="A15" s="326"/>
      <c r="B15" s="330" t="s">
        <v>7</v>
      </c>
      <c r="C15" s="326"/>
      <c r="D15" s="326"/>
      <c r="E15" s="326"/>
    </row>
    <row r="16" spans="1:5" ht="12.75">
      <c r="A16" s="326">
        <v>1</v>
      </c>
      <c r="B16" s="326" t="s">
        <v>8</v>
      </c>
      <c r="C16" s="326" t="s">
        <v>9</v>
      </c>
      <c r="D16" s="326">
        <v>319170.13</v>
      </c>
      <c r="E16" s="326"/>
    </row>
    <row r="17" spans="1:5" ht="12.75">
      <c r="A17" s="326">
        <v>2</v>
      </c>
      <c r="B17" s="326" t="s">
        <v>82</v>
      </c>
      <c r="C17" s="326"/>
      <c r="D17" s="326">
        <v>8866.5</v>
      </c>
      <c r="E17" s="326"/>
    </row>
    <row r="18" spans="1:5" ht="15.75">
      <c r="A18" s="326"/>
      <c r="B18" s="330" t="s">
        <v>10</v>
      </c>
      <c r="C18" s="326" t="s">
        <v>9</v>
      </c>
      <c r="D18" s="329">
        <f>D16+D17</f>
        <v>328036.63</v>
      </c>
      <c r="E18" s="326"/>
    </row>
    <row r="19" spans="1:5" ht="15.75">
      <c r="A19" s="326"/>
      <c r="B19" s="330"/>
      <c r="C19" s="326"/>
      <c r="D19" s="329"/>
      <c r="E19" s="326"/>
    </row>
    <row r="20" spans="1:5" ht="15.75">
      <c r="A20" s="14"/>
      <c r="B20" s="17" t="s">
        <v>57</v>
      </c>
      <c r="C20" s="14"/>
      <c r="D20" s="20"/>
      <c r="E20" s="326"/>
    </row>
    <row r="21" spans="1:5" ht="12.75">
      <c r="A21" s="358" t="s">
        <v>58</v>
      </c>
      <c r="B21" s="16" t="s">
        <v>59</v>
      </c>
      <c r="C21" s="14"/>
      <c r="D21" s="19">
        <f>D22+D23+D26+D24+D25</f>
        <v>89936.14996000002</v>
      </c>
      <c r="E21" s="326"/>
    </row>
    <row r="22" spans="1:5" ht="12.75">
      <c r="A22" s="14">
        <v>1</v>
      </c>
      <c r="B22" s="22" t="s">
        <v>11</v>
      </c>
      <c r="C22" s="22" t="s">
        <v>9</v>
      </c>
      <c r="D22" s="22">
        <v>64011.98</v>
      </c>
      <c r="E22" s="326"/>
    </row>
    <row r="23" spans="1:5" ht="12.75">
      <c r="A23" s="14"/>
      <c r="B23" s="22" t="s">
        <v>136</v>
      </c>
      <c r="C23" s="14"/>
      <c r="D23" s="18">
        <f>D22*20.2%</f>
        <v>12930.41996</v>
      </c>
      <c r="E23" s="326"/>
    </row>
    <row r="24" spans="1:5" ht="12.75">
      <c r="A24" s="14"/>
      <c r="B24" s="14" t="s">
        <v>89</v>
      </c>
      <c r="C24" s="14"/>
      <c r="D24" s="14">
        <v>5130.18</v>
      </c>
      <c r="E24" s="326"/>
    </row>
    <row r="25" spans="1:5" ht="12.75">
      <c r="A25" s="14"/>
      <c r="B25" s="14" t="s">
        <v>101</v>
      </c>
      <c r="C25" s="14"/>
      <c r="D25" s="14">
        <v>5502.71</v>
      </c>
      <c r="E25" s="326"/>
    </row>
    <row r="26" spans="1:5" ht="12.75">
      <c r="A26" s="14">
        <v>2</v>
      </c>
      <c r="B26" s="352" t="s">
        <v>15</v>
      </c>
      <c r="C26" s="14"/>
      <c r="D26" s="14">
        <v>2360.86</v>
      </c>
      <c r="E26" s="326"/>
    </row>
    <row r="27" spans="1:5" ht="12.75">
      <c r="A27" s="358" t="s">
        <v>61</v>
      </c>
      <c r="B27" s="359" t="s">
        <v>60</v>
      </c>
      <c r="C27" s="14"/>
      <c r="D27" s="19">
        <f>D28+D29+D30+D31+D33+D32</f>
        <v>134808.26996</v>
      </c>
      <c r="E27" s="326"/>
    </row>
    <row r="28" spans="1:5" ht="12.75">
      <c r="A28" s="14">
        <v>1</v>
      </c>
      <c r="B28" s="22" t="s">
        <v>95</v>
      </c>
      <c r="C28" s="14"/>
      <c r="D28" s="22">
        <v>102846.98</v>
      </c>
      <c r="E28" s="326"/>
    </row>
    <row r="29" spans="1:5" ht="12.75">
      <c r="A29" s="14">
        <v>2</v>
      </c>
      <c r="B29" s="22" t="s">
        <v>136</v>
      </c>
      <c r="C29" s="14"/>
      <c r="D29" s="21">
        <f>D28*20.2%</f>
        <v>20775.089959999998</v>
      </c>
      <c r="E29" s="326"/>
    </row>
    <row r="30" spans="1:5" ht="12.75">
      <c r="A30" s="14">
        <v>3</v>
      </c>
      <c r="B30" s="22" t="s">
        <v>15</v>
      </c>
      <c r="C30" s="14"/>
      <c r="D30" s="22">
        <v>473.7</v>
      </c>
      <c r="E30" s="14"/>
    </row>
    <row r="31" spans="1:5" ht="12.75">
      <c r="A31" s="14">
        <v>4</v>
      </c>
      <c r="B31" s="22" t="s">
        <v>76</v>
      </c>
      <c r="C31" s="14"/>
      <c r="D31" s="22">
        <v>1120.5</v>
      </c>
      <c r="E31" s="14"/>
    </row>
    <row r="32" spans="1:5" ht="12.75">
      <c r="A32" s="14">
        <v>5</v>
      </c>
      <c r="B32" s="22" t="s">
        <v>91</v>
      </c>
      <c r="C32" s="14"/>
      <c r="D32" s="22">
        <v>3872</v>
      </c>
      <c r="E32" s="14"/>
    </row>
    <row r="33" spans="1:5" ht="12.75">
      <c r="A33" s="14">
        <v>6</v>
      </c>
      <c r="B33" s="22" t="s">
        <v>83</v>
      </c>
      <c r="C33" s="14"/>
      <c r="D33" s="22">
        <v>5720</v>
      </c>
      <c r="E33" s="14"/>
    </row>
    <row r="34" spans="1:5" ht="12.75">
      <c r="A34" s="358" t="s">
        <v>62</v>
      </c>
      <c r="B34" s="20" t="s">
        <v>16</v>
      </c>
      <c r="C34" s="14"/>
      <c r="D34" s="19">
        <f>D35+D36+D37+D38++D40+D41+D42+D39</f>
        <v>80122.46150000002</v>
      </c>
      <c r="E34" s="19"/>
    </row>
    <row r="35" spans="1:5" ht="12.75">
      <c r="A35" s="14"/>
      <c r="B35" s="14" t="s">
        <v>17</v>
      </c>
      <c r="C35" s="14"/>
      <c r="D35" s="18">
        <f>D18*5%</f>
        <v>16401.8315</v>
      </c>
      <c r="E35" s="14"/>
    </row>
    <row r="36" spans="1:5" ht="12.75">
      <c r="A36" s="14"/>
      <c r="B36" s="14" t="s">
        <v>18</v>
      </c>
      <c r="C36" s="14"/>
      <c r="D36" s="14">
        <v>3460.82</v>
      </c>
      <c r="E36" s="14"/>
    </row>
    <row r="37" spans="1:5" ht="12.75">
      <c r="A37" s="14"/>
      <c r="B37" s="352" t="s">
        <v>19</v>
      </c>
      <c r="C37" s="14"/>
      <c r="D37" s="14">
        <v>14378.83</v>
      </c>
      <c r="E37" s="14"/>
    </row>
    <row r="38" spans="1:5" ht="12.75">
      <c r="A38" s="14"/>
      <c r="B38" s="14" t="s">
        <v>20</v>
      </c>
      <c r="C38" s="14"/>
      <c r="D38" s="18">
        <v>13285.08</v>
      </c>
      <c r="E38" s="18"/>
    </row>
    <row r="39" spans="1:5" ht="12.75">
      <c r="A39" s="14"/>
      <c r="B39" s="352" t="s">
        <v>28</v>
      </c>
      <c r="C39" s="14"/>
      <c r="D39" s="14">
        <v>333.6</v>
      </c>
      <c r="E39" s="14"/>
    </row>
    <row r="40" spans="1:5" ht="12.75">
      <c r="A40" s="14"/>
      <c r="B40" s="22" t="s">
        <v>55</v>
      </c>
      <c r="C40" s="14"/>
      <c r="D40" s="14">
        <v>1712</v>
      </c>
      <c r="E40" s="14"/>
    </row>
    <row r="41" spans="1:5" ht="12.75">
      <c r="A41" s="14"/>
      <c r="B41" s="352" t="s">
        <v>54</v>
      </c>
      <c r="C41" s="14"/>
      <c r="D41" s="14">
        <v>25958.28</v>
      </c>
      <c r="E41" s="14"/>
    </row>
    <row r="42" spans="1:5" ht="12.75">
      <c r="A42" s="14"/>
      <c r="B42" s="22" t="s">
        <v>21</v>
      </c>
      <c r="C42" s="14"/>
      <c r="D42" s="14">
        <v>4592.02</v>
      </c>
      <c r="E42" s="14"/>
    </row>
    <row r="43" spans="1:5" ht="12.75">
      <c r="A43" s="15" t="s">
        <v>64</v>
      </c>
      <c r="B43" s="20" t="s">
        <v>74</v>
      </c>
      <c r="C43" s="20"/>
      <c r="D43" s="20">
        <v>31161.77</v>
      </c>
      <c r="E43" s="14"/>
    </row>
    <row r="44" spans="1:5" ht="12.75">
      <c r="A44" s="15" t="s">
        <v>65</v>
      </c>
      <c r="B44" s="20" t="s">
        <v>22</v>
      </c>
      <c r="C44" s="14"/>
      <c r="D44" s="19">
        <v>101968</v>
      </c>
      <c r="E44" s="19"/>
    </row>
    <row r="45" spans="1:5" ht="12.75">
      <c r="A45" s="15" t="s">
        <v>66</v>
      </c>
      <c r="B45" s="20" t="s">
        <v>23</v>
      </c>
      <c r="C45" s="14"/>
      <c r="D45" s="19">
        <f>D21+D27+D34+D43+D44</f>
        <v>437996.65142000007</v>
      </c>
      <c r="E45" s="14"/>
    </row>
    <row r="46" spans="1:5" ht="12.75">
      <c r="A46" s="15" t="s">
        <v>67</v>
      </c>
      <c r="B46" s="14" t="s">
        <v>32</v>
      </c>
      <c r="C46" s="14"/>
      <c r="D46" s="19">
        <f>D18*6%</f>
        <v>19682.197799999998</v>
      </c>
      <c r="E46" s="14"/>
    </row>
    <row r="47" spans="1:5" ht="12.75">
      <c r="A47" s="15" t="s">
        <v>68</v>
      </c>
      <c r="B47" s="20" t="s">
        <v>24</v>
      </c>
      <c r="C47" s="14"/>
      <c r="D47" s="19">
        <f>D45+D46</f>
        <v>457678.8492200001</v>
      </c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5" t="s">
        <v>69</v>
      </c>
      <c r="B49" s="20" t="s">
        <v>142</v>
      </c>
      <c r="C49" s="14"/>
      <c r="D49" s="19">
        <f>D18-D47</f>
        <v>-129642.21922000009</v>
      </c>
      <c r="E49" s="14"/>
    </row>
    <row r="50" spans="1:5" ht="12.75">
      <c r="A50" s="15" t="s">
        <v>165</v>
      </c>
      <c r="B50" s="20" t="s">
        <v>44</v>
      </c>
      <c r="C50" s="14"/>
      <c r="D50" s="19">
        <f>D10+D49</f>
        <v>-91420.41922000008</v>
      </c>
      <c r="E50" s="14"/>
    </row>
    <row r="51" spans="1:5" ht="12.75">
      <c r="A51" s="3"/>
      <c r="B51" s="377"/>
      <c r="C51" s="3"/>
      <c r="D51" s="380"/>
      <c r="E51" s="3"/>
    </row>
    <row r="52" spans="1:5" ht="12.75">
      <c r="A52" s="3"/>
      <c r="B52" s="377"/>
      <c r="C52" s="3"/>
      <c r="D52" s="380"/>
      <c r="E52" s="3"/>
    </row>
    <row r="53" spans="1:5" ht="12.75">
      <c r="A53" s="1"/>
      <c r="B53" s="1" t="s">
        <v>30</v>
      </c>
      <c r="C53" s="1"/>
      <c r="D53" s="1" t="s">
        <v>0</v>
      </c>
      <c r="E53" s="1"/>
    </row>
    <row r="54" spans="1:5" ht="12.75">
      <c r="A54" s="1"/>
      <c r="B54" s="1" t="s">
        <v>31</v>
      </c>
      <c r="C54" s="1"/>
      <c r="D54" s="1" t="s">
        <v>26</v>
      </c>
      <c r="E54" s="1"/>
    </row>
  </sheetData>
  <sheetProtection/>
  <mergeCells count="2">
    <mergeCell ref="D8:E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B1">
      <selection activeCell="D48" sqref="D48"/>
    </sheetView>
  </sheetViews>
  <sheetFormatPr defaultColWidth="9.00390625" defaultRowHeight="12.75"/>
  <cols>
    <col min="1" max="1" width="5.875" style="0" customWidth="1"/>
    <col min="2" max="2" width="41.375" style="0" customWidth="1"/>
    <col min="3" max="3" width="8.625" style="0" customWidth="1"/>
    <col min="4" max="4" width="11.875" style="0" customWidth="1"/>
    <col min="5" max="5" width="11.125" style="0" customWidth="1"/>
    <col min="7" max="7" width="11.25390625" style="0" customWidth="1"/>
    <col min="8" max="8" width="14.625" style="0" customWidth="1"/>
    <col min="10" max="10" width="10.00390625" style="0" customWidth="1"/>
    <col min="13" max="13" width="4.25390625" style="0" customWidth="1"/>
    <col min="15" max="15" width="41.75390625" style="0" customWidth="1"/>
    <col min="16" max="16" width="7.875" style="0" customWidth="1"/>
    <col min="17" max="17" width="9.875" style="0" customWidth="1"/>
    <col min="21" max="21" width="40.25390625" style="0" customWidth="1"/>
    <col min="23" max="23" width="10.625" style="0" customWidth="1"/>
    <col min="24" max="24" width="10.37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163</v>
      </c>
    </row>
    <row r="5" ht="12.75">
      <c r="B5" t="s">
        <v>39</v>
      </c>
    </row>
    <row r="6" spans="1:5" ht="12.75">
      <c r="A6" s="336"/>
      <c r="B6" s="336"/>
      <c r="C6" s="336"/>
      <c r="D6" s="318"/>
      <c r="E6" s="337"/>
    </row>
    <row r="7" spans="1:5" ht="15.75">
      <c r="A7" s="317"/>
      <c r="B7" s="320" t="s">
        <v>1</v>
      </c>
      <c r="C7" s="321" t="s">
        <v>3</v>
      </c>
      <c r="D7" s="570" t="s">
        <v>4</v>
      </c>
      <c r="E7" s="571"/>
    </row>
    <row r="8" spans="1:5" ht="15.75">
      <c r="A8" s="322"/>
      <c r="B8" s="320" t="s">
        <v>2</v>
      </c>
      <c r="C8" s="321" t="s">
        <v>33</v>
      </c>
      <c r="D8" s="572" t="s">
        <v>138</v>
      </c>
      <c r="E8" s="573"/>
    </row>
    <row r="9" spans="1:5" ht="12.75">
      <c r="A9" s="323"/>
      <c r="B9" s="323"/>
      <c r="C9" s="323"/>
      <c r="D9" s="324"/>
      <c r="E9" s="325"/>
    </row>
    <row r="10" spans="1:5" ht="12.75">
      <c r="A10" s="323"/>
      <c r="B10" s="295" t="s">
        <v>78</v>
      </c>
      <c r="C10" s="323"/>
      <c r="D10" s="324">
        <v>-37115.14</v>
      </c>
      <c r="E10" s="325"/>
    </row>
    <row r="11" spans="1:5" ht="12.75">
      <c r="A11" s="323"/>
      <c r="B11" s="374" t="s">
        <v>85</v>
      </c>
      <c r="C11" s="323"/>
      <c r="D11" s="324">
        <v>-54137.81</v>
      </c>
      <c r="E11" s="325"/>
    </row>
    <row r="12" spans="1:5" ht="12.75">
      <c r="A12" s="326"/>
      <c r="B12" s="327" t="s">
        <v>5</v>
      </c>
      <c r="C12" s="327" t="s">
        <v>34</v>
      </c>
      <c r="D12" s="332">
        <v>4619.5</v>
      </c>
      <c r="E12" s="326"/>
    </row>
    <row r="13" spans="1:5" ht="12.75">
      <c r="A13" s="326"/>
      <c r="B13" s="327" t="s">
        <v>6</v>
      </c>
      <c r="C13" s="327" t="s">
        <v>34</v>
      </c>
      <c r="D13" s="332">
        <v>3701.3</v>
      </c>
      <c r="E13" s="326"/>
    </row>
    <row r="14" spans="1:5" ht="12.75">
      <c r="A14" s="326"/>
      <c r="B14" s="328" t="s">
        <v>27</v>
      </c>
      <c r="C14" s="327" t="s">
        <v>9</v>
      </c>
      <c r="D14" s="332">
        <v>510006.16</v>
      </c>
      <c r="E14" s="326"/>
    </row>
    <row r="15" spans="1:5" ht="12.75">
      <c r="A15" s="326"/>
      <c r="B15" s="326"/>
      <c r="C15" s="327"/>
      <c r="D15" s="332"/>
      <c r="E15" s="326"/>
    </row>
    <row r="16" spans="1:5" ht="15.75">
      <c r="A16" s="326"/>
      <c r="B16" s="330" t="s">
        <v>7</v>
      </c>
      <c r="C16" s="327"/>
      <c r="D16" s="332"/>
      <c r="E16" s="326"/>
    </row>
    <row r="17" spans="1:5" ht="12.75">
      <c r="A17" s="326">
        <v>1</v>
      </c>
      <c r="B17" s="326" t="s">
        <v>8</v>
      </c>
      <c r="C17" s="327" t="s">
        <v>9</v>
      </c>
      <c r="D17" s="332">
        <v>385035.65</v>
      </c>
      <c r="E17" s="326"/>
    </row>
    <row r="18" spans="1:5" ht="12.75">
      <c r="A18" s="326">
        <v>2</v>
      </c>
      <c r="B18" s="326" t="s">
        <v>74</v>
      </c>
      <c r="C18" s="327"/>
      <c r="D18" s="332">
        <v>113639.25</v>
      </c>
      <c r="E18" s="326"/>
    </row>
    <row r="19" spans="1:5" ht="15.75">
      <c r="A19" s="326"/>
      <c r="B19" s="330" t="s">
        <v>10</v>
      </c>
      <c r="C19" s="327"/>
      <c r="D19" s="331">
        <f>D17+D18</f>
        <v>498674.9</v>
      </c>
      <c r="E19" s="326"/>
    </row>
    <row r="20" spans="1:5" ht="15.75">
      <c r="A20" s="326"/>
      <c r="B20" s="330"/>
      <c r="C20" s="327"/>
      <c r="D20" s="329"/>
      <c r="E20" s="326"/>
    </row>
    <row r="21" spans="1:5" ht="15.75">
      <c r="A21" s="14"/>
      <c r="B21" s="17" t="s">
        <v>57</v>
      </c>
      <c r="C21" s="14"/>
      <c r="D21" s="20"/>
      <c r="E21" s="326"/>
    </row>
    <row r="22" spans="1:5" ht="12.75">
      <c r="A22" s="358" t="s">
        <v>58</v>
      </c>
      <c r="B22" s="16" t="s">
        <v>59</v>
      </c>
      <c r="C22" s="14"/>
      <c r="D22" s="19">
        <f>D23+D24+D25+D26</f>
        <v>130003.838</v>
      </c>
      <c r="E22" s="326"/>
    </row>
    <row r="23" spans="1:5" ht="12.75">
      <c r="A23" s="14">
        <v>1</v>
      </c>
      <c r="B23" s="22" t="s">
        <v>11</v>
      </c>
      <c r="C23" s="22" t="s">
        <v>9</v>
      </c>
      <c r="D23" s="22">
        <v>59869</v>
      </c>
      <c r="E23" s="326"/>
    </row>
    <row r="24" spans="1:5" ht="12.75">
      <c r="A24" s="14">
        <v>2</v>
      </c>
      <c r="B24" s="22" t="s">
        <v>136</v>
      </c>
      <c r="C24" s="14"/>
      <c r="D24" s="18">
        <f>D23*20.2%</f>
        <v>12093.537999999999</v>
      </c>
      <c r="E24" s="326"/>
    </row>
    <row r="25" spans="1:5" ht="12.75">
      <c r="A25" s="14">
        <v>3</v>
      </c>
      <c r="B25" s="22" t="s">
        <v>161</v>
      </c>
      <c r="C25" s="14"/>
      <c r="D25" s="353">
        <v>58000</v>
      </c>
      <c r="E25" s="326"/>
    </row>
    <row r="26" spans="1:5" ht="12.75">
      <c r="A26" s="14">
        <v>4</v>
      </c>
      <c r="B26" s="352" t="s">
        <v>15</v>
      </c>
      <c r="C26" s="14"/>
      <c r="D26" s="14">
        <v>41.3</v>
      </c>
      <c r="E26" s="326"/>
    </row>
    <row r="27" spans="1:5" ht="12.75">
      <c r="A27" s="358" t="s">
        <v>61</v>
      </c>
      <c r="B27" s="359" t="s">
        <v>60</v>
      </c>
      <c r="C27" s="14"/>
      <c r="D27" s="19">
        <f>D28+D29+D30+D31+D32</f>
        <v>120580.63824</v>
      </c>
      <c r="E27" s="326"/>
    </row>
    <row r="28" spans="1:5" ht="12.75">
      <c r="A28" s="14">
        <v>1</v>
      </c>
      <c r="B28" s="22" t="s">
        <v>95</v>
      </c>
      <c r="C28" s="14"/>
      <c r="D28" s="22">
        <v>90467.12</v>
      </c>
      <c r="E28" s="326"/>
    </row>
    <row r="29" spans="1:5" ht="12.75">
      <c r="A29" s="14">
        <v>2</v>
      </c>
      <c r="B29" s="22" t="s">
        <v>136</v>
      </c>
      <c r="C29" s="22"/>
      <c r="D29" s="21">
        <f>D28*20.2%</f>
        <v>18274.358239999998</v>
      </c>
      <c r="E29" s="22"/>
    </row>
    <row r="30" spans="1:5" ht="12.75">
      <c r="A30" s="14">
        <v>3</v>
      </c>
      <c r="B30" s="22" t="s">
        <v>15</v>
      </c>
      <c r="C30" s="14"/>
      <c r="D30" s="22">
        <v>4435.16</v>
      </c>
      <c r="E30" s="14"/>
    </row>
    <row r="31" spans="1:5" ht="12.75">
      <c r="A31" s="14">
        <v>4</v>
      </c>
      <c r="B31" s="22" t="s">
        <v>83</v>
      </c>
      <c r="C31" s="14"/>
      <c r="D31" s="22">
        <v>3620</v>
      </c>
      <c r="E31" s="14"/>
    </row>
    <row r="32" spans="1:5" ht="12.75">
      <c r="A32" s="469">
        <v>5</v>
      </c>
      <c r="B32" s="22" t="s">
        <v>76</v>
      </c>
      <c r="C32" s="14"/>
      <c r="D32" s="22">
        <v>3784</v>
      </c>
      <c r="E32" s="14"/>
    </row>
    <row r="33" spans="1:5" ht="12.75">
      <c r="A33" s="358" t="s">
        <v>62</v>
      </c>
      <c r="B33" s="20" t="s">
        <v>16</v>
      </c>
      <c r="C33" s="14"/>
      <c r="D33" s="19">
        <f>D34+D35+D36+D37+D38+D39+D40+D41+D42</f>
        <v>52995.710300000006</v>
      </c>
      <c r="E33" s="19"/>
    </row>
    <row r="34" spans="1:5" ht="12.75">
      <c r="A34" s="14"/>
      <c r="B34" s="14" t="s">
        <v>17</v>
      </c>
      <c r="C34" s="14"/>
      <c r="D34" s="18">
        <f>D19*4.7%</f>
        <v>23437.7203</v>
      </c>
      <c r="E34" s="14"/>
    </row>
    <row r="35" spans="1:5" ht="12.75">
      <c r="A35" s="14"/>
      <c r="B35" s="14" t="s">
        <v>18</v>
      </c>
      <c r="C35" s="14"/>
      <c r="D35" s="18">
        <v>825.12</v>
      </c>
      <c r="E35" s="14"/>
    </row>
    <row r="36" spans="1:5" ht="12.75">
      <c r="A36" s="14"/>
      <c r="B36" s="14" t="s">
        <v>19</v>
      </c>
      <c r="C36" s="14"/>
      <c r="D36" s="18">
        <v>3532.17</v>
      </c>
      <c r="E36" s="14"/>
    </row>
    <row r="37" spans="1:5" ht="12.75">
      <c r="A37" s="14"/>
      <c r="B37" s="14" t="s">
        <v>20</v>
      </c>
      <c r="C37" s="14"/>
      <c r="D37" s="18">
        <v>11685.93</v>
      </c>
      <c r="E37" s="18"/>
    </row>
    <row r="38" spans="1:5" ht="12.75">
      <c r="A38" s="14"/>
      <c r="B38" s="352" t="s">
        <v>28</v>
      </c>
      <c r="C38" s="14"/>
      <c r="D38" s="14">
        <v>333.6</v>
      </c>
      <c r="E38" s="14"/>
    </row>
    <row r="39" spans="1:5" ht="12.75">
      <c r="A39" s="14"/>
      <c r="B39" s="352" t="s">
        <v>55</v>
      </c>
      <c r="C39" s="14"/>
      <c r="D39" s="14">
        <v>1505.9</v>
      </c>
      <c r="E39" s="14"/>
    </row>
    <row r="40" spans="1:5" ht="12.75">
      <c r="A40" s="14"/>
      <c r="B40" s="22" t="s">
        <v>141</v>
      </c>
      <c r="C40" s="14"/>
      <c r="D40" s="14">
        <v>986</v>
      </c>
      <c r="E40" s="14"/>
    </row>
    <row r="41" spans="1:5" ht="12.75">
      <c r="A41" s="14"/>
      <c r="B41" s="352" t="s">
        <v>54</v>
      </c>
      <c r="C41" s="14"/>
      <c r="D41" s="14">
        <v>6649.9</v>
      </c>
      <c r="E41" s="14"/>
    </row>
    <row r="42" spans="1:5" ht="12.75">
      <c r="A42" s="14"/>
      <c r="B42" s="22" t="s">
        <v>21</v>
      </c>
      <c r="C42" s="14"/>
      <c r="D42" s="14">
        <v>4039.37</v>
      </c>
      <c r="E42" s="14"/>
    </row>
    <row r="43" spans="1:5" ht="12.75">
      <c r="A43" s="15" t="s">
        <v>64</v>
      </c>
      <c r="B43" s="20" t="s">
        <v>92</v>
      </c>
      <c r="C43" s="14"/>
      <c r="D43" s="19">
        <v>99381.9</v>
      </c>
      <c r="E43" s="19"/>
    </row>
    <row r="44" spans="1:5" ht="12.75">
      <c r="A44" s="15" t="s">
        <v>65</v>
      </c>
      <c r="B44" s="20" t="s">
        <v>23</v>
      </c>
      <c r="C44" s="14"/>
      <c r="D44" s="19">
        <f>D22+D27+D33+D43</f>
        <v>402962.08654000005</v>
      </c>
      <c r="E44" s="14"/>
    </row>
    <row r="45" spans="1:5" ht="12.75">
      <c r="A45" s="15" t="s">
        <v>66</v>
      </c>
      <c r="B45" s="14" t="s">
        <v>32</v>
      </c>
      <c r="C45" s="14"/>
      <c r="D45" s="19">
        <f>D19*6%</f>
        <v>29920.494</v>
      </c>
      <c r="E45" s="14"/>
    </row>
    <row r="46" spans="1:5" ht="12.75">
      <c r="A46" s="15" t="s">
        <v>67</v>
      </c>
      <c r="B46" s="20" t="s">
        <v>24</v>
      </c>
      <c r="C46" s="14"/>
      <c r="D46" s="19">
        <f>D44+D45</f>
        <v>432882.58054000005</v>
      </c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475" t="s">
        <v>68</v>
      </c>
      <c r="B48" s="20" t="s">
        <v>142</v>
      </c>
      <c r="C48" s="14"/>
      <c r="D48" s="19">
        <f>D17-D46+12159.4</f>
        <v>-35687.53054000003</v>
      </c>
      <c r="E48" s="14"/>
    </row>
    <row r="49" spans="1:5" ht="12.75">
      <c r="A49" s="475" t="s">
        <v>69</v>
      </c>
      <c r="B49" s="20" t="s">
        <v>44</v>
      </c>
      <c r="C49" s="14"/>
      <c r="D49" s="19">
        <f>D10+D48</f>
        <v>-72802.67054000002</v>
      </c>
      <c r="E49" s="14"/>
    </row>
    <row r="50" spans="1:5" ht="12.75">
      <c r="A50" s="476"/>
      <c r="B50" s="377"/>
      <c r="C50" s="3"/>
      <c r="D50" s="380"/>
      <c r="E50" s="3"/>
    </row>
    <row r="51" spans="1:5" ht="12.75">
      <c r="A51" s="3"/>
      <c r="B51" s="377" t="s">
        <v>74</v>
      </c>
      <c r="C51" s="3"/>
      <c r="D51" s="380">
        <f>D11+D18-12159.4</f>
        <v>47342.04</v>
      </c>
      <c r="E51" s="3"/>
    </row>
    <row r="52" spans="1:5" ht="12.75">
      <c r="A52" s="3"/>
      <c r="B52" s="377" t="s">
        <v>87</v>
      </c>
      <c r="C52" s="3"/>
      <c r="D52" s="380">
        <v>68783.69</v>
      </c>
      <c r="E52" s="3"/>
    </row>
    <row r="53" spans="1:5" ht="12.75">
      <c r="A53" s="3"/>
      <c r="B53" s="377" t="s">
        <v>86</v>
      </c>
      <c r="C53" s="3"/>
      <c r="D53" s="380">
        <f>D51-D52</f>
        <v>-21441.65</v>
      </c>
      <c r="E53" s="3"/>
    </row>
    <row r="55" spans="2:4" ht="12.75">
      <c r="B55" s="1" t="s">
        <v>30</v>
      </c>
      <c r="C55" s="1"/>
      <c r="D55" s="1" t="s">
        <v>0</v>
      </c>
    </row>
    <row r="56" spans="2:4" ht="12.75">
      <c r="B56" s="1" t="s">
        <v>31</v>
      </c>
      <c r="C56" s="1"/>
      <c r="D56" s="1" t="s">
        <v>26</v>
      </c>
    </row>
  </sheetData>
  <sheetProtection/>
  <mergeCells count="2">
    <mergeCell ref="D8:E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2">
      <selection activeCell="I43" sqref="I43"/>
    </sheetView>
  </sheetViews>
  <sheetFormatPr defaultColWidth="9.00390625" defaultRowHeight="12.75"/>
  <cols>
    <col min="1" max="1" width="6.875" style="0" customWidth="1"/>
    <col min="2" max="2" width="39.00390625" style="0" customWidth="1"/>
    <col min="3" max="3" width="8.125" style="0" customWidth="1"/>
    <col min="4" max="4" width="12.25390625" style="0" customWidth="1"/>
    <col min="5" max="6" width="10.875" style="0" customWidth="1"/>
    <col min="7" max="7" width="14.75390625" style="0" customWidth="1"/>
    <col min="8" max="8" width="14.375" style="0" customWidth="1"/>
    <col min="15" max="15" width="40.00390625" style="0" customWidth="1"/>
    <col min="17" max="17" width="10.75390625" style="0" customWidth="1"/>
    <col min="21" max="21" width="43.00390625" style="0" customWidth="1"/>
    <col min="23" max="23" width="11.75390625" style="0" customWidth="1"/>
    <col min="24" max="24" width="10.75390625" style="0" customWidth="1"/>
  </cols>
  <sheetData>
    <row r="1" ht="15.75">
      <c r="B1" s="314" t="s">
        <v>25</v>
      </c>
    </row>
    <row r="3" ht="12.75">
      <c r="B3" t="s">
        <v>29</v>
      </c>
    </row>
    <row r="4" ht="12.75">
      <c r="B4" t="s">
        <v>162</v>
      </c>
    </row>
    <row r="5" ht="12.75">
      <c r="B5" t="s">
        <v>39</v>
      </c>
    </row>
    <row r="6" spans="1:6" ht="12.75">
      <c r="A6" s="336"/>
      <c r="B6" s="336"/>
      <c r="C6" s="336"/>
      <c r="D6" s="318"/>
      <c r="E6" s="337"/>
      <c r="F6" s="333"/>
    </row>
    <row r="7" spans="1:6" ht="15.75">
      <c r="A7" s="317"/>
      <c r="B7" s="320" t="s">
        <v>1</v>
      </c>
      <c r="C7" s="321" t="s">
        <v>3</v>
      </c>
      <c r="D7" s="570" t="s">
        <v>4</v>
      </c>
      <c r="E7" s="571"/>
      <c r="F7" s="354"/>
    </row>
    <row r="8" spans="1:6" ht="15.75">
      <c r="A8" s="322"/>
      <c r="B8" s="320" t="s">
        <v>2</v>
      </c>
      <c r="C8" s="321" t="s">
        <v>33</v>
      </c>
      <c r="D8" s="572" t="s">
        <v>138</v>
      </c>
      <c r="E8" s="573"/>
      <c r="F8" s="355"/>
    </row>
    <row r="9" spans="1:6" ht="12.75">
      <c r="A9" s="323"/>
      <c r="B9" s="323"/>
      <c r="C9" s="323"/>
      <c r="D9" s="324"/>
      <c r="E9" s="325"/>
      <c r="F9" s="333"/>
    </row>
    <row r="10" spans="1:6" ht="12.75">
      <c r="A10" s="326"/>
      <c r="B10" s="327" t="s">
        <v>5</v>
      </c>
      <c r="C10" s="327" t="s">
        <v>34</v>
      </c>
      <c r="D10" s="332">
        <v>4619.5</v>
      </c>
      <c r="E10" s="326"/>
      <c r="F10" s="333"/>
    </row>
    <row r="11" spans="1:6" ht="12.75">
      <c r="A11" s="326"/>
      <c r="B11" s="327" t="s">
        <v>6</v>
      </c>
      <c r="C11" s="327" t="s">
        <v>34</v>
      </c>
      <c r="D11" s="332">
        <v>3701.3</v>
      </c>
      <c r="E11" s="326"/>
      <c r="F11" s="333"/>
    </row>
    <row r="12" spans="1:6" ht="12.75">
      <c r="A12" s="326"/>
      <c r="B12" s="328" t="s">
        <v>27</v>
      </c>
      <c r="C12" s="327" t="s">
        <v>9</v>
      </c>
      <c r="D12" s="332">
        <v>52414.8</v>
      </c>
      <c r="E12" s="326"/>
      <c r="F12" s="333"/>
    </row>
    <row r="13" spans="1:6" ht="12.75">
      <c r="A13" s="326"/>
      <c r="B13" s="326"/>
      <c r="C13" s="327"/>
      <c r="D13" s="332"/>
      <c r="E13" s="326"/>
      <c r="F13" s="333"/>
    </row>
    <row r="14" spans="1:6" ht="15.75">
      <c r="A14" s="326"/>
      <c r="B14" s="330" t="s">
        <v>7</v>
      </c>
      <c r="C14" s="327"/>
      <c r="D14" s="332"/>
      <c r="E14" s="326"/>
      <c r="F14" s="333"/>
    </row>
    <row r="15" spans="1:6" ht="12.75">
      <c r="A15" s="326">
        <v>1</v>
      </c>
      <c r="B15" s="326" t="s">
        <v>8</v>
      </c>
      <c r="C15" s="327" t="s">
        <v>9</v>
      </c>
      <c r="D15" s="332">
        <v>27666.44</v>
      </c>
      <c r="E15" s="326"/>
      <c r="F15" s="333"/>
    </row>
    <row r="16" spans="1:6" ht="12.75">
      <c r="A16" s="326">
        <v>3</v>
      </c>
      <c r="B16" s="326" t="s">
        <v>82</v>
      </c>
      <c r="C16" s="327"/>
      <c r="D16" s="332">
        <v>0</v>
      </c>
      <c r="E16" s="326"/>
      <c r="F16" s="333"/>
    </row>
    <row r="17" spans="1:6" ht="15.75">
      <c r="A17" s="326"/>
      <c r="B17" s="330" t="s">
        <v>10</v>
      </c>
      <c r="C17" s="327"/>
      <c r="D17" s="331">
        <f>D15+D16</f>
        <v>27666.44</v>
      </c>
      <c r="E17" s="326"/>
      <c r="F17" s="333"/>
    </row>
    <row r="18" spans="1:6" ht="15.75">
      <c r="A18" s="326"/>
      <c r="B18" s="330"/>
      <c r="C18" s="327"/>
      <c r="D18" s="329"/>
      <c r="E18" s="326"/>
      <c r="F18" s="333"/>
    </row>
    <row r="19" spans="1:6" ht="15.75">
      <c r="A19" s="14"/>
      <c r="B19" s="17" t="s">
        <v>57</v>
      </c>
      <c r="C19" s="14"/>
      <c r="D19" s="20"/>
      <c r="E19" s="326"/>
      <c r="F19" s="341"/>
    </row>
    <row r="20" spans="1:6" ht="12.75">
      <c r="A20" s="358" t="s">
        <v>58</v>
      </c>
      <c r="B20" s="16" t="s">
        <v>59</v>
      </c>
      <c r="C20" s="14"/>
      <c r="D20" s="19">
        <f>D21+D22+D23</f>
        <v>0</v>
      </c>
      <c r="E20" s="326"/>
      <c r="F20" s="356"/>
    </row>
    <row r="21" spans="1:6" ht="12.75">
      <c r="A21" s="14">
        <v>1</v>
      </c>
      <c r="B21" s="22" t="s">
        <v>11</v>
      </c>
      <c r="C21" s="22" t="s">
        <v>9</v>
      </c>
      <c r="D21" s="22">
        <v>0</v>
      </c>
      <c r="E21" s="326"/>
      <c r="F21" s="356"/>
    </row>
    <row r="22" spans="1:6" ht="12.75">
      <c r="A22" s="14">
        <v>2</v>
      </c>
      <c r="B22" s="22" t="s">
        <v>136</v>
      </c>
      <c r="C22" s="14"/>
      <c r="D22" s="18">
        <v>0</v>
      </c>
      <c r="E22" s="326"/>
      <c r="F22" s="356"/>
    </row>
    <row r="23" spans="1:6" ht="12.75">
      <c r="A23" s="14">
        <v>4</v>
      </c>
      <c r="B23" s="352" t="s">
        <v>15</v>
      </c>
      <c r="C23" s="14"/>
      <c r="D23" s="14">
        <v>0</v>
      </c>
      <c r="E23" s="326"/>
      <c r="F23" s="356"/>
    </row>
    <row r="24" spans="1:6" ht="12.75">
      <c r="A24" s="358" t="s">
        <v>61</v>
      </c>
      <c r="B24" s="359" t="s">
        <v>60</v>
      </c>
      <c r="C24" s="14"/>
      <c r="D24" s="19">
        <f>D25+D27+D26</f>
        <v>11378.60202</v>
      </c>
      <c r="E24" s="326"/>
      <c r="F24" s="356"/>
    </row>
    <row r="25" spans="1:6" ht="12.75">
      <c r="A25" s="14">
        <v>1</v>
      </c>
      <c r="B25" s="22" t="s">
        <v>95</v>
      </c>
      <c r="C25" s="14"/>
      <c r="D25" s="22">
        <v>9420.01</v>
      </c>
      <c r="E25" s="326"/>
      <c r="F25" s="333"/>
    </row>
    <row r="26" spans="1:6" ht="12.75">
      <c r="A26" s="14">
        <v>2</v>
      </c>
      <c r="B26" s="22" t="s">
        <v>136</v>
      </c>
      <c r="C26" s="22"/>
      <c r="D26" s="21">
        <f>D25*20.2%</f>
        <v>1902.8420199999998</v>
      </c>
      <c r="E26" s="22"/>
      <c r="F26" s="333"/>
    </row>
    <row r="27" spans="1:6" ht="12.75">
      <c r="A27" s="14">
        <v>3</v>
      </c>
      <c r="B27" s="22" t="s">
        <v>15</v>
      </c>
      <c r="C27" s="14"/>
      <c r="D27" s="22">
        <v>55.75</v>
      </c>
      <c r="E27" s="14"/>
      <c r="F27" s="333"/>
    </row>
    <row r="28" spans="1:6" ht="12.75">
      <c r="A28" s="358" t="s">
        <v>62</v>
      </c>
      <c r="B28" s="20" t="s">
        <v>16</v>
      </c>
      <c r="C28" s="14"/>
      <c r="D28" s="19">
        <f>D29+D30+D31+D32+D33+D34</f>
        <v>4943.89268</v>
      </c>
      <c r="E28" s="19"/>
      <c r="F28" s="333"/>
    </row>
    <row r="29" spans="1:6" ht="12.75">
      <c r="A29" s="14"/>
      <c r="B29" s="14" t="s">
        <v>17</v>
      </c>
      <c r="C29" s="14"/>
      <c r="D29" s="18">
        <f>D17*4.7%</f>
        <v>1300.32268</v>
      </c>
      <c r="E29" s="14"/>
      <c r="F29" s="333"/>
    </row>
    <row r="30" spans="1:6" ht="12.75">
      <c r="A30" s="14"/>
      <c r="B30" s="14" t="s">
        <v>20</v>
      </c>
      <c r="C30" s="14"/>
      <c r="D30" s="18">
        <v>1779.76</v>
      </c>
      <c r="E30" s="18"/>
      <c r="F30" s="333"/>
    </row>
    <row r="31" spans="1:6" ht="12.75">
      <c r="A31" s="14"/>
      <c r="B31" s="352" t="s">
        <v>28</v>
      </c>
      <c r="C31" s="14"/>
      <c r="D31" s="14">
        <v>0</v>
      </c>
      <c r="E31" s="14"/>
      <c r="F31" s="333"/>
    </row>
    <row r="32" spans="1:6" ht="12.75">
      <c r="A32" s="14"/>
      <c r="B32" s="352" t="s">
        <v>55</v>
      </c>
      <c r="C32" s="14"/>
      <c r="D32" s="14">
        <v>51.4</v>
      </c>
      <c r="E32" s="14"/>
      <c r="F32" s="333"/>
    </row>
    <row r="33" spans="1:6" ht="12.75">
      <c r="A33" s="14"/>
      <c r="B33" s="22" t="s">
        <v>112</v>
      </c>
      <c r="C33" s="14"/>
      <c r="D33" s="14">
        <v>1485</v>
      </c>
      <c r="E33" s="14"/>
      <c r="F33" s="333"/>
    </row>
    <row r="34" spans="1:6" ht="12.75">
      <c r="A34" s="14"/>
      <c r="B34" s="22" t="s">
        <v>21</v>
      </c>
      <c r="C34" s="14"/>
      <c r="D34" s="14">
        <v>327.41</v>
      </c>
      <c r="E34" s="14"/>
      <c r="F34" s="333"/>
    </row>
    <row r="35" spans="1:6" ht="12.75">
      <c r="A35" s="15" t="s">
        <v>64</v>
      </c>
      <c r="B35" s="20" t="s">
        <v>92</v>
      </c>
      <c r="C35" s="14"/>
      <c r="D35" s="19">
        <v>12800.22</v>
      </c>
      <c r="E35" s="19"/>
      <c r="F35" s="333"/>
    </row>
    <row r="36" spans="1:6" ht="12.75">
      <c r="A36" s="15" t="s">
        <v>65</v>
      </c>
      <c r="B36" s="20" t="s">
        <v>23</v>
      </c>
      <c r="C36" s="14"/>
      <c r="D36" s="19">
        <f>D20+E20+D24+E24+D28+D35</f>
        <v>29122.714699999997</v>
      </c>
      <c r="E36" s="14"/>
      <c r="F36" s="333"/>
    </row>
    <row r="37" spans="1:6" ht="12.75">
      <c r="A37" s="15" t="s">
        <v>66</v>
      </c>
      <c r="B37" s="14" t="s">
        <v>32</v>
      </c>
      <c r="C37" s="14"/>
      <c r="D37" s="19">
        <f>D17*6%</f>
        <v>1659.9863999999998</v>
      </c>
      <c r="E37" s="14"/>
      <c r="F37" s="333"/>
    </row>
    <row r="38" spans="1:6" ht="12.75">
      <c r="A38" s="15" t="s">
        <v>67</v>
      </c>
      <c r="B38" s="20" t="s">
        <v>24</v>
      </c>
      <c r="C38" s="14"/>
      <c r="D38" s="19">
        <f>D36+D37</f>
        <v>30782.7011</v>
      </c>
      <c r="E38" s="14"/>
      <c r="F38" s="333"/>
    </row>
    <row r="39" spans="1:6" ht="12.75">
      <c r="A39" s="14"/>
      <c r="B39" s="14"/>
      <c r="C39" s="14"/>
      <c r="D39" s="14"/>
      <c r="E39" s="14"/>
      <c r="F39" s="333"/>
    </row>
    <row r="40" spans="1:6" ht="12.75">
      <c r="A40" s="475" t="s">
        <v>68</v>
      </c>
      <c r="B40" s="20" t="s">
        <v>142</v>
      </c>
      <c r="C40" s="14"/>
      <c r="D40" s="19">
        <f>D15-D38+5176.07</f>
        <v>2059.8089</v>
      </c>
      <c r="E40" s="14"/>
      <c r="F40" s="333"/>
    </row>
    <row r="41" spans="1:6" ht="12.75">
      <c r="A41" s="475" t="s">
        <v>69</v>
      </c>
      <c r="B41" s="20" t="s">
        <v>44</v>
      </c>
      <c r="C41" s="14"/>
      <c r="D41" s="19">
        <f>D40</f>
        <v>2059.8089</v>
      </c>
      <c r="E41" s="14"/>
      <c r="F41" s="333"/>
    </row>
    <row r="42" spans="1:6" ht="12.75">
      <c r="A42" s="3"/>
      <c r="B42" s="377"/>
      <c r="C42" s="3"/>
      <c r="D42" s="380"/>
      <c r="E42" s="3"/>
      <c r="F42" s="339"/>
    </row>
    <row r="43" spans="1:6" ht="12.75">
      <c r="A43" s="3"/>
      <c r="B43" s="377"/>
      <c r="C43" s="3"/>
      <c r="D43" s="380"/>
      <c r="E43" s="3"/>
      <c r="F43" s="339"/>
    </row>
    <row r="44" spans="1:6" ht="12.75">
      <c r="A44" s="3"/>
      <c r="B44" s="377"/>
      <c r="C44" s="3"/>
      <c r="D44" s="380"/>
      <c r="E44" s="3"/>
      <c r="F44" s="339"/>
    </row>
    <row r="45" spans="1:6" ht="12.75">
      <c r="A45" s="3"/>
      <c r="B45" s="377"/>
      <c r="C45" s="3"/>
      <c r="D45" s="380"/>
      <c r="E45" s="3"/>
      <c r="F45" s="339"/>
    </row>
    <row r="46" spans="1:6" ht="12.75">
      <c r="A46" s="3"/>
      <c r="B46" t="s">
        <v>30</v>
      </c>
      <c r="D46" t="s">
        <v>0</v>
      </c>
      <c r="E46" s="3"/>
      <c r="F46" s="339"/>
    </row>
    <row r="47" spans="1:6" ht="12.75">
      <c r="A47" s="1"/>
      <c r="B47" s="1" t="s">
        <v>31</v>
      </c>
      <c r="C47" s="1"/>
      <c r="D47" s="1" t="s">
        <v>26</v>
      </c>
      <c r="E47" s="1"/>
      <c r="F47" s="339"/>
    </row>
    <row r="48" spans="6:7" ht="12.75">
      <c r="F48" s="339"/>
      <c r="G48" s="333"/>
    </row>
    <row r="49" ht="12.75">
      <c r="F49" s="356"/>
    </row>
    <row r="50" ht="12.75">
      <c r="F50" s="333"/>
    </row>
    <row r="51" ht="12.75">
      <c r="F51" s="333"/>
    </row>
    <row r="52" ht="12.75">
      <c r="F52" s="333"/>
    </row>
  </sheetData>
  <sheetProtection/>
  <mergeCells count="2">
    <mergeCell ref="D7:E7"/>
    <mergeCell ref="D8:E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">
      <selection activeCell="G17" sqref="G17:K30"/>
    </sheetView>
  </sheetViews>
  <sheetFormatPr defaultColWidth="9.00390625" defaultRowHeight="12.75"/>
  <cols>
    <col min="1" max="1" width="5.75390625" style="0" customWidth="1"/>
    <col min="2" max="2" width="42.625" style="0" customWidth="1"/>
    <col min="3" max="3" width="6.75390625" style="0" customWidth="1"/>
    <col min="4" max="4" width="10.00390625" style="0" customWidth="1"/>
    <col min="5" max="5" width="10.625" style="0" customWidth="1"/>
    <col min="7" max="7" width="12.25390625" style="0" customWidth="1"/>
    <col min="8" max="8" width="10.75390625" style="0" customWidth="1"/>
    <col min="10" max="10" width="11.00390625" style="0" customWidth="1"/>
    <col min="13" max="13" width="6.375" style="0" customWidth="1"/>
    <col min="14" max="14" width="37.125" style="0" customWidth="1"/>
    <col min="16" max="16" width="10.875" style="0" customWidth="1"/>
    <col min="17" max="17" width="13.00390625" style="0" customWidth="1"/>
    <col min="19" max="19" width="5.375" style="0" customWidth="1"/>
    <col min="20" max="20" width="41.625" style="0" customWidth="1"/>
    <col min="22" max="22" width="11.00390625" style="0" customWidth="1"/>
  </cols>
  <sheetData>
    <row r="1" spans="1:5" ht="15.75">
      <c r="A1" s="37"/>
      <c r="B1" s="38" t="s">
        <v>25</v>
      </c>
      <c r="C1" s="37"/>
      <c r="D1" s="37"/>
      <c r="E1" s="37"/>
    </row>
    <row r="2" spans="1:5" ht="12.75">
      <c r="A2" s="37"/>
      <c r="B2" s="37"/>
      <c r="C2" s="37"/>
      <c r="D2" s="37"/>
      <c r="E2" s="37"/>
    </row>
    <row r="3" spans="1:5" ht="12.75">
      <c r="A3" s="37"/>
      <c r="B3" s="37" t="s">
        <v>29</v>
      </c>
      <c r="C3" s="37"/>
      <c r="D3" s="37"/>
      <c r="E3" s="37"/>
    </row>
    <row r="4" spans="1:5" ht="12.75">
      <c r="A4" s="37"/>
      <c r="B4" s="381" t="s">
        <v>184</v>
      </c>
      <c r="C4" s="37"/>
      <c r="D4" s="37"/>
      <c r="E4" s="37"/>
    </row>
    <row r="5" spans="1:5" ht="12.75">
      <c r="A5" s="37"/>
      <c r="B5" s="37" t="s">
        <v>40</v>
      </c>
      <c r="C5" s="37"/>
      <c r="D5" s="37"/>
      <c r="E5" s="37"/>
    </row>
    <row r="6" spans="1:5" ht="12.75">
      <c r="A6" s="490"/>
      <c r="B6" s="490"/>
      <c r="C6" s="490"/>
      <c r="D6" s="343"/>
      <c r="E6" s="39"/>
    </row>
    <row r="7" spans="1:5" ht="12.75">
      <c r="A7" s="348"/>
      <c r="B7" s="348"/>
      <c r="C7" s="348"/>
      <c r="D7" s="41"/>
      <c r="E7" s="42"/>
    </row>
    <row r="8" spans="1:5" ht="15.75">
      <c r="A8" s="40"/>
      <c r="B8" s="43" t="s">
        <v>1</v>
      </c>
      <c r="C8" s="44" t="s">
        <v>3</v>
      </c>
      <c r="D8" s="491" t="s">
        <v>4</v>
      </c>
      <c r="E8" s="492"/>
    </row>
    <row r="9" spans="1:5" ht="15.75">
      <c r="A9" s="45"/>
      <c r="B9" s="43" t="s">
        <v>2</v>
      </c>
      <c r="C9" s="44" t="s">
        <v>33</v>
      </c>
      <c r="D9" s="493" t="s">
        <v>183</v>
      </c>
      <c r="E9" s="494"/>
    </row>
    <row r="10" spans="1:5" ht="12.75">
      <c r="A10" s="46"/>
      <c r="B10" s="46"/>
      <c r="C10" s="46"/>
      <c r="D10" s="47"/>
      <c r="E10" s="48"/>
    </row>
    <row r="11" spans="1:5" ht="12.75">
      <c r="A11" s="46"/>
      <c r="B11" s="362" t="s">
        <v>70</v>
      </c>
      <c r="C11" s="46"/>
      <c r="D11" s="47">
        <v>-84105.54</v>
      </c>
      <c r="E11" s="48"/>
    </row>
    <row r="12" spans="1:5" ht="12.75">
      <c r="A12" s="49"/>
      <c r="B12" s="50" t="s">
        <v>5</v>
      </c>
      <c r="C12" s="49" t="s">
        <v>34</v>
      </c>
      <c r="D12" s="49">
        <v>5182.7</v>
      </c>
      <c r="E12" s="49"/>
    </row>
    <row r="13" spans="1:5" ht="12.75">
      <c r="A13" s="49"/>
      <c r="B13" s="50" t="s">
        <v>6</v>
      </c>
      <c r="C13" s="49" t="s">
        <v>34</v>
      </c>
      <c r="D13" s="49">
        <v>4325</v>
      </c>
      <c r="E13" s="49"/>
    </row>
    <row r="14" spans="1:5" ht="12.75">
      <c r="A14" s="49"/>
      <c r="B14" s="51" t="s">
        <v>27</v>
      </c>
      <c r="C14" s="49" t="s">
        <v>9</v>
      </c>
      <c r="D14" s="49">
        <f>196336.82+0</f>
        <v>196336.82</v>
      </c>
      <c r="E14" s="49"/>
    </row>
    <row r="15" spans="1:5" ht="12.75">
      <c r="A15" s="49"/>
      <c r="B15" s="49"/>
      <c r="C15" s="49"/>
      <c r="D15" s="49"/>
      <c r="E15" s="49"/>
    </row>
    <row r="16" spans="1:5" ht="15.75">
      <c r="A16" s="49"/>
      <c r="B16" s="52" t="s">
        <v>7</v>
      </c>
      <c r="C16" s="49"/>
      <c r="D16" s="49"/>
      <c r="E16" s="49"/>
    </row>
    <row r="17" spans="1:5" ht="12.75">
      <c r="A17" s="49">
        <v>1</v>
      </c>
      <c r="B17" s="49" t="s">
        <v>8</v>
      </c>
      <c r="C17" s="49" t="s">
        <v>9</v>
      </c>
      <c r="D17" s="49">
        <f>150347.09+367.72</f>
        <v>150714.81</v>
      </c>
      <c r="E17" s="49"/>
    </row>
    <row r="18" spans="1:5" ht="12.75">
      <c r="A18" s="49">
        <v>3</v>
      </c>
      <c r="B18" s="49" t="s">
        <v>82</v>
      </c>
      <c r="C18" s="49"/>
      <c r="D18" s="49">
        <v>0</v>
      </c>
      <c r="E18" s="49"/>
    </row>
    <row r="19" spans="1:7" ht="15.75">
      <c r="A19" s="49"/>
      <c r="B19" s="52" t="s">
        <v>10</v>
      </c>
      <c r="C19" s="49"/>
      <c r="D19" s="53">
        <f>D17+D18</f>
        <v>150714.81</v>
      </c>
      <c r="E19" s="49"/>
      <c r="G19" s="382"/>
    </row>
    <row r="20" spans="1:5" ht="15.75">
      <c r="A20" s="49"/>
      <c r="B20" s="52"/>
      <c r="C20" s="49"/>
      <c r="D20" s="53"/>
      <c r="E20" s="49"/>
    </row>
    <row r="21" spans="1:5" ht="15.75">
      <c r="A21" s="14"/>
      <c r="B21" s="17" t="s">
        <v>57</v>
      </c>
      <c r="C21" s="14"/>
      <c r="D21" s="20"/>
      <c r="E21" s="49"/>
    </row>
    <row r="22" spans="1:5" ht="12.75">
      <c r="A22" s="358" t="s">
        <v>58</v>
      </c>
      <c r="B22" s="16" t="s">
        <v>59</v>
      </c>
      <c r="C22" s="14"/>
      <c r="D22" s="19">
        <f>D23+D25+D24</f>
        <v>63644.40628</v>
      </c>
      <c r="E22" s="49"/>
    </row>
    <row r="23" spans="1:5" ht="12.75">
      <c r="A23" s="14">
        <v>1</v>
      </c>
      <c r="B23" s="22" t="s">
        <v>11</v>
      </c>
      <c r="C23" s="22" t="s">
        <v>9</v>
      </c>
      <c r="D23" s="21">
        <v>51089.14</v>
      </c>
      <c r="E23" s="49"/>
    </row>
    <row r="24" spans="1:5" ht="12.75">
      <c r="A24" s="14">
        <v>2</v>
      </c>
      <c r="B24" s="22" t="s">
        <v>136</v>
      </c>
      <c r="C24" s="14"/>
      <c r="D24" s="18">
        <f>D23*20.2%</f>
        <v>10320.00628</v>
      </c>
      <c r="E24" s="49"/>
    </row>
    <row r="25" spans="1:5" ht="12.75">
      <c r="A25" s="14">
        <v>3</v>
      </c>
      <c r="B25" s="352" t="s">
        <v>15</v>
      </c>
      <c r="C25" s="14"/>
      <c r="D25" s="14">
        <v>2235.26</v>
      </c>
      <c r="E25" s="49"/>
    </row>
    <row r="26" spans="1:5" ht="12.75">
      <c r="A26" s="358" t="s">
        <v>61</v>
      </c>
      <c r="B26" s="359" t="s">
        <v>60</v>
      </c>
      <c r="C26" s="14"/>
      <c r="D26" s="19">
        <f>D27+D29+D28</f>
        <v>27202.37592</v>
      </c>
      <c r="E26" s="49"/>
    </row>
    <row r="27" spans="1:5" ht="12.75">
      <c r="A27" s="14">
        <v>1</v>
      </c>
      <c r="B27" s="22" t="s">
        <v>95</v>
      </c>
      <c r="C27" s="14"/>
      <c r="D27" s="22">
        <v>22501.96</v>
      </c>
      <c r="E27" s="49"/>
    </row>
    <row r="28" spans="1:9" ht="12.75">
      <c r="A28" s="14">
        <v>2</v>
      </c>
      <c r="B28" s="22" t="s">
        <v>136</v>
      </c>
      <c r="C28" s="14"/>
      <c r="D28" s="21">
        <f>D27*20.2%</f>
        <v>4545.39592</v>
      </c>
      <c r="E28" s="49"/>
      <c r="I28" s="475"/>
    </row>
    <row r="29" spans="1:5" ht="12.75">
      <c r="A29" s="14">
        <v>3</v>
      </c>
      <c r="B29" s="22" t="s">
        <v>15</v>
      </c>
      <c r="C29" s="14"/>
      <c r="D29" s="22">
        <v>155.02</v>
      </c>
      <c r="E29" s="49"/>
    </row>
    <row r="30" spans="1:5" ht="12.75">
      <c r="A30" s="358" t="s">
        <v>62</v>
      </c>
      <c r="B30" s="20" t="s">
        <v>16</v>
      </c>
      <c r="C30" s="14"/>
      <c r="D30" s="19">
        <f>D31+D32+D33+D34+D35</f>
        <v>12400.89607</v>
      </c>
      <c r="E30" s="19"/>
    </row>
    <row r="31" spans="1:5" ht="12.75">
      <c r="A31" s="14"/>
      <c r="B31" s="14" t="s">
        <v>17</v>
      </c>
      <c r="C31" s="14"/>
      <c r="D31" s="18">
        <f>D19*4.7%</f>
        <v>7083.59607</v>
      </c>
      <c r="E31" s="14"/>
    </row>
    <row r="32" spans="1:5" ht="12.75">
      <c r="A32" s="14"/>
      <c r="B32" s="14" t="s">
        <v>20</v>
      </c>
      <c r="C32" s="14"/>
      <c r="D32" s="18">
        <v>2966.53</v>
      </c>
      <c r="E32" s="18"/>
    </row>
    <row r="33" spans="1:5" ht="12.75">
      <c r="A33" s="14"/>
      <c r="B33" s="22" t="s">
        <v>187</v>
      </c>
      <c r="C33" s="14"/>
      <c r="D33" s="14">
        <v>990</v>
      </c>
      <c r="E33" s="14"/>
    </row>
    <row r="34" spans="1:5" ht="12.75">
      <c r="A34" s="14"/>
      <c r="B34" s="352" t="s">
        <v>55</v>
      </c>
      <c r="C34" s="14"/>
      <c r="D34" s="14">
        <v>481.93</v>
      </c>
      <c r="E34" s="14"/>
    </row>
    <row r="35" spans="1:5" ht="12.75">
      <c r="A35" s="14"/>
      <c r="B35" s="14" t="s">
        <v>21</v>
      </c>
      <c r="C35" s="14"/>
      <c r="D35" s="14">
        <v>878.84</v>
      </c>
      <c r="E35" s="14"/>
    </row>
    <row r="36" spans="1:5" ht="12.75">
      <c r="A36" s="475" t="s">
        <v>64</v>
      </c>
      <c r="B36" s="20" t="s">
        <v>74</v>
      </c>
      <c r="C36" s="14"/>
      <c r="D36" s="20">
        <v>5110.62</v>
      </c>
      <c r="E36" s="14"/>
    </row>
    <row r="37" spans="1:5" ht="12.75">
      <c r="A37" s="475" t="s">
        <v>65</v>
      </c>
      <c r="B37" s="20" t="s">
        <v>108</v>
      </c>
      <c r="C37" s="14"/>
      <c r="D37" s="20">
        <v>11370</v>
      </c>
      <c r="E37" s="14"/>
    </row>
    <row r="38" spans="1:5" ht="12.75">
      <c r="A38" s="475" t="s">
        <v>66</v>
      </c>
      <c r="B38" s="20" t="s">
        <v>92</v>
      </c>
      <c r="C38" s="14"/>
      <c r="D38" s="19">
        <v>36184.83</v>
      </c>
      <c r="E38" s="19"/>
    </row>
    <row r="39" spans="1:5" ht="12.75">
      <c r="A39" s="475" t="s">
        <v>67</v>
      </c>
      <c r="B39" s="20" t="s">
        <v>23</v>
      </c>
      <c r="C39" s="14"/>
      <c r="D39" s="19">
        <f>D22+D26+D30+D36+D37+D38</f>
        <v>155913.12827</v>
      </c>
      <c r="E39" s="14"/>
    </row>
    <row r="40" spans="1:5" ht="12.75">
      <c r="A40" s="475" t="s">
        <v>68</v>
      </c>
      <c r="B40" s="14" t="s">
        <v>32</v>
      </c>
      <c r="C40" s="14"/>
      <c r="D40" s="19">
        <f>D19*6%</f>
        <v>9042.8886</v>
      </c>
      <c r="E40" s="14"/>
    </row>
    <row r="41" spans="1:5" ht="12.75">
      <c r="A41" s="475" t="s">
        <v>69</v>
      </c>
      <c r="B41" s="20" t="s">
        <v>24</v>
      </c>
      <c r="C41" s="14"/>
      <c r="D41" s="19">
        <f>D39+D40</f>
        <v>164956.01687</v>
      </c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475" t="s">
        <v>165</v>
      </c>
      <c r="B43" s="20" t="s">
        <v>142</v>
      </c>
      <c r="C43" s="14"/>
      <c r="D43" s="19">
        <f>D19-D41</f>
        <v>-14241.206869999995</v>
      </c>
      <c r="E43" s="14"/>
    </row>
    <row r="44" spans="1:5" ht="12.75">
      <c r="A44" s="475" t="s">
        <v>190</v>
      </c>
      <c r="B44" s="20" t="s">
        <v>44</v>
      </c>
      <c r="C44" s="14"/>
      <c r="D44" s="19">
        <f>D11+D43</f>
        <v>-98346.74686999999</v>
      </c>
      <c r="E44" s="14"/>
    </row>
    <row r="45" spans="1:5" ht="12.75">
      <c r="A45" s="3"/>
      <c r="B45" s="377"/>
      <c r="C45" s="3"/>
      <c r="D45" s="380"/>
      <c r="E45" s="3"/>
    </row>
    <row r="46" spans="1:5" ht="12.75">
      <c r="A46" s="3"/>
      <c r="B46" s="1" t="s">
        <v>30</v>
      </c>
      <c r="C46" s="1"/>
      <c r="D46" s="1" t="s">
        <v>0</v>
      </c>
      <c r="E46" s="1"/>
    </row>
    <row r="47" spans="1:5" ht="12.75">
      <c r="A47" s="1"/>
      <c r="B47" s="1" t="s">
        <v>31</v>
      </c>
      <c r="C47" s="1"/>
      <c r="D47" s="1" t="s">
        <v>26</v>
      </c>
      <c r="E47" s="1"/>
    </row>
    <row r="48" spans="1:5" ht="12.75">
      <c r="A48" s="1"/>
      <c r="B48" s="1"/>
      <c r="C48" s="1"/>
      <c r="D48" s="1"/>
      <c r="E48" s="1"/>
    </row>
  </sheetData>
  <sheetProtection/>
  <mergeCells count="3">
    <mergeCell ref="A6:C6"/>
    <mergeCell ref="D8:E8"/>
    <mergeCell ref="D9:E9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5.625" style="0" customWidth="1"/>
    <col min="2" max="2" width="42.25390625" style="0" customWidth="1"/>
    <col min="3" max="3" width="6.375" style="0" customWidth="1"/>
    <col min="4" max="4" width="11.375" style="0" customWidth="1"/>
    <col min="5" max="5" width="11.625" style="0" customWidth="1"/>
    <col min="7" max="7" width="13.00390625" style="0" customWidth="1"/>
    <col min="8" max="8" width="13.25390625" style="0" customWidth="1"/>
    <col min="10" max="10" width="10.875" style="0" customWidth="1"/>
    <col min="13" max="13" width="5.75390625" style="0" customWidth="1"/>
    <col min="14" max="14" width="44.25390625" style="0" customWidth="1"/>
    <col min="16" max="16" width="10.375" style="0" customWidth="1"/>
    <col min="19" max="19" width="4.875" style="0" customWidth="1"/>
    <col min="20" max="20" width="41.25390625" style="0" customWidth="1"/>
    <col min="22" max="22" width="12.00390625" style="0" customWidth="1"/>
    <col min="23" max="23" width="11.375" style="0" customWidth="1"/>
  </cols>
  <sheetData>
    <row r="1" spans="1:5" ht="15.75">
      <c r="A1" s="55"/>
      <c r="B1" s="56" t="s">
        <v>25</v>
      </c>
      <c r="C1" s="55"/>
      <c r="D1" s="55"/>
      <c r="E1" s="55"/>
    </row>
    <row r="2" spans="1:5" ht="12.75">
      <c r="A2" s="55"/>
      <c r="B2" s="55"/>
      <c r="C2" s="55"/>
      <c r="D2" s="55"/>
      <c r="E2" s="55"/>
    </row>
    <row r="3" spans="1:5" ht="12.75">
      <c r="A3" s="55"/>
      <c r="B3" s="55" t="s">
        <v>29</v>
      </c>
      <c r="C3" s="55"/>
      <c r="D3" s="55"/>
      <c r="E3" s="55"/>
    </row>
    <row r="4" spans="1:5" ht="12.75">
      <c r="A4" s="55"/>
      <c r="B4" s="399" t="s">
        <v>199</v>
      </c>
      <c r="C4" s="55"/>
      <c r="D4" s="55"/>
      <c r="E4" s="55"/>
    </row>
    <row r="5" spans="1:5" ht="12.75">
      <c r="A5" s="55"/>
      <c r="B5" s="55" t="s">
        <v>41</v>
      </c>
      <c r="C5" s="55"/>
      <c r="D5" s="55"/>
      <c r="E5" s="55"/>
    </row>
    <row r="6" spans="1:5" ht="12.75">
      <c r="A6" s="495"/>
      <c r="B6" s="495"/>
      <c r="C6" s="495"/>
      <c r="D6" s="57"/>
      <c r="E6" s="58"/>
    </row>
    <row r="7" spans="1:5" ht="12.75">
      <c r="A7" s="59"/>
      <c r="B7" s="59"/>
      <c r="C7" s="59"/>
      <c r="D7" s="60"/>
      <c r="E7" s="61"/>
    </row>
    <row r="8" spans="1:5" ht="15.75">
      <c r="A8" s="59"/>
      <c r="B8" s="62" t="s">
        <v>1</v>
      </c>
      <c r="C8" s="63" t="s">
        <v>3</v>
      </c>
      <c r="D8" s="496" t="s">
        <v>4</v>
      </c>
      <c r="E8" s="497"/>
    </row>
    <row r="9" spans="1:5" ht="15.75">
      <c r="A9" s="64"/>
      <c r="B9" s="62" t="s">
        <v>2</v>
      </c>
      <c r="C9" s="63" t="s">
        <v>33</v>
      </c>
      <c r="D9" s="498" t="s">
        <v>140</v>
      </c>
      <c r="E9" s="499"/>
    </row>
    <row r="10" spans="1:5" ht="12.75">
      <c r="A10" s="65"/>
      <c r="B10" s="65"/>
      <c r="C10" s="65"/>
      <c r="D10" s="66"/>
      <c r="E10" s="67"/>
    </row>
    <row r="11" spans="1:5" ht="12.75">
      <c r="A11" s="65"/>
      <c r="B11" s="363" t="s">
        <v>72</v>
      </c>
      <c r="C11" s="65"/>
      <c r="D11" s="66">
        <v>110238.69</v>
      </c>
      <c r="E11" s="67"/>
    </row>
    <row r="12" spans="1:5" ht="12.75">
      <c r="A12" s="68"/>
      <c r="B12" s="69" t="s">
        <v>5</v>
      </c>
      <c r="C12" s="68" t="s">
        <v>34</v>
      </c>
      <c r="D12" s="68">
        <v>4726.8</v>
      </c>
      <c r="E12" s="68"/>
    </row>
    <row r="13" spans="1:5" ht="12.75">
      <c r="A13" s="68"/>
      <c r="B13" s="69" t="s">
        <v>6</v>
      </c>
      <c r="C13" s="68" t="s">
        <v>34</v>
      </c>
      <c r="D13" s="68">
        <v>4499.26</v>
      </c>
      <c r="E13" s="68"/>
    </row>
    <row r="14" spans="1:5" ht="12.75">
      <c r="A14" s="68"/>
      <c r="B14" s="70" t="s">
        <v>27</v>
      </c>
      <c r="C14" s="68" t="s">
        <v>9</v>
      </c>
      <c r="D14" s="68">
        <v>338738.04</v>
      </c>
      <c r="E14" s="68"/>
    </row>
    <row r="15" spans="1:5" ht="12.75">
      <c r="A15" s="68"/>
      <c r="B15" s="68"/>
      <c r="C15" s="68"/>
      <c r="D15" s="68"/>
      <c r="E15" s="68"/>
    </row>
    <row r="16" spans="1:5" ht="15.75">
      <c r="A16" s="68"/>
      <c r="B16" s="71" t="s">
        <v>7</v>
      </c>
      <c r="C16" s="68"/>
      <c r="D16" s="68"/>
      <c r="E16" s="68"/>
    </row>
    <row r="17" spans="1:5" ht="12.75">
      <c r="A17" s="68">
        <v>1</v>
      </c>
      <c r="B17" s="68" t="s">
        <v>8</v>
      </c>
      <c r="C17" s="68" t="s">
        <v>9</v>
      </c>
      <c r="D17" s="68">
        <v>325917.77</v>
      </c>
      <c r="E17" s="68"/>
    </row>
    <row r="18" spans="1:5" ht="12.75">
      <c r="A18" s="68">
        <v>2</v>
      </c>
      <c r="B18" s="68" t="s">
        <v>82</v>
      </c>
      <c r="C18" s="68"/>
      <c r="D18" s="68">
        <v>9000</v>
      </c>
      <c r="E18" s="68"/>
    </row>
    <row r="19" spans="1:5" ht="15.75">
      <c r="A19" s="68"/>
      <c r="B19" s="71" t="s">
        <v>10</v>
      </c>
      <c r="C19" s="68"/>
      <c r="D19" s="72">
        <f>D17+D18</f>
        <v>334917.77</v>
      </c>
      <c r="E19" s="68"/>
    </row>
    <row r="20" spans="1:5" ht="15.75">
      <c r="A20" s="68"/>
      <c r="B20" s="71"/>
      <c r="C20" s="68"/>
      <c r="D20" s="72"/>
      <c r="E20" s="68"/>
    </row>
    <row r="21" spans="1:5" ht="15.75">
      <c r="A21" s="14"/>
      <c r="B21" s="17" t="s">
        <v>57</v>
      </c>
      <c r="C21" s="14"/>
      <c r="D21" s="20"/>
      <c r="E21" s="68"/>
    </row>
    <row r="22" spans="1:5" ht="12.75">
      <c r="A22" s="358" t="s">
        <v>58</v>
      </c>
      <c r="B22" s="16" t="s">
        <v>59</v>
      </c>
      <c r="C22" s="14"/>
      <c r="D22" s="19">
        <f>D23+D27+D24+D25+D26</f>
        <v>56273.508460000005</v>
      </c>
      <c r="E22" s="68"/>
    </row>
    <row r="23" spans="1:5" ht="12.75">
      <c r="A23" s="14">
        <v>1</v>
      </c>
      <c r="B23" s="22" t="s">
        <v>11</v>
      </c>
      <c r="C23" s="22" t="s">
        <v>9</v>
      </c>
      <c r="D23" s="22">
        <v>40116.23</v>
      </c>
      <c r="E23" s="68"/>
    </row>
    <row r="24" spans="1:5" ht="12.75">
      <c r="A24" s="14">
        <v>2</v>
      </c>
      <c r="B24" s="22" t="s">
        <v>136</v>
      </c>
      <c r="C24" s="14"/>
      <c r="D24" s="18">
        <f>D23*20.2%</f>
        <v>8103.47846</v>
      </c>
      <c r="E24" s="68"/>
    </row>
    <row r="25" spans="1:5" ht="12.75">
      <c r="A25" s="14">
        <v>3</v>
      </c>
      <c r="B25" s="22" t="s">
        <v>156</v>
      </c>
      <c r="C25" s="14"/>
      <c r="D25" s="353">
        <v>125</v>
      </c>
      <c r="E25" s="68"/>
    </row>
    <row r="26" spans="1:5" ht="12.75">
      <c r="A26" s="14">
        <v>4</v>
      </c>
      <c r="B26" s="22" t="s">
        <v>143</v>
      </c>
      <c r="C26" s="14"/>
      <c r="D26" s="14">
        <v>4782.29</v>
      </c>
      <c r="E26" s="68"/>
    </row>
    <row r="27" spans="1:5" ht="12.75">
      <c r="A27" s="14">
        <v>5</v>
      </c>
      <c r="B27" s="352" t="s">
        <v>15</v>
      </c>
      <c r="C27" s="14"/>
      <c r="D27" s="14">
        <v>3146.51</v>
      </c>
      <c r="E27" s="68"/>
    </row>
    <row r="28" spans="1:5" ht="12.75">
      <c r="A28" s="358" t="s">
        <v>61</v>
      </c>
      <c r="B28" s="359" t="s">
        <v>60</v>
      </c>
      <c r="C28" s="14"/>
      <c r="D28" s="19">
        <f>D29+D30+D31+D32</f>
        <v>150255.02967999998</v>
      </c>
      <c r="E28" s="68"/>
    </row>
    <row r="29" spans="1:5" ht="12.75">
      <c r="A29" s="14">
        <v>1</v>
      </c>
      <c r="B29" s="22" t="s">
        <v>144</v>
      </c>
      <c r="C29" s="14"/>
      <c r="D29" s="22">
        <v>109970.84</v>
      </c>
      <c r="E29" s="68"/>
    </row>
    <row r="30" spans="1:5" ht="12.75">
      <c r="A30" s="14">
        <v>2</v>
      </c>
      <c r="B30" s="22" t="s">
        <v>136</v>
      </c>
      <c r="C30" s="14"/>
      <c r="D30" s="21">
        <f>D29*20.2%</f>
        <v>22214.109679999998</v>
      </c>
      <c r="E30" s="68"/>
    </row>
    <row r="31" spans="1:5" ht="12.75">
      <c r="A31" s="14">
        <v>3</v>
      </c>
      <c r="B31" s="22" t="s">
        <v>15</v>
      </c>
      <c r="C31" s="14"/>
      <c r="D31" s="22">
        <v>10309.08</v>
      </c>
      <c r="E31" s="68"/>
    </row>
    <row r="32" spans="1:5" ht="12.75">
      <c r="A32" s="14">
        <v>4</v>
      </c>
      <c r="B32" s="22" t="s">
        <v>83</v>
      </c>
      <c r="C32" s="14"/>
      <c r="D32" s="22">
        <v>7761</v>
      </c>
      <c r="E32" s="14"/>
    </row>
    <row r="33" spans="1:5" ht="12.75">
      <c r="A33" s="358" t="s">
        <v>62</v>
      </c>
      <c r="B33" s="20" t="s">
        <v>16</v>
      </c>
      <c r="C33" s="14"/>
      <c r="D33" s="19">
        <f>D34+D35+D36+D37+D38+D39+D40+D41</f>
        <v>64613.258499999996</v>
      </c>
      <c r="E33" s="19"/>
    </row>
    <row r="34" spans="1:5" ht="12.75">
      <c r="A34" s="14"/>
      <c r="B34" s="14" t="s">
        <v>17</v>
      </c>
      <c r="C34" s="14"/>
      <c r="D34" s="18">
        <f>D19*5%</f>
        <v>16745.8885</v>
      </c>
      <c r="E34" s="14"/>
    </row>
    <row r="35" spans="1:5" ht="12.75">
      <c r="A35" s="14"/>
      <c r="B35" s="14" t="s">
        <v>18</v>
      </c>
      <c r="C35" s="14"/>
      <c r="D35" s="14">
        <v>4273.39</v>
      </c>
      <c r="E35" s="14"/>
    </row>
    <row r="36" spans="1:5" ht="12.75">
      <c r="A36" s="14"/>
      <c r="B36" s="352" t="s">
        <v>19</v>
      </c>
      <c r="C36" s="14"/>
      <c r="D36" s="14">
        <v>7314.5</v>
      </c>
      <c r="E36" s="14"/>
    </row>
    <row r="37" spans="1:5" ht="12.75">
      <c r="A37" s="14"/>
      <c r="B37" s="14" t="s">
        <v>20</v>
      </c>
      <c r="C37" s="14"/>
      <c r="D37" s="18">
        <v>14205.29</v>
      </c>
      <c r="E37" s="18"/>
    </row>
    <row r="38" spans="1:5" ht="12.75">
      <c r="A38" s="14"/>
      <c r="B38" s="22" t="s">
        <v>148</v>
      </c>
      <c r="C38" s="14"/>
      <c r="D38" s="14">
        <v>15000</v>
      </c>
      <c r="E38" s="14"/>
    </row>
    <row r="39" spans="1:5" ht="12.75">
      <c r="A39" s="14"/>
      <c r="B39" s="22" t="s">
        <v>28</v>
      </c>
      <c r="C39" s="14"/>
      <c r="D39" s="14">
        <v>333.6</v>
      </c>
      <c r="E39" s="14"/>
    </row>
    <row r="40" spans="1:5" ht="12.75">
      <c r="A40" s="14"/>
      <c r="B40" s="352" t="s">
        <v>55</v>
      </c>
      <c r="C40" s="14"/>
      <c r="D40" s="18">
        <v>1830.5</v>
      </c>
      <c r="E40" s="14"/>
    </row>
    <row r="41" spans="1:5" ht="12.75">
      <c r="A41" s="14"/>
      <c r="B41" s="14" t="s">
        <v>21</v>
      </c>
      <c r="C41" s="14"/>
      <c r="D41" s="14">
        <v>4910.09</v>
      </c>
      <c r="E41" s="14"/>
    </row>
    <row r="42" spans="1:5" ht="12.75">
      <c r="A42" s="475" t="s">
        <v>64</v>
      </c>
      <c r="B42" s="20" t="s">
        <v>74</v>
      </c>
      <c r="C42" s="14"/>
      <c r="D42" s="20">
        <v>2009.67</v>
      </c>
      <c r="E42" s="14"/>
    </row>
    <row r="43" spans="1:5" ht="12.75">
      <c r="A43" s="475" t="s">
        <v>65</v>
      </c>
      <c r="B43" s="20" t="s">
        <v>192</v>
      </c>
      <c r="C43" s="14"/>
      <c r="D43" s="19">
        <v>80380.26</v>
      </c>
      <c r="E43" s="19"/>
    </row>
    <row r="44" spans="1:5" ht="12.75">
      <c r="A44" s="475" t="s">
        <v>66</v>
      </c>
      <c r="B44" s="20" t="s">
        <v>23</v>
      </c>
      <c r="C44" s="14"/>
      <c r="D44" s="19">
        <f>D22+D28+D33+D42+D43</f>
        <v>353531.72663999995</v>
      </c>
      <c r="E44" s="14"/>
    </row>
    <row r="45" spans="1:5" ht="12.75">
      <c r="A45" s="475" t="s">
        <v>67</v>
      </c>
      <c r="B45" s="14" t="s">
        <v>32</v>
      </c>
      <c r="C45" s="14"/>
      <c r="D45" s="19">
        <f>D19*6%</f>
        <v>20095.0662</v>
      </c>
      <c r="E45" s="14"/>
    </row>
    <row r="46" spans="1:5" ht="12.75">
      <c r="A46" s="475" t="s">
        <v>68</v>
      </c>
      <c r="B46" s="20" t="s">
        <v>24</v>
      </c>
      <c r="C46" s="14"/>
      <c r="D46" s="19">
        <f>D44+D45</f>
        <v>373626.79283999995</v>
      </c>
      <c r="E46" s="14"/>
    </row>
    <row r="47" spans="1:5" ht="12.75">
      <c r="A47" s="475"/>
      <c r="B47" s="14"/>
      <c r="C47" s="14"/>
      <c r="D47" s="14"/>
      <c r="E47" s="14"/>
    </row>
    <row r="48" spans="1:5" ht="12.75">
      <c r="A48" s="475" t="s">
        <v>69</v>
      </c>
      <c r="B48" s="20" t="s">
        <v>142</v>
      </c>
      <c r="C48" s="14"/>
      <c r="D48" s="19">
        <f>D19-D46</f>
        <v>-38709.02283999993</v>
      </c>
      <c r="E48" s="14"/>
    </row>
    <row r="49" spans="1:5" ht="12.75">
      <c r="A49" s="475" t="s">
        <v>165</v>
      </c>
      <c r="B49" s="20" t="s">
        <v>44</v>
      </c>
      <c r="C49" s="14"/>
      <c r="D49" s="19">
        <f>D11+D48</f>
        <v>71529.66716000007</v>
      </c>
      <c r="E49" s="14"/>
    </row>
    <row r="50" spans="1:5" ht="12.75">
      <c r="A50" s="3"/>
      <c r="B50" s="377"/>
      <c r="C50" s="3"/>
      <c r="D50" s="380"/>
      <c r="E50" s="3"/>
    </row>
    <row r="51" spans="1:5" ht="12.75">
      <c r="A51" s="3"/>
      <c r="B51" s="377"/>
      <c r="C51" s="3"/>
      <c r="D51" s="380"/>
      <c r="E51" s="3"/>
    </row>
    <row r="52" spans="1:5" ht="12.75">
      <c r="A52" s="1"/>
      <c r="B52" s="1" t="s">
        <v>30</v>
      </c>
      <c r="C52" s="1"/>
      <c r="D52" s="1" t="s">
        <v>0</v>
      </c>
      <c r="E52" s="1"/>
    </row>
    <row r="53" spans="1:5" ht="12.75">
      <c r="A53" s="55"/>
      <c r="B53" s="55" t="s">
        <v>31</v>
      </c>
      <c r="C53" s="55"/>
      <c r="D53" s="55" t="s">
        <v>26</v>
      </c>
      <c r="E53" s="55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6">
      <selection activeCell="G13" sqref="G13:G26"/>
    </sheetView>
  </sheetViews>
  <sheetFormatPr defaultColWidth="9.00390625" defaultRowHeight="12.75"/>
  <cols>
    <col min="1" max="1" width="5.25390625" style="0" customWidth="1"/>
    <col min="2" max="2" width="41.125" style="0" customWidth="1"/>
    <col min="3" max="3" width="6.375" style="0" customWidth="1"/>
    <col min="4" max="4" width="14.375" style="0" customWidth="1"/>
    <col min="5" max="5" width="10.875" style="0" customWidth="1"/>
    <col min="7" max="7" width="11.125" style="0" customWidth="1"/>
    <col min="8" max="8" width="40.125" style="0" customWidth="1"/>
    <col min="9" max="10" width="11.125" style="0" customWidth="1"/>
    <col min="13" max="13" width="5.75390625" style="0" customWidth="1"/>
    <col min="14" max="14" width="46.125" style="0" customWidth="1"/>
    <col min="16" max="16" width="10.375" style="0" customWidth="1"/>
    <col min="19" max="19" width="4.875" style="0" customWidth="1"/>
    <col min="20" max="20" width="39.375" style="0" customWidth="1"/>
    <col min="22" max="22" width="12.00390625" style="0" customWidth="1"/>
    <col min="23" max="23" width="11.375" style="0" customWidth="1"/>
  </cols>
  <sheetData>
    <row r="1" spans="1:5" ht="15.75">
      <c r="A1" s="55"/>
      <c r="B1" s="56" t="s">
        <v>25</v>
      </c>
      <c r="C1" s="55"/>
      <c r="D1" s="55"/>
      <c r="E1" s="55"/>
    </row>
    <row r="2" spans="1:5" ht="12.75">
      <c r="A2" s="55"/>
      <c r="B2" s="55"/>
      <c r="C2" s="55"/>
      <c r="D2" s="55"/>
      <c r="E2" s="55"/>
    </row>
    <row r="3" spans="1:5" ht="12.75">
      <c r="A3" s="55"/>
      <c r="B3" s="55" t="s">
        <v>29</v>
      </c>
      <c r="C3" s="55"/>
      <c r="D3" s="55"/>
      <c r="E3" s="55"/>
    </row>
    <row r="4" spans="1:5" ht="12.75">
      <c r="A4" s="55"/>
      <c r="B4" s="399" t="s">
        <v>200</v>
      </c>
      <c r="C4" s="55"/>
      <c r="D4" s="55"/>
      <c r="E4" s="55"/>
    </row>
    <row r="5" spans="1:5" ht="12.75">
      <c r="A5" s="55"/>
      <c r="B5" s="55" t="s">
        <v>41</v>
      </c>
      <c r="C5" s="55"/>
      <c r="D5" s="55"/>
      <c r="E5" s="55"/>
    </row>
    <row r="6" spans="1:5" ht="12.75">
      <c r="A6" s="495"/>
      <c r="B6" s="495"/>
      <c r="C6" s="495"/>
      <c r="D6" s="57"/>
      <c r="E6" s="58"/>
    </row>
    <row r="7" spans="1:5" ht="12.75">
      <c r="A7" s="59"/>
      <c r="B7" s="59"/>
      <c r="C7" s="59"/>
      <c r="D7" s="60"/>
      <c r="E7" s="61"/>
    </row>
    <row r="8" spans="1:5" ht="15.75">
      <c r="A8" s="59"/>
      <c r="B8" s="62" t="s">
        <v>1</v>
      </c>
      <c r="C8" s="63" t="s">
        <v>3</v>
      </c>
      <c r="D8" s="496" t="s">
        <v>4</v>
      </c>
      <c r="E8" s="497"/>
    </row>
    <row r="9" spans="1:5" ht="15.75">
      <c r="A9" s="64"/>
      <c r="B9" s="62" t="s">
        <v>2</v>
      </c>
      <c r="C9" s="63" t="s">
        <v>33</v>
      </c>
      <c r="D9" s="498" t="s">
        <v>138</v>
      </c>
      <c r="E9" s="499"/>
    </row>
    <row r="10" spans="1:5" ht="12.75">
      <c r="A10" s="65"/>
      <c r="B10" s="65"/>
      <c r="C10" s="65"/>
      <c r="D10" s="66"/>
      <c r="E10" s="67"/>
    </row>
    <row r="11" spans="1:5" ht="12.75">
      <c r="A11" s="65"/>
      <c r="B11" s="363" t="s">
        <v>70</v>
      </c>
      <c r="C11" s="65"/>
      <c r="D11" s="66">
        <v>132970.5</v>
      </c>
      <c r="E11" s="67"/>
    </row>
    <row r="12" spans="1:5" ht="12.75">
      <c r="A12" s="68"/>
      <c r="B12" s="69" t="s">
        <v>5</v>
      </c>
      <c r="C12" s="68" t="s">
        <v>34</v>
      </c>
      <c r="D12" s="68">
        <v>4428.1</v>
      </c>
      <c r="E12" s="68"/>
    </row>
    <row r="13" spans="1:5" ht="12.75">
      <c r="A13" s="68"/>
      <c r="B13" s="69" t="s">
        <v>6</v>
      </c>
      <c r="C13" s="68" t="s">
        <v>34</v>
      </c>
      <c r="D13" s="68">
        <v>3467.4</v>
      </c>
      <c r="E13" s="68"/>
    </row>
    <row r="14" spans="1:5" ht="12.75">
      <c r="A14" s="68"/>
      <c r="B14" s="70" t="s">
        <v>27</v>
      </c>
      <c r="C14" s="68" t="s">
        <v>9</v>
      </c>
      <c r="D14" s="68">
        <v>266613.24</v>
      </c>
      <c r="E14" s="68"/>
    </row>
    <row r="15" spans="1:5" ht="12.75">
      <c r="A15" s="68"/>
      <c r="B15" s="68"/>
      <c r="C15" s="68"/>
      <c r="D15" s="68"/>
      <c r="E15" s="68"/>
    </row>
    <row r="16" spans="1:5" ht="15.75">
      <c r="A16" s="68"/>
      <c r="B16" s="71" t="s">
        <v>7</v>
      </c>
      <c r="C16" s="68"/>
      <c r="D16" s="68"/>
      <c r="E16" s="68"/>
    </row>
    <row r="17" spans="1:7" ht="12.75">
      <c r="A17" s="68">
        <v>1</v>
      </c>
      <c r="B17" s="68" t="s">
        <v>8</v>
      </c>
      <c r="C17" s="68" t="s">
        <v>9</v>
      </c>
      <c r="D17" s="68">
        <v>262125.38</v>
      </c>
      <c r="E17" s="68"/>
      <c r="G17" s="465"/>
    </row>
    <row r="18" spans="1:7" ht="12.75">
      <c r="A18" s="68">
        <v>2</v>
      </c>
      <c r="B18" s="68" t="s">
        <v>82</v>
      </c>
      <c r="C18" s="68"/>
      <c r="D18" s="68">
        <v>9000</v>
      </c>
      <c r="E18" s="68"/>
      <c r="G18" s="382"/>
    </row>
    <row r="19" spans="1:5" ht="15.75">
      <c r="A19" s="68"/>
      <c r="B19" s="71" t="s">
        <v>10</v>
      </c>
      <c r="C19" s="68"/>
      <c r="D19" s="72">
        <f>D17+D18</f>
        <v>271125.38</v>
      </c>
      <c r="E19" s="68"/>
    </row>
    <row r="20" spans="1:5" ht="15.75">
      <c r="A20" s="68"/>
      <c r="B20" s="71"/>
      <c r="C20" s="68"/>
      <c r="D20" s="72"/>
      <c r="E20" s="68"/>
    </row>
    <row r="21" spans="1:5" ht="15.75">
      <c r="A21" s="14"/>
      <c r="B21" s="17" t="s">
        <v>57</v>
      </c>
      <c r="C21" s="14"/>
      <c r="D21" s="20"/>
      <c r="E21" s="68"/>
    </row>
    <row r="22" spans="1:5" ht="12.75">
      <c r="A22" s="358" t="s">
        <v>58</v>
      </c>
      <c r="B22" s="16" t="s">
        <v>59</v>
      </c>
      <c r="C22" s="14"/>
      <c r="D22" s="19">
        <f>D23+D27+D24+D25+D26</f>
        <v>62582.54872</v>
      </c>
      <c r="E22" s="68"/>
    </row>
    <row r="23" spans="1:5" ht="12.75">
      <c r="A23" s="14">
        <v>1</v>
      </c>
      <c r="B23" s="22" t="s">
        <v>11</v>
      </c>
      <c r="C23" s="22" t="s">
        <v>9</v>
      </c>
      <c r="D23" s="22">
        <v>49613.36</v>
      </c>
      <c r="E23" s="68"/>
    </row>
    <row r="24" spans="1:5" ht="12.75">
      <c r="A24" s="14">
        <v>2</v>
      </c>
      <c r="B24" s="22" t="s">
        <v>136</v>
      </c>
      <c r="C24" s="14"/>
      <c r="D24" s="18">
        <f>D23*20.2%</f>
        <v>10021.89872</v>
      </c>
      <c r="E24" s="68"/>
    </row>
    <row r="25" spans="1:5" ht="12.75">
      <c r="A25" s="14">
        <v>3</v>
      </c>
      <c r="B25" s="22" t="s">
        <v>156</v>
      </c>
      <c r="C25" s="14"/>
      <c r="D25" s="14">
        <v>125</v>
      </c>
      <c r="E25" s="68"/>
    </row>
    <row r="26" spans="1:5" ht="12.75">
      <c r="A26" s="14">
        <v>4</v>
      </c>
      <c r="B26" s="22" t="s">
        <v>143</v>
      </c>
      <c r="C26" s="14"/>
      <c r="D26" s="14">
        <v>1274.85</v>
      </c>
      <c r="E26" s="68"/>
    </row>
    <row r="27" spans="1:5" ht="12.75">
      <c r="A27" s="14">
        <v>5</v>
      </c>
      <c r="B27" s="352" t="s">
        <v>15</v>
      </c>
      <c r="C27" s="14"/>
      <c r="D27" s="14">
        <v>1547.44</v>
      </c>
      <c r="E27" s="68"/>
    </row>
    <row r="28" spans="1:5" ht="12.75">
      <c r="A28" s="358" t="s">
        <v>61</v>
      </c>
      <c r="B28" s="359" t="s">
        <v>60</v>
      </c>
      <c r="C28" s="14"/>
      <c r="D28" s="19">
        <f>D29+D30+D31+D32</f>
        <v>123574.38828</v>
      </c>
      <c r="E28" s="68"/>
    </row>
    <row r="29" spans="1:5" ht="12.75">
      <c r="A29" s="14">
        <v>1</v>
      </c>
      <c r="B29" s="22" t="s">
        <v>95</v>
      </c>
      <c r="C29" s="14"/>
      <c r="D29" s="22">
        <v>84750.14</v>
      </c>
      <c r="E29" s="68"/>
    </row>
    <row r="30" spans="1:5" ht="12.75">
      <c r="A30" s="14">
        <v>2</v>
      </c>
      <c r="B30" s="22" t="s">
        <v>136</v>
      </c>
      <c r="C30" s="14"/>
      <c r="D30" s="21">
        <f>D29*20.2%</f>
        <v>17119.52828</v>
      </c>
      <c r="E30" s="18"/>
    </row>
    <row r="31" spans="1:5" ht="12.75">
      <c r="A31" s="14">
        <v>3</v>
      </c>
      <c r="B31" s="22" t="s">
        <v>15</v>
      </c>
      <c r="C31" s="14"/>
      <c r="D31" s="22">
        <v>15772.72</v>
      </c>
      <c r="E31" s="14"/>
    </row>
    <row r="32" spans="1:5" ht="12.75">
      <c r="A32" s="14">
        <v>4</v>
      </c>
      <c r="B32" s="22" t="s">
        <v>83</v>
      </c>
      <c r="C32" s="14"/>
      <c r="D32" s="22">
        <v>5932</v>
      </c>
      <c r="E32" s="14"/>
    </row>
    <row r="33" spans="1:5" ht="12.75">
      <c r="A33" s="358" t="s">
        <v>62</v>
      </c>
      <c r="B33" s="20" t="s">
        <v>16</v>
      </c>
      <c r="C33" s="14"/>
      <c r="D33" s="19">
        <f>D34+D35+D36+D37+D38+D39+D40+D41+D42</f>
        <v>52022.629</v>
      </c>
      <c r="E33" s="19"/>
    </row>
    <row r="34" spans="1:5" ht="12.75">
      <c r="A34" s="14"/>
      <c r="B34" s="14" t="s">
        <v>17</v>
      </c>
      <c r="C34" s="14"/>
      <c r="D34" s="18">
        <f>D19*5%</f>
        <v>13556.269</v>
      </c>
      <c r="E34" s="14"/>
    </row>
    <row r="35" spans="1:5" ht="12.75">
      <c r="A35" s="14"/>
      <c r="B35" s="14" t="s">
        <v>18</v>
      </c>
      <c r="C35" s="14"/>
      <c r="D35" s="14">
        <v>3069.11</v>
      </c>
      <c r="E35" s="14"/>
    </row>
    <row r="36" spans="1:5" ht="12.75">
      <c r="A36" s="14"/>
      <c r="B36" s="22" t="s">
        <v>19</v>
      </c>
      <c r="C36" s="14"/>
      <c r="D36" s="14">
        <v>3657.25</v>
      </c>
      <c r="E36" s="14"/>
    </row>
    <row r="37" spans="1:5" ht="12.75">
      <c r="A37" s="14"/>
      <c r="B37" s="14" t="s">
        <v>20</v>
      </c>
      <c r="C37" s="14"/>
      <c r="D37" s="18">
        <v>10947.45</v>
      </c>
      <c r="E37" s="18"/>
    </row>
    <row r="38" spans="1:5" ht="12.75">
      <c r="A38" s="14"/>
      <c r="B38" s="22" t="s">
        <v>28</v>
      </c>
      <c r="C38" s="14"/>
      <c r="D38" s="14">
        <v>187.84</v>
      </c>
      <c r="E38" s="14"/>
    </row>
    <row r="39" spans="1:5" ht="12.75">
      <c r="A39" s="14"/>
      <c r="B39" s="352" t="s">
        <v>55</v>
      </c>
      <c r="C39" s="14"/>
      <c r="D39" s="14">
        <v>1410.7</v>
      </c>
      <c r="E39" s="14"/>
    </row>
    <row r="40" spans="1:5" ht="12.75">
      <c r="A40" s="14"/>
      <c r="B40" s="22" t="s">
        <v>148</v>
      </c>
      <c r="C40" s="14"/>
      <c r="D40" s="14">
        <v>15000</v>
      </c>
      <c r="E40" s="14"/>
    </row>
    <row r="41" spans="1:7" ht="12.75">
      <c r="A41" s="14"/>
      <c r="B41" s="22" t="s">
        <v>141</v>
      </c>
      <c r="C41" s="14"/>
      <c r="D41" s="14">
        <v>410</v>
      </c>
      <c r="E41" s="14"/>
      <c r="G41" s="382"/>
    </row>
    <row r="42" spans="1:5" ht="12.75">
      <c r="A42" s="14"/>
      <c r="B42" s="14" t="s">
        <v>21</v>
      </c>
      <c r="C42" s="14"/>
      <c r="D42" s="14">
        <v>3784.01</v>
      </c>
      <c r="E42" s="14"/>
    </row>
    <row r="43" spans="1:5" ht="12.75">
      <c r="A43" s="475" t="s">
        <v>64</v>
      </c>
      <c r="B43" s="20" t="s">
        <v>74</v>
      </c>
      <c r="C43" s="14"/>
      <c r="D43" s="20">
        <f>41313.14+7500</f>
        <v>48813.14</v>
      </c>
      <c r="E43" s="14"/>
    </row>
    <row r="44" spans="1:5" ht="12.75">
      <c r="A44" s="475" t="s">
        <v>65</v>
      </c>
      <c r="B44" s="20" t="s">
        <v>92</v>
      </c>
      <c r="C44" s="14"/>
      <c r="D44" s="19">
        <v>84025.82</v>
      </c>
      <c r="E44" s="19"/>
    </row>
    <row r="45" spans="1:5" ht="12.75">
      <c r="A45" s="475" t="s">
        <v>66</v>
      </c>
      <c r="B45" s="20" t="s">
        <v>23</v>
      </c>
      <c r="C45" s="14"/>
      <c r="D45" s="19">
        <f>D22+D28+D33+D43+D44</f>
        <v>371018.526</v>
      </c>
      <c r="E45" s="14"/>
    </row>
    <row r="46" spans="1:5" ht="12.75">
      <c r="A46" s="475" t="s">
        <v>67</v>
      </c>
      <c r="B46" s="14" t="s">
        <v>32</v>
      </c>
      <c r="C46" s="14"/>
      <c r="D46" s="19">
        <f>D19*6%</f>
        <v>16267.522799999999</v>
      </c>
      <c r="E46" s="14"/>
    </row>
    <row r="47" spans="1:5" ht="12.75">
      <c r="A47" s="475" t="s">
        <v>68</v>
      </c>
      <c r="B47" s="20" t="s">
        <v>24</v>
      </c>
      <c r="C47" s="14"/>
      <c r="D47" s="19">
        <f>D45+D46</f>
        <v>387286.0488</v>
      </c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475" t="s">
        <v>69</v>
      </c>
      <c r="B49" s="20" t="s">
        <v>142</v>
      </c>
      <c r="C49" s="14"/>
      <c r="D49" s="19">
        <f>D19-D47</f>
        <v>-116160.66879999998</v>
      </c>
      <c r="E49" s="14"/>
    </row>
    <row r="50" spans="1:5" ht="12.75">
      <c r="A50" s="475" t="s">
        <v>165</v>
      </c>
      <c r="B50" s="20" t="s">
        <v>44</v>
      </c>
      <c r="C50" s="14"/>
      <c r="D50" s="19">
        <f>D11+D49</f>
        <v>16809.831200000015</v>
      </c>
      <c r="E50" s="14"/>
    </row>
    <row r="51" spans="1:5" ht="12.75">
      <c r="A51" s="3"/>
      <c r="B51" s="377"/>
      <c r="C51" s="3"/>
      <c r="D51" s="380"/>
      <c r="E51" s="3"/>
    </row>
    <row r="52" spans="1:5" ht="12.75">
      <c r="A52" s="3"/>
      <c r="B52" s="377"/>
      <c r="C52" s="3"/>
      <c r="D52" s="380"/>
      <c r="E52" s="3"/>
    </row>
    <row r="53" spans="1:5" ht="12.75">
      <c r="A53" s="1"/>
      <c r="B53" s="1" t="s">
        <v>30</v>
      </c>
      <c r="C53" s="1"/>
      <c r="D53" s="1" t="s">
        <v>0</v>
      </c>
      <c r="E53" s="1"/>
    </row>
    <row r="54" spans="1:5" ht="12.75">
      <c r="A54" s="1"/>
      <c r="B54" s="1" t="s">
        <v>31</v>
      </c>
      <c r="C54" s="1"/>
      <c r="D54" s="1" t="s">
        <v>26</v>
      </c>
      <c r="E54" s="1"/>
    </row>
  </sheetData>
  <sheetProtection/>
  <mergeCells count="3">
    <mergeCell ref="A6:C6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3">
      <selection activeCell="K14" sqref="K14:K16"/>
    </sheetView>
  </sheetViews>
  <sheetFormatPr defaultColWidth="9.00390625" defaultRowHeight="12.75"/>
  <cols>
    <col min="2" max="2" width="40.00390625" style="0" customWidth="1"/>
    <col min="4" max="4" width="11.00390625" style="0" customWidth="1"/>
    <col min="5" max="5" width="10.25390625" style="0" customWidth="1"/>
    <col min="8" max="8" width="16.75390625" style="0" customWidth="1"/>
    <col min="10" max="10" width="10.625" style="0" customWidth="1"/>
    <col min="11" max="11" width="10.875" style="0" customWidth="1"/>
  </cols>
  <sheetData>
    <row r="1" spans="1:5" ht="15.75">
      <c r="A1" s="73"/>
      <c r="B1" s="74" t="s">
        <v>25</v>
      </c>
      <c r="C1" s="73"/>
      <c r="D1" s="73"/>
      <c r="E1" s="73"/>
    </row>
    <row r="2" spans="1:5" ht="15.75">
      <c r="A2" s="73"/>
      <c r="B2" s="74"/>
      <c r="C2" s="73"/>
      <c r="D2" s="73"/>
      <c r="E2" s="73"/>
    </row>
    <row r="3" spans="1:5" ht="12.75">
      <c r="A3" s="73"/>
      <c r="B3" s="73" t="s">
        <v>29</v>
      </c>
      <c r="C3" s="73"/>
      <c r="D3" s="73"/>
      <c r="E3" s="73"/>
    </row>
    <row r="4" spans="1:5" ht="12.75">
      <c r="A4" s="73"/>
      <c r="B4" s="412" t="s">
        <v>193</v>
      </c>
      <c r="C4" s="73"/>
      <c r="D4" s="73"/>
      <c r="E4" s="73"/>
    </row>
    <row r="5" spans="1:5" ht="12.75">
      <c r="A5" s="73"/>
      <c r="B5" s="412"/>
      <c r="C5" s="73"/>
      <c r="D5" s="73"/>
      <c r="E5" s="73"/>
    </row>
    <row r="6" spans="1:5" ht="12.75">
      <c r="A6" s="73"/>
      <c r="B6" s="412"/>
      <c r="C6" s="73"/>
      <c r="D6" s="73"/>
      <c r="E6" s="73"/>
    </row>
    <row r="7" spans="1:5" ht="12.75">
      <c r="A7" s="500"/>
      <c r="B7" s="500"/>
      <c r="C7" s="500"/>
      <c r="D7" s="75"/>
      <c r="E7" s="76"/>
    </row>
    <row r="8" spans="1:5" ht="15.75">
      <c r="A8" s="77"/>
      <c r="B8" s="78" t="s">
        <v>1</v>
      </c>
      <c r="C8" s="79" t="s">
        <v>3</v>
      </c>
      <c r="D8" s="501" t="s">
        <v>4</v>
      </c>
      <c r="E8" s="502"/>
    </row>
    <row r="9" spans="1:5" ht="15.75">
      <c r="A9" s="438"/>
      <c r="B9" s="439" t="s">
        <v>2</v>
      </c>
      <c r="C9" s="440" t="s">
        <v>35</v>
      </c>
      <c r="D9" s="503" t="s">
        <v>194</v>
      </c>
      <c r="E9" s="504"/>
    </row>
    <row r="10" spans="1:5" ht="12.75">
      <c r="A10" s="80"/>
      <c r="B10" s="361" t="s">
        <v>102</v>
      </c>
      <c r="C10" s="80"/>
      <c r="D10" s="81">
        <f>-489620.05</f>
        <v>-489620.05</v>
      </c>
      <c r="E10" s="82"/>
    </row>
    <row r="11" spans="1:5" ht="12.75">
      <c r="A11" s="80"/>
      <c r="B11" s="361" t="s">
        <v>85</v>
      </c>
      <c r="C11" s="80"/>
      <c r="D11" s="81">
        <v>107288.53</v>
      </c>
      <c r="E11" s="82"/>
    </row>
    <row r="12" spans="1:5" ht="12.75">
      <c r="A12" s="83"/>
      <c r="B12" s="84" t="s">
        <v>5</v>
      </c>
      <c r="C12" s="83" t="s">
        <v>34</v>
      </c>
      <c r="D12" s="83">
        <v>9663.44</v>
      </c>
      <c r="E12" s="83"/>
    </row>
    <row r="13" spans="1:5" ht="12.75">
      <c r="A13" s="83"/>
      <c r="B13" s="84" t="s">
        <v>6</v>
      </c>
      <c r="C13" s="83" t="s">
        <v>34</v>
      </c>
      <c r="D13" s="83">
        <v>7379.1</v>
      </c>
      <c r="E13" s="83"/>
    </row>
    <row r="14" spans="1:5" ht="12.75">
      <c r="A14" s="83"/>
      <c r="B14" s="85" t="s">
        <v>27</v>
      </c>
      <c r="C14" s="83" t="s">
        <v>9</v>
      </c>
      <c r="D14" s="86">
        <f>947156.88+268842.3</f>
        <v>1215999.18</v>
      </c>
      <c r="E14" s="83"/>
    </row>
    <row r="15" spans="1:5" ht="12.75">
      <c r="A15" s="83"/>
      <c r="B15" s="83"/>
      <c r="C15" s="83"/>
      <c r="D15" s="83"/>
      <c r="E15" s="83"/>
    </row>
    <row r="16" spans="1:5" ht="15.75">
      <c r="A16" s="83"/>
      <c r="B16" s="87" t="s">
        <v>7</v>
      </c>
      <c r="C16" s="83"/>
      <c r="D16" s="83"/>
      <c r="E16" s="83"/>
    </row>
    <row r="17" spans="1:5" ht="12.75">
      <c r="A17" s="83">
        <v>1</v>
      </c>
      <c r="B17" s="83" t="s">
        <v>8</v>
      </c>
      <c r="C17" s="83" t="s">
        <v>9</v>
      </c>
      <c r="D17" s="83">
        <v>981150.39</v>
      </c>
      <c r="E17" s="83"/>
    </row>
    <row r="18" spans="1:5" ht="12.75">
      <c r="A18" s="83">
        <v>2</v>
      </c>
      <c r="B18" s="83" t="s">
        <v>74</v>
      </c>
      <c r="C18" s="83"/>
      <c r="D18" s="83">
        <v>266187.83</v>
      </c>
      <c r="E18" s="83"/>
    </row>
    <row r="19" spans="1:5" ht="12.75">
      <c r="A19" s="83">
        <v>3</v>
      </c>
      <c r="B19" s="83" t="s">
        <v>82</v>
      </c>
      <c r="C19" s="83"/>
      <c r="D19" s="83">
        <v>1320000</v>
      </c>
      <c r="E19" s="83"/>
    </row>
    <row r="20" spans="1:5" ht="15.75">
      <c r="A20" s="83"/>
      <c r="B20" s="87" t="s">
        <v>10</v>
      </c>
      <c r="C20" s="83"/>
      <c r="D20" s="86">
        <f>D17+D19+D18</f>
        <v>2567338.22</v>
      </c>
      <c r="E20" s="83"/>
    </row>
    <row r="21" spans="1:5" ht="15.75">
      <c r="A21" s="83"/>
      <c r="B21" s="87"/>
      <c r="C21" s="83"/>
      <c r="D21" s="86"/>
      <c r="E21" s="83"/>
    </row>
    <row r="22" spans="1:5" ht="15.75">
      <c r="A22" s="14"/>
      <c r="B22" s="17" t="s">
        <v>57</v>
      </c>
      <c r="C22" s="14"/>
      <c r="D22" s="20"/>
      <c r="E22" s="83"/>
    </row>
    <row r="23" spans="1:5" ht="12.75">
      <c r="A23" s="358" t="s">
        <v>58</v>
      </c>
      <c r="B23" s="16" t="s">
        <v>59</v>
      </c>
      <c r="C23" s="14"/>
      <c r="D23" s="19">
        <f>D24+D28+D29+D30</f>
        <v>452529.31634</v>
      </c>
      <c r="E23" s="83"/>
    </row>
    <row r="24" spans="1:5" ht="12.75">
      <c r="A24" s="14">
        <v>1</v>
      </c>
      <c r="B24" s="22" t="s">
        <v>11</v>
      </c>
      <c r="C24" s="22" t="s">
        <v>9</v>
      </c>
      <c r="D24" s="21">
        <f>D25+D26+D27</f>
        <v>363921.17000000004</v>
      </c>
      <c r="E24" s="83"/>
    </row>
    <row r="25" spans="1:5" ht="12.75">
      <c r="A25" s="468" t="s">
        <v>126</v>
      </c>
      <c r="B25" s="14" t="s">
        <v>12</v>
      </c>
      <c r="C25" s="14"/>
      <c r="D25" s="14">
        <v>89185.95</v>
      </c>
      <c r="E25" s="83"/>
    </row>
    <row r="26" spans="1:5" ht="12.75">
      <c r="A26" s="468" t="s">
        <v>127</v>
      </c>
      <c r="B26" s="14" t="s">
        <v>13</v>
      </c>
      <c r="C26" s="14"/>
      <c r="D26" s="353">
        <v>235497.88</v>
      </c>
      <c r="E26" s="83"/>
    </row>
    <row r="27" spans="1:5" ht="12.75">
      <c r="A27" s="468" t="s">
        <v>128</v>
      </c>
      <c r="B27" s="14" t="s">
        <v>14</v>
      </c>
      <c r="C27" s="14"/>
      <c r="D27" s="14">
        <v>39237.34</v>
      </c>
      <c r="E27" s="83"/>
    </row>
    <row r="28" spans="1:5" ht="12.75">
      <c r="A28" s="14">
        <v>2</v>
      </c>
      <c r="B28" s="22" t="s">
        <v>136</v>
      </c>
      <c r="C28" s="14"/>
      <c r="D28" s="18">
        <f>D24*20.2%</f>
        <v>73512.07634</v>
      </c>
      <c r="E28" s="83"/>
    </row>
    <row r="29" spans="1:5" ht="12.75">
      <c r="A29" s="14">
        <v>3</v>
      </c>
      <c r="B29" s="22" t="s">
        <v>143</v>
      </c>
      <c r="C29" s="14"/>
      <c r="D29" s="14">
        <v>2295.16</v>
      </c>
      <c r="E29" s="83"/>
    </row>
    <row r="30" spans="1:5" ht="12.75">
      <c r="A30" s="14">
        <v>4</v>
      </c>
      <c r="B30" s="352" t="s">
        <v>15</v>
      </c>
      <c r="C30" s="14"/>
      <c r="D30" s="14">
        <v>12800.91</v>
      </c>
      <c r="E30" s="83"/>
    </row>
    <row r="31" spans="1:5" ht="12.75">
      <c r="A31" s="358" t="s">
        <v>61</v>
      </c>
      <c r="B31" s="359" t="s">
        <v>60</v>
      </c>
      <c r="C31" s="14"/>
      <c r="D31" s="19">
        <f>D32+D33+D34+D35</f>
        <v>227887.8497</v>
      </c>
      <c r="E31" s="83"/>
    </row>
    <row r="32" spans="1:5" ht="12.75">
      <c r="A32" s="14">
        <v>1</v>
      </c>
      <c r="B32" s="22" t="s">
        <v>96</v>
      </c>
      <c r="C32" s="14"/>
      <c r="D32" s="22">
        <v>180359.85</v>
      </c>
      <c r="E32" s="83"/>
    </row>
    <row r="33" spans="1:5" ht="12.75">
      <c r="A33" s="14">
        <v>2</v>
      </c>
      <c r="B33" s="22" t="s">
        <v>136</v>
      </c>
      <c r="C33" s="14"/>
      <c r="D33" s="21">
        <f>D32*20.2%</f>
        <v>36432.689699999995</v>
      </c>
      <c r="E33" s="83"/>
    </row>
    <row r="34" spans="1:5" ht="12.75">
      <c r="A34" s="14">
        <v>3</v>
      </c>
      <c r="B34" s="22" t="s">
        <v>15</v>
      </c>
      <c r="C34" s="14"/>
      <c r="D34" s="22">
        <v>195.31</v>
      </c>
      <c r="E34" s="83"/>
    </row>
    <row r="35" spans="1:11" ht="12.75">
      <c r="A35" s="14">
        <v>4</v>
      </c>
      <c r="B35" s="22" t="s">
        <v>83</v>
      </c>
      <c r="C35" s="14"/>
      <c r="D35" s="22">
        <v>10900</v>
      </c>
      <c r="E35" s="83"/>
      <c r="K35" s="382"/>
    </row>
    <row r="36" spans="1:5" ht="12.75">
      <c r="A36" s="358" t="s">
        <v>62</v>
      </c>
      <c r="B36" s="20" t="s">
        <v>16</v>
      </c>
      <c r="C36" s="14"/>
      <c r="D36" s="19">
        <f>D37+D38+D39+D40+D41+D42+D43+D44</f>
        <v>1492199.42634</v>
      </c>
      <c r="E36" s="19"/>
    </row>
    <row r="37" spans="1:5" ht="12.75">
      <c r="A37" s="14"/>
      <c r="B37" s="14" t="s">
        <v>17</v>
      </c>
      <c r="C37" s="14"/>
      <c r="D37" s="18">
        <f>(D17+D18)*4.7%+145225</f>
        <v>203849.89634</v>
      </c>
      <c r="E37" s="14"/>
    </row>
    <row r="38" spans="1:5" ht="12.75">
      <c r="A38" s="14"/>
      <c r="B38" s="22" t="s">
        <v>19</v>
      </c>
      <c r="C38" s="14"/>
      <c r="D38" s="18">
        <v>7314.5</v>
      </c>
      <c r="E38" s="14"/>
    </row>
    <row r="39" spans="1:5" ht="12.75">
      <c r="A39" s="14"/>
      <c r="B39" s="22" t="s">
        <v>28</v>
      </c>
      <c r="C39" s="14"/>
      <c r="D39" s="14">
        <v>728.18</v>
      </c>
      <c r="E39" s="14"/>
    </row>
    <row r="40" spans="1:5" ht="12.75">
      <c r="A40" s="14"/>
      <c r="B40" s="14" t="s">
        <v>20</v>
      </c>
      <c r="C40" s="14"/>
      <c r="D40" s="18">
        <v>23297.67</v>
      </c>
      <c r="E40" s="18"/>
    </row>
    <row r="41" spans="1:5" ht="12.75">
      <c r="A41" s="14"/>
      <c r="B41" s="14" t="s">
        <v>80</v>
      </c>
      <c r="C41" s="14"/>
      <c r="D41" s="18">
        <v>56730.66</v>
      </c>
      <c r="E41" s="14"/>
    </row>
    <row r="42" spans="1:5" ht="12.75">
      <c r="A42" s="14"/>
      <c r="B42" s="352" t="s">
        <v>55</v>
      </c>
      <c r="C42" s="14"/>
      <c r="D42" s="14">
        <v>3002.2</v>
      </c>
      <c r="E42" s="14"/>
    </row>
    <row r="43" spans="1:5" ht="12.75">
      <c r="A43" s="14"/>
      <c r="B43" s="14" t="s">
        <v>21</v>
      </c>
      <c r="C43" s="14"/>
      <c r="D43" s="14">
        <v>10096.32</v>
      </c>
      <c r="E43" s="14"/>
    </row>
    <row r="44" spans="1:5" ht="12.75">
      <c r="A44" s="14"/>
      <c r="B44" s="14" t="s">
        <v>218</v>
      </c>
      <c r="C44" s="14"/>
      <c r="D44" s="14">
        <v>1187180</v>
      </c>
      <c r="E44" s="14"/>
    </row>
    <row r="45" spans="1:5" ht="12.75">
      <c r="A45" s="475" t="s">
        <v>64</v>
      </c>
      <c r="B45" s="20" t="s">
        <v>108</v>
      </c>
      <c r="C45" s="20"/>
      <c r="D45" s="20">
        <v>88430.69</v>
      </c>
      <c r="E45" s="14"/>
    </row>
    <row r="46" spans="1:5" ht="12.75">
      <c r="A46" s="475" t="s">
        <v>65</v>
      </c>
      <c r="B46" s="20" t="s">
        <v>92</v>
      </c>
      <c r="C46" s="14"/>
      <c r="D46" s="19">
        <f>178818.49+45105+16100</f>
        <v>240023.49</v>
      </c>
      <c r="E46" s="19"/>
    </row>
    <row r="47" spans="1:5" ht="12.75">
      <c r="A47" s="475" t="s">
        <v>66</v>
      </c>
      <c r="B47" s="20" t="s">
        <v>23</v>
      </c>
      <c r="C47" s="14"/>
      <c r="D47" s="19">
        <f>D23+D31+D36+D45+D46</f>
        <v>2501070.77238</v>
      </c>
      <c r="E47" s="14"/>
    </row>
    <row r="48" spans="1:5" ht="12.75">
      <c r="A48" s="475" t="s">
        <v>67</v>
      </c>
      <c r="B48" s="14" t="s">
        <v>32</v>
      </c>
      <c r="C48" s="14"/>
      <c r="D48" s="19">
        <f>(D17+D18)*6%</f>
        <v>74840.2932</v>
      </c>
      <c r="E48" s="14"/>
    </row>
    <row r="49" spans="1:5" ht="12.75">
      <c r="A49" s="475" t="s">
        <v>68</v>
      </c>
      <c r="B49" s="20" t="s">
        <v>24</v>
      </c>
      <c r="C49" s="14"/>
      <c r="D49" s="19">
        <f>D47+D48</f>
        <v>2575911.06558</v>
      </c>
      <c r="E49" s="14"/>
    </row>
    <row r="50" spans="1:5" ht="12.75">
      <c r="A50" s="14"/>
      <c r="B50" s="14"/>
      <c r="C50" s="14"/>
      <c r="D50" s="14"/>
      <c r="E50" s="14"/>
    </row>
    <row r="51" spans="1:5" ht="12.75">
      <c r="A51" s="475" t="s">
        <v>69</v>
      </c>
      <c r="B51" s="20" t="s">
        <v>142</v>
      </c>
      <c r="C51" s="14"/>
      <c r="D51" s="19">
        <f>(D17+D19)-D49+28482.1</f>
        <v>-246278.57558000003</v>
      </c>
      <c r="E51" s="14"/>
    </row>
    <row r="52" spans="1:5" ht="12.75">
      <c r="A52" s="475" t="s">
        <v>165</v>
      </c>
      <c r="B52" s="20" t="s">
        <v>44</v>
      </c>
      <c r="C52" s="14"/>
      <c r="D52" s="19">
        <f>D10+D51</f>
        <v>-735898.62558</v>
      </c>
      <c r="E52" s="14"/>
    </row>
    <row r="53" spans="1:5" ht="12.75">
      <c r="A53" s="3"/>
      <c r="B53" s="377"/>
      <c r="C53" s="3"/>
      <c r="D53" s="380"/>
      <c r="E53" s="3"/>
    </row>
    <row r="54" spans="1:7" ht="12.75">
      <c r="A54" s="3"/>
      <c r="B54" s="377"/>
      <c r="C54" s="3"/>
      <c r="D54" s="380"/>
      <c r="E54" s="3"/>
      <c r="G54" s="382"/>
    </row>
    <row r="55" spans="1:5" ht="12.75">
      <c r="A55" s="3"/>
      <c r="B55" s="377"/>
      <c r="C55" s="3"/>
      <c r="D55" s="380"/>
      <c r="E55" s="3"/>
    </row>
    <row r="56" spans="1:5" ht="12.75">
      <c r="A56" s="3"/>
      <c r="B56" s="377"/>
      <c r="C56" s="3"/>
      <c r="D56" s="380"/>
      <c r="E56" s="3"/>
    </row>
    <row r="57" spans="1:5" ht="12.75">
      <c r="A57" s="3"/>
      <c r="B57" s="377" t="s">
        <v>74</v>
      </c>
      <c r="C57" s="3"/>
      <c r="D57" s="380">
        <f>D11+D18-28482.1</f>
        <v>344994.26</v>
      </c>
      <c r="E57" s="3"/>
    </row>
    <row r="58" spans="1:5" ht="12.75">
      <c r="A58" s="3"/>
      <c r="B58" s="377" t="s">
        <v>109</v>
      </c>
      <c r="C58" s="3"/>
      <c r="D58" s="380">
        <f>8384.62+1000+100000</f>
        <v>109384.62</v>
      </c>
      <c r="E58" s="3"/>
    </row>
    <row r="59" spans="1:5" ht="12.75">
      <c r="A59" s="3"/>
      <c r="B59" s="377" t="s">
        <v>97</v>
      </c>
      <c r="C59" s="3"/>
      <c r="D59" s="380">
        <f>D57-D58</f>
        <v>235609.64</v>
      </c>
      <c r="E59" s="3"/>
    </row>
    <row r="60" spans="1:5" ht="12.75">
      <c r="A60" s="3"/>
      <c r="B60" s="377"/>
      <c r="C60" s="3"/>
      <c r="D60" s="380"/>
      <c r="E60" s="3"/>
    </row>
    <row r="61" spans="1:5" ht="12.75">
      <c r="A61" s="3"/>
      <c r="B61" s="377" t="s">
        <v>98</v>
      </c>
      <c r="C61" s="3"/>
      <c r="D61" s="380">
        <f>D52+D59</f>
        <v>-500288.98558</v>
      </c>
      <c r="E61" s="3"/>
    </row>
    <row r="62" spans="1:5" ht="12.75">
      <c r="A62" s="3"/>
      <c r="B62" s="377"/>
      <c r="C62" s="3"/>
      <c r="D62" s="380"/>
      <c r="E62" s="3"/>
    </row>
    <row r="63" spans="1:5" ht="12.75">
      <c r="A63" s="1"/>
      <c r="B63" s="1" t="s">
        <v>30</v>
      </c>
      <c r="C63" s="1"/>
      <c r="D63" s="1" t="s">
        <v>0</v>
      </c>
      <c r="E63" s="1"/>
    </row>
    <row r="64" spans="1:5" ht="12.75">
      <c r="A64" s="1"/>
      <c r="B64" s="1" t="s">
        <v>31</v>
      </c>
      <c r="C64" s="1"/>
      <c r="D64" s="1" t="s">
        <v>26</v>
      </c>
      <c r="E64" s="379"/>
    </row>
  </sheetData>
  <sheetProtection/>
  <mergeCells count="3">
    <mergeCell ref="A7:C7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</cp:lastModifiedBy>
  <cp:lastPrinted>2015-03-16T09:07:54Z</cp:lastPrinted>
  <dcterms:created xsi:type="dcterms:W3CDTF">2009-09-28T04:33:27Z</dcterms:created>
  <dcterms:modified xsi:type="dcterms:W3CDTF">2015-03-23T08:00:02Z</dcterms:modified>
  <cp:category/>
  <cp:version/>
  <cp:contentType/>
  <cp:contentStatus/>
</cp:coreProperties>
</file>